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D2389B53-66BE-494E-BC8B-18A242295F5D}"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T2" i="1" l="1"/>
  <c r="BF3" i="1"/>
  <c r="BT3" i="1"/>
  <c r="BF4" i="1"/>
  <c r="BT4" i="1"/>
  <c r="BF5" i="1"/>
  <c r="BT5" i="1"/>
  <c r="BF6" i="1"/>
  <c r="BT6" i="1"/>
  <c r="BT7" i="1"/>
  <c r="BF8" i="1"/>
  <c r="BT8" i="1"/>
  <c r="BF9" i="1"/>
  <c r="BT9" i="1"/>
  <c r="BF10" i="1"/>
  <c r="BT10" i="1"/>
  <c r="BF11" i="1"/>
  <c r="BT11" i="1"/>
  <c r="BF12" i="1"/>
  <c r="BT12" i="1"/>
  <c r="BF13" i="1"/>
  <c r="BT13" i="1"/>
  <c r="BF14" i="1"/>
  <c r="BT14" i="1"/>
  <c r="BF15" i="1"/>
  <c r="BT15" i="1"/>
  <c r="BF16" i="1"/>
  <c r="BT16"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T64" i="1"/>
  <c r="BF65" i="1"/>
  <c r="BT65" i="1"/>
  <c r="BF66" i="1"/>
  <c r="BT66" i="1"/>
  <c r="BF67" i="1"/>
  <c r="BT67" i="1"/>
  <c r="BF68" i="1"/>
  <c r="BT68" i="1"/>
  <c r="BF69" i="1"/>
  <c r="BT69" i="1"/>
  <c r="BF70" i="1"/>
  <c r="BT70"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T167" i="1"/>
  <c r="BT168" i="1"/>
  <c r="BT169" i="1"/>
  <c r="BT170" i="1"/>
  <c r="BT171" i="1"/>
  <c r="BT172" i="1"/>
  <c r="BT173" i="1"/>
  <c r="BT174"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T238" i="1"/>
  <c r="BT239" i="1"/>
  <c r="BT240" i="1"/>
  <c r="BF241" i="1"/>
  <c r="BT241" i="1"/>
  <c r="BF242" i="1"/>
  <c r="BT242" i="1"/>
  <c r="BF243" i="1"/>
  <c r="BT243" i="1"/>
  <c r="BF244" i="1"/>
  <c r="BT244" i="1"/>
  <c r="BF245" i="1"/>
  <c r="BT245" i="1"/>
  <c r="BF246" i="1"/>
  <c r="BT246" i="1"/>
  <c r="BF247" i="1"/>
  <c r="BT247" i="1"/>
  <c r="BF248" i="1"/>
  <c r="BT248" i="1"/>
  <c r="BF249" i="1"/>
  <c r="BT249"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T277" i="1"/>
  <c r="BF278" i="1"/>
  <c r="BT278" i="1"/>
  <c r="BF279" i="1"/>
  <c r="BT279" i="1"/>
  <c r="BF280" i="1"/>
  <c r="BT280" i="1"/>
  <c r="BF281" i="1"/>
  <c r="BT281" i="1"/>
  <c r="BF282" i="1"/>
  <c r="BT282" i="1"/>
  <c r="BF283" i="1"/>
  <c r="BT283" i="1"/>
  <c r="BF284" i="1"/>
  <c r="BT284" i="1"/>
  <c r="BT285" i="1"/>
  <c r="BF286" i="1"/>
  <c r="BT286" i="1"/>
  <c r="BF287" i="1"/>
  <c r="BT287" i="1"/>
  <c r="BF288" i="1"/>
  <c r="BT288" i="1"/>
  <c r="BF289" i="1"/>
  <c r="BT289" i="1"/>
  <c r="BT290" i="1"/>
  <c r="BF291" i="1"/>
  <c r="BT291" i="1"/>
  <c r="BT292" i="1"/>
  <c r="BF293" i="1"/>
  <c r="BT293" i="1"/>
  <c r="BF294" i="1"/>
  <c r="BT294" i="1"/>
  <c r="BF295" i="1"/>
  <c r="BT295" i="1"/>
  <c r="BF296" i="1"/>
  <c r="BT296" i="1"/>
  <c r="BF297" i="1"/>
  <c r="BT297"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T320" i="1"/>
  <c r="BF321" i="1"/>
  <c r="BT321" i="1"/>
  <c r="BF322" i="1"/>
  <c r="BT322" i="1"/>
  <c r="BF323" i="1"/>
  <c r="BT323" i="1"/>
  <c r="BT324" i="1"/>
  <c r="BF325" i="1"/>
  <c r="BT325" i="1"/>
  <c r="BF326" i="1"/>
  <c r="BT326" i="1"/>
  <c r="BF327" i="1"/>
  <c r="BT327" i="1"/>
  <c r="BF328" i="1"/>
  <c r="BT328" i="1"/>
  <c r="BF329" i="1"/>
  <c r="BT329" i="1"/>
  <c r="BT330" i="1"/>
  <c r="BF331" i="1"/>
  <c r="BT331"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T372" i="1"/>
  <c r="BT373" i="1"/>
  <c r="BT374" i="1"/>
  <c r="BF375" i="1"/>
  <c r="BT375" i="1"/>
  <c r="BF376" i="1"/>
  <c r="BT376" i="1"/>
  <c r="BF377" i="1"/>
  <c r="BT377" i="1"/>
  <c r="BF378" i="1"/>
  <c r="BT378" i="1"/>
  <c r="BF379" i="1"/>
  <c r="BT379" i="1"/>
  <c r="BF380" i="1"/>
  <c r="BT380" i="1"/>
  <c r="BF381" i="1"/>
  <c r="BT381" i="1"/>
  <c r="BF382" i="1"/>
  <c r="BT382" i="1"/>
  <c r="BF383" i="1"/>
  <c r="BT383" i="1"/>
  <c r="BT384" i="1"/>
  <c r="BF385" i="1"/>
  <c r="BT385" i="1"/>
  <c r="BF386" i="1"/>
  <c r="BT386" i="1"/>
  <c r="BF387" i="1"/>
  <c r="BT387" i="1"/>
  <c r="BT388" i="1"/>
  <c r="BF389" i="1"/>
  <c r="BT389" i="1"/>
  <c r="BF390" i="1"/>
  <c r="BT390" i="1"/>
  <c r="BF391" i="1"/>
  <c r="BT391" i="1"/>
  <c r="BF392" i="1"/>
  <c r="BT392"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T416" i="1"/>
  <c r="BF417" i="1"/>
  <c r="BT417" i="1"/>
  <c r="BF418" i="1"/>
  <c r="BT418" i="1"/>
  <c r="BF419" i="1"/>
  <c r="BT419" i="1"/>
  <c r="BF420" i="1"/>
  <c r="BT420" i="1"/>
  <c r="BF421" i="1"/>
  <c r="BT421" i="1"/>
  <c r="BF422" i="1"/>
  <c r="BT422" i="1"/>
  <c r="BT423" i="1"/>
  <c r="BT424" i="1"/>
  <c r="BF425" i="1"/>
  <c r="BT425" i="1"/>
  <c r="BT426" i="1"/>
  <c r="BF427" i="1"/>
  <c r="BT427" i="1"/>
  <c r="BF428" i="1"/>
  <c r="BT428" i="1"/>
  <c r="BF429" i="1"/>
  <c r="BT429" i="1"/>
  <c r="BF430" i="1"/>
  <c r="BT430" i="1"/>
  <c r="BF431" i="1"/>
  <c r="BT431" i="1"/>
  <c r="BF432" i="1"/>
  <c r="BT432"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T475"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T638" i="1"/>
  <c r="BF639" i="1"/>
  <c r="BT639" i="1"/>
  <c r="BF640" i="1"/>
  <c r="BT640" i="1"/>
  <c r="BF641" i="1"/>
  <c r="BT641" i="1"/>
  <c r="BF642" i="1"/>
  <c r="BT642" i="1"/>
  <c r="BF643" i="1"/>
  <c r="BT643"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T659" i="1"/>
  <c r="BF660" i="1"/>
  <c r="BT660" i="1"/>
  <c r="BF661" i="1"/>
  <c r="BT661" i="1"/>
  <c r="BF662" i="1"/>
  <c r="BT662"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T822" i="1"/>
  <c r="BF823" i="1"/>
  <c r="BT823" i="1"/>
  <c r="BT824" i="1"/>
  <c r="BF825" i="1"/>
  <c r="BT825" i="1"/>
  <c r="BF826" i="1"/>
  <c r="BT826" i="1"/>
  <c r="BF827" i="1"/>
  <c r="BT827" i="1"/>
  <c r="BF828" i="1"/>
  <c r="BT828" i="1"/>
  <c r="BF829" i="1"/>
  <c r="BT829" i="1"/>
  <c r="BF830" i="1"/>
  <c r="BT830" i="1"/>
  <c r="BF831" i="1"/>
  <c r="BT831" i="1"/>
  <c r="BF832" i="1"/>
  <c r="BT832"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T896" i="1"/>
  <c r="BF897" i="1"/>
  <c r="BT897" i="1"/>
  <c r="BF898" i="1"/>
  <c r="BT898" i="1"/>
  <c r="BF899" i="1"/>
  <c r="BT899" i="1"/>
  <c r="BF900" i="1"/>
  <c r="BT900" i="1"/>
  <c r="BT901" i="1"/>
  <c r="BF902" i="1"/>
  <c r="BT902" i="1"/>
  <c r="BF903" i="1"/>
  <c r="BT903" i="1"/>
  <c r="BF904" i="1"/>
  <c r="BT904" i="1"/>
  <c r="BF905" i="1"/>
  <c r="BT905" i="1"/>
  <c r="BF906" i="1"/>
  <c r="BT906" i="1"/>
  <c r="BF907" i="1"/>
  <c r="BT907" i="1"/>
  <c r="BF908" i="1"/>
  <c r="BT908"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<sst xmlns="http://schemas.openxmlformats.org/spreadsheetml/2006/main" count="59412" uniqueCount="18727">
  <si>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</si>
  <si>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</si>
  <si>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</si>
  <si>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</si>
  <si>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</si>
  <si>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</si>
  <si>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</si>
  <si>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</si>
  <si>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</si>
  <si>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</si>
  <si>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</si>
  <si>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</si>
  <si>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</si>
  <si>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</si>
  <si>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</si>
  <si>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</si>
  <si>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</si>
  <si>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</si>
  <si>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</si>
  <si>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</si>
  <si>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</si>
  <si>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</si>
  <si>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</si>
  <si>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</si>
  <si>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</si>
  <si>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</si>
  <si>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</si>
  <si>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</si>
  <si>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</si>
  <si>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</si>
  <si>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</si>
  <si>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</si>
  <si>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</si>
  <si>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</si>
  <si>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</si>
  <si>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</si>
  <si>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</si>
  <si>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</si>
  <si>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</si>
  <si>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</si>
  <si>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</si>
  <si>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</si>
  <si>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</si>
  <si>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</si>
  <si>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</si>
  <si>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</si>
  <si>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</si>
  <si>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</si>
  <si>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</si>
  <si>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</si>
  <si>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</si>
  <si>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</si>
  <si>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</si>
  <si>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</si>
  <si>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</si>
  <si>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</si>
  <si>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</si>
  <si>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</si>
  <si>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</si>
  <si>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</si>
  <si>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</si>
  <si>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</si>
  <si>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</si>
  <si>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</si>
  <si>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</si>
  <si>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</si>
  <si>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</si>
  <si>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</si>
  <si>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</si>
  <si>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</si>
  <si>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</si>
  <si>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</si>
  <si>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</si>
  <si>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Wulff, A; Torstensson, A; Campana, GL; Quartino, ML; Aued, KZ</t>
  </si>
  <si>
    <t/>
  </si>
  <si>
    <t>Wulff, Angela; Torstensson, Anders; Campana, Gabriela L.; Quartino, M. Liliana; Aued, Katharina Zacher</t>
  </si>
  <si>
    <t>EFFECTS OF INCREASED TEMPERATURE AND DECREASED SALINITY ON ANTARCTIC BENTHIC MARINE DIATOMS</t>
  </si>
  <si>
    <t>EUROPEAN JOURNAL OF PHYCOLOGY</t>
  </si>
  <si>
    <t>English</t>
  </si>
  <si>
    <t>[Wulff, Angela; Torstensson, Anders] Univ Gothenburg, Biol &amp; Environm Sci, SE-40530 Gothenburg, Sweden; [Campana, Gabriela L.; Quartino, M. Liliana] Inst Antart Argentino, Ciencias Mar, Buenos Aires, DF, Argentina; [Aued, Katharina Zacher] Alfred Wegener Inst Polar &amp; Marine Res, Seaweed Biol, D-27570 Bremerhaven, Germany</t>
  </si>
  <si>
    <t>University of Gothenburg; Instituto Antartico Argentino; Helmholtz Association; Alfred Wegener Institute, Helmholtz Centre for Polar &amp; Marine Research</t>
  </si>
  <si>
    <t>angela.wulff@bioenv.gu.se; anders.torstensson@bioenv.gu.se; gcampana@dna.gov.ar; lquartino@dna.gov.ar; katharina.zacher@awi.de</t>
  </si>
  <si>
    <t>TAYLOR &amp; FRANCIS LTD</t>
  </si>
  <si>
    <t>ABINGDON</t>
  </si>
  <si>
    <t>4 PARK SQUARE, MILTON PARK, ABINGDON OX14 4RN, OXON, ENGLAND</t>
  </si>
  <si>
    <t>0967-0262</t>
  </si>
  <si>
    <t>1469-4433</t>
  </si>
  <si>
    <t>EUR J PHYCOL</t>
  </si>
  <si>
    <t>Eur. J. Phycol.</t>
  </si>
  <si>
    <t>9PO.45</t>
  </si>
  <si>
    <t>Plant Sciences; Marine &amp; Freshwater Biology</t>
  </si>
  <si>
    <t>Science Citation Index Expanded (SCI-EXPANDED)</t>
  </si>
  <si>
    <t>CP9VX</t>
  </si>
  <si>
    <t>2024-04-21</t>
  </si>
  <si>
    <t>WOS:000360244400338</t>
  </si>
  <si>
    <t>Miralles, I; Edwards, HGM; Domingo, F; Jorge-Villar, SE</t>
  </si>
  <si>
    <t>Miralles, I.; Edwards, H. G. M.; Domingo, F.; Jorge-Villar, S. E.</t>
  </si>
  <si>
    <t>Lichens around the world: a comprehensive study of lichen survival biostrategies detected by Raman spectroscopy</t>
  </si>
  <si>
    <t>ANALYTICAL METHODS</t>
  </si>
  <si>
    <t>Article</t>
  </si>
  <si>
    <t>BIOLOGICAL SOIL CRUSTS; ANTARCTIC HABITATS; IN-SITU; BIODETERIORATION; SPECTROMETER; RADIATION; PIGMENTS; STRATEGIES; OXALATE; ZONE</t>
  </si>
  <si>
    <t>A list of lichen biomolecules detected by Raman spectroscopy has been compiled and their appearance has been correlated with the environmental conditions operating in lichen habitats around the world. The adaptative climatic strategies of lichens have been analysed as a whole and some interesting and contradictory conclusions arise with regard to other research conclusions reported in the literature, such as the presence of hydrated calcium oxalates and their relationship with desiccated environments or the correlation between climatic conditions and protective pigments or pigment mixtures. The results of this exercise will be useful for our understanding of the biochemical synthetic strategies being employed for the survival of the lichen colonies in hostile terrestrial environments and the prediction of Raman spectral data for extremophiles in a range of novel hot and cold desert conditions. Additionally, a database of all key lichen biomolecules identified by Raman spectroscopy and their characteristic Raman wavenumbers are given for further unambiguous identification.</t>
  </si>
  <si>
    <t>[Miralles, I.; Domingo, F.] CSIC, Estac Expt Zonas Aridas, Madrid, Spain; [Miralles, I.] Univ Catholique Louvain La Neuve, Georges Lemaitre Ctr Earth &amp; Climate Res, Louvain, Belgium; [Edwards, H. G. M.] Univ Bradford, Sch Life Sci, Dept Chem &amp; Forens Sci, Bradford BD7 1DP, W Yorkshire, England; [Jorge-Villar, S. E.] Univ Burgos, Fac Humanidades &amp; Educ, Area Geodinam Interna, Burgos 09001, Spain; [Jorge-Villar, S. E.] Natl Res Ctr Human Evolut CENIEH, Burgos, Spain</t>
  </si>
  <si>
    <t>Consejo Superior de Investigaciones Cientificas (CSIC); CSIC - Estacion Experimental de Zonas Aridas (EEZA); Universite Catholique Louvain; University of Bradford; Universidad de Burgos; Centro Nacional de Investigacion de La Evolucion Humana (CENIEH)</t>
  </si>
  <si>
    <t>Jorge-Villar, SE (corresponding author), Univ Burgos, Fac Humanidades &amp; Educ, Area Geodinam Interna, C Villadiego S-N, Burgos 09001, Spain.</t>
  </si>
  <si>
    <t>susanajorgevillar@hotmail.com</t>
  </si>
  <si>
    <t>Domingo, Francisco/P-7409-2019; Jorge-Villar, Susana E./A-8927-2011</t>
  </si>
  <si>
    <t>Domingo, Francisco/0000-0002-7145-7281; Jorge-Villar, Susana E./0000-0003-1676-4438; Miralles, Isabel/0000-0002-7385-3720</t>
  </si>
  <si>
    <t>Fellowships Juan de la Cierva [2008-39669]; Marie Curie Intra-European Fellowship (FP7-PEOPLE-IEF) [623393]; CARBORAD project - Spanish Ministerio de Ciencia e Innovacion [CGL2011-27493]; project Variaciones de pigmentos y otros metabolitos causadas por el microclima en especies clave de costras biologicas del suelo - Asociacion de Ecologia Terrestre Espanola (AEET)</t>
  </si>
  <si>
    <t>Fellowships Juan de la Cierva; Marie Curie Intra-European Fellowship (FP7-PEOPLE-IEF)(European Union (EU)); CARBORAD project - Spanish Ministerio de Ciencia e Innovacion; project Variaciones de pigmentos y otros metabolitos causadas por el microclima en especies clave de costras biologicas del suelo - Asociacion de Ecologia Terrestre Espanola (AEET)</t>
  </si>
  <si>
    <t>The authors are grateful for support from the Fellowships Juan de la Cierva 2008-39669 and the Marie Curie Intra-European Fellowship (FP7-PEOPLE-2013-IEF, Proposal no. 623393). The authors are also grateful for support from CARBORAD project (CGL2011-27493) funded by the Spanish Ministerio de Ciencia e Innovacion and the project Variaciones de pigmentos y otros metabolitos causadas por el microclima en especies clave de costras biologicas del suelo funded by the Asociacion de Ecologia Terrestre Espanola (AEET).</t>
  </si>
  <si>
    <t>ROYAL SOC CHEMISTRY</t>
  </si>
  <si>
    <t>CAMBRIDGE</t>
  </si>
  <si>
    <t>THOMAS GRAHAM HOUSE, SCIENCE PARK, MILTON RD, CAMBRIDGE CB4 0WF, CAMBS, ENGLAND</t>
  </si>
  <si>
    <t>1759-9660</t>
  </si>
  <si>
    <t>1759-9679</t>
  </si>
  <si>
    <t>ANAL METHODS-UK</t>
  </si>
  <si>
    <t>Anal. Methods</t>
  </si>
  <si>
    <t>10.1039/c5ay00655d</t>
  </si>
  <si>
    <t>Chemistry, Analytical; Food Science &amp; Technology; Spectroscopy</t>
  </si>
  <si>
    <t>Chemistry; Food Science &amp; Technology; Spectroscopy</t>
  </si>
  <si>
    <t>CO7RV</t>
  </si>
  <si>
    <t>WOS:000359360400052</t>
  </si>
  <si>
    <t>Truzzi, C; Annibaldi, A; Finale, C; Libani, G; Romagnoli, T; Scarponi, G; Illuminati, S</t>
  </si>
  <si>
    <t>Truzzi, C.; Annibaldi, A.; Finale, C.; Libani, G.; Romagnoli, T.; Scarponi, G.; Illuminati, S.</t>
  </si>
  <si>
    <t>Separation of micro-phytoplankton from inorganic particulate in Antarctic seawater (Ross Sea) for the determination of Cd, Pb and Cu: optimization of the analytical methodology (vol 7, pg 5490, 2015)</t>
  </si>
  <si>
    <t>Correction</t>
  </si>
  <si>
    <t>[Truzzi, C.; Annibaldi, A.; Finale, C.; Libani, G.; Romagnoli, T.; Scarponi, G.; Illuminati, S.] Univ Politecn Marche, Dept Life &amp; Environm Sci, I-60131 Ancona, Italy</t>
  </si>
  <si>
    <t>Marche Polytechnic University</t>
  </si>
  <si>
    <t>Illuminati, S (corresponding author), Univ Politecn Marche, Dept Life &amp; Environm Sci, Via Brecce Bianche, I-60131 Ancona, Italy.</t>
  </si>
  <si>
    <t>s.illuminati@univpm.it</t>
  </si>
  <si>
    <t>Illuminati, Silvia/GXZ-5038-2022; Illuminati, Silvia/T-7873-2019; Scarponi, Giuseppe/AAQ-6394-2021</t>
  </si>
  <si>
    <t>Illuminati, Silvia/0000-0001-6465-5477; Scarponi, Giuseppe/0000-0003-2932-0596; Romagnoli, Tiziana/0009-0009-5181-987X</t>
  </si>
  <si>
    <t>10.1039/c5ay90055g</t>
  </si>
  <si>
    <t>hybrid</t>
  </si>
  <si>
    <t>WOS:000359360400061</t>
  </si>
  <si>
    <t>Iuliano, S; Ayton, J</t>
  </si>
  <si>
    <t>Iuliano, Sandra; Ayton, Jeff</t>
  </si>
  <si>
    <t>Dietary intakes of expeditioners during prolonged sunlight deprivation in polar enviroments do not support bone health</t>
  </si>
  <si>
    <t>INTERNATIONAL JOURNAL OF CIRCUMPOLAR HEALTH</t>
  </si>
  <si>
    <t>Antarctic; bone; calcium; diet; nutrition</t>
  </si>
  <si>
    <t>MINERAL DENSITY; VITAMIN-D; MAGNESIUM; METABOLISM; POTASSIUM; SKELETAL; SODIUM; SUPPLEMENTATION; ANTARCTICA; SCURVY</t>
  </si>
  <si>
    <t>Background. Early Antarctic expeditions were plagued by nutrient deficiencies, due to lack of fresh food and reliance on preserved foods. Modern Antarctic expeditioners also require provisions to be shipped in, but improved knowledge and storage options ensure foods are nutritionally sound. Despite this, nutritional imbalances are observed. Objectives. To determine the adequacy of dietary intake of Antarctic expeditioners, with reference to bone health. Design. Dietary intake was determined on 225 adults (mean age 42911 years, 16% female) during 12-month deployments at Australian Antarctic stations from 2004 to 2010, using weighed 3-day food records. Nutrient intake was analysed using FoodWorks. Foods were divided into the 5 food groups according to the Australian Guide to Healthy Eating. Results. Men consumed below the recommended levels [recommended daily intake (RDI)/adequate intakes (AI)] of calcium (79 +/- 42% of RDI, p&lt;0.001), magnesium (83 +/- 34% of RDI, p&lt;0.001), potassium (86 +/- 29% of AI, p&lt;0.001) and fibre (75 +/- 30% of AI, p&lt;0.001), and above the upper limit (UL) for sodium (125 +/- 48% of UL p&lt;0.001), whereas women consumed below the recommended levels of calcium (68 +/- 21% of RDI, p&lt;0.001) and iron (73 +/- 37% of RDI, p&lt;0.001). Vitamin D intake is not substantial (&lt;150 IU/d). Men consumed more alcohol than women (18 +/- 24 g/d vs. 10 +/- 13 g/d, p&lt;0.05), nearer the guideline of &lt;= 20 g/d. Men and women consumed approximately 1 serving of dairy food per day, and 3 of 5 recommended vegetable servings. Discretionary foods were consumed in excess of recommended. Conclusions. Improving consumption of calcium-rich (dairy) foods better supports bone health during sunlight deprivation. Increasing vegetable intake to recommended levels will increase fibre, potassium and magnesium intakes. The challenge is the logistics of providing these foods throughout the year.</t>
  </si>
  <si>
    <t>[Iuliano, Sandra] Univ Melbourne Austin Hlth, Dept Endocrinol, West Heidelberg, Australia; [Ayton, Jeff] Australian Antarct Div, Polar Med Unit, Kingston, Tas, Australia</t>
  </si>
  <si>
    <t>University of Melbourne; Australian Antarctic Division</t>
  </si>
  <si>
    <t>Iuliano, S (corresponding author), Heidelberg Repatriat Hosp, Dept Endocrinol, Level 2,Centaur Bldg, West Heidelberg 3081, Australia.</t>
  </si>
  <si>
    <t>sandraib@unimelb.edu.au</t>
  </si>
  <si>
    <t>Ayton, Jeffrey/0000-0003-4012-6719</t>
  </si>
  <si>
    <t>Australian Antarctic Science; Austin Hospital Medical Research Foundation; Trans-Antarctic Association</t>
  </si>
  <si>
    <t>The authors thank the participating expeditioners for their involvement: the Australian Antarctic Division, Polar Medical Unit for their administrative and in-kind support, station medical practitioners for collating the data, Noel Tenant (Station Support Officer) for information regarding Antarctic chef and food supply practices, Skye Macleod (Melbourne University), Jane Karpavicius, Tanya Mewbury and Mary-Kate Inkster (Monash University) for assisting with data entry and Andrea Olden for categorizing the foods. This study was supported by grants from Australian Antarctic Science, Austin Hospital Medical Research Foundation and the Trans-Antarctic Association.</t>
  </si>
  <si>
    <t>2-4 PARK SQUARE, MILTON PARK, ABINGDON OR14 4RN, OXON, ENGLAND</t>
  </si>
  <si>
    <t>1239-9736</t>
  </si>
  <si>
    <t>2242-3982</t>
  </si>
  <si>
    <t>INT J CIRCUMPOL HEAL</t>
  </si>
  <si>
    <t>Int. J. Circumpolar Health</t>
  </si>
  <si>
    <t>10.3402/ijch.v74.27965</t>
  </si>
  <si>
    <t>Public, Environmental &amp; Occupational Health</t>
  </si>
  <si>
    <t>Science Citation Index Expanded (SCI-EXPANDED); Social Science Citation Index (SSCI)</t>
  </si>
  <si>
    <t>CO8RW</t>
  </si>
  <si>
    <t>Green Published, gold</t>
  </si>
  <si>
    <t>WOS:000359439500001</t>
  </si>
  <si>
    <t>Wang, JF; He, WJ; Qin, XC; Wei, XY; Tian, XP; Liao, L; Liao, SR; Yang, B; Tu, ZC; Chen, B; Wang, FZ; Zhou, XJ; Liu, YH</t>
  </si>
  <si>
    <t>Wang, Junfeng; He, Weijun; Qin, Xiaochu; Wei, Xiaoyi; Tian, Xinpeng; Liao, Li; Liao, Shengrong; Yang, Bin; Tu, Zhengchao; Chen, Bo; Wang, Fazuo; Zhou, Xiaojiang; Liu, Yonghong</t>
  </si>
  <si>
    <t>Three new indolyl diketopiperazine metabolites from the antarctic soil-derived fungus Penicillium sp SCSIO 05705</t>
  </si>
  <si>
    <t>RSC ADVANCES</t>
  </si>
  <si>
    <t>SESQUITERPENOIDS; DERIVATIVES; ALKALOIDS; PRODUCTS; DESIGN</t>
  </si>
  <si>
    <t>Three new indolyl diketopiperazine derivatives, penillines A and B (1 and 3), isopenilline A (2), together with seven known alkaloid compounds (E)-3-(1H-imidazole-4-yimethylene)-6-(1H-indl-3-ylmethyl)-2,5-piperazinediol (4), penilloid A (5), meleagrin (6), neoxaline (7), questiomycin A (8), N-(2-hydroxyphenyl)-acetamide (9), 2-benzoxazolinone (10), were isolated from the Antarctic soil-derived fungus Penicillium sp. SCSIO 05705. The new structures of 1-3 were elucidated on the basis of 1D and 2D NMR, mass spectra, CD spectra, and quantum chemical calculations. All the isolated compounds were tested for their antiviral (H1N1 and H3N2), antituberculosis, antibacterial, and cytotoxic activities. Among them, compounds 6-8 had significant in vitro cytotoxicities against the K562, MCF-7, A549, U937, Hela, DU145, HL60, and HT29 cell lines, with IC50 values ranging from 2.73 to 17.7 mu M. In addition, compound 8 showed potent antituberculosis activity with an MIC value of 3.91 mu M, and the inhibition effect was close to the positive control INH (isoniazid, MIC 2.04 mu M). A possible biogenesis pathway for compounds 1-7 was proposed.</t>
  </si>
  <si>
    <t>[Wang, Junfeng; He, Weijun; Tian, Xinpeng; Liao, Shengrong; Yang, Bin; Wang, Fazuo; Liu, Yonghong] Chinese Acad Sci, CAS Key Lab Trop Marine Bioresources &amp; Ecol, Guangdong Key Lab Marine Mat Med, RNAM Ctr Marine Microbiol,South China Sea Inst Oc, Guangzhou 510301, Guangdong, Peoples R China; [He, Weijun; Zhou, Xiaojiang] Hunan Univ Chinese Med, Coll Pharm, Changsha 410208, Hunan, Peoples R China; [Qin, Xiaochu; Tu, Zhengchao] Chinese Acad Sci, Guangzhou Inst Biomed &amp; Hlth, Guangzhou 510530, Guangdong, Peoples R China; [Wei, Xiaoyi] Chinese Acad Sci, Key Lab Plant Resources Conservat &amp; Sustainable U, South China Bot Garden, Guangzhou 510650, Guangdong, Peoples R China; [Liao, Li; Chen, Bo] Polar Res Inst China, SOA Key Lab Polar Sci, Shanghai 200136, Peoples R China</t>
  </si>
  <si>
    <t>Chinese Academy of Sciences; South China Sea Institute of Oceanology, CAS; Hunan University of Chinese Medicine; Chinese Academy of Sciences; Guangzhou Institute of Biomedicine &amp; Health, CAS; Chinese Academy of Sciences; South China Botanical Garden, CAS; Polar Research Institute of China</t>
  </si>
  <si>
    <t>Liu, YH (corresponding author), Chinese Acad Sci, CAS Key Lab Trop Marine Bioresources &amp; Ecol, Guangdong Key Lab Marine Mat Med, RNAM Ctr Marine Microbiol,South China Sea Inst Oc, Guangzhou 510301, Guangdong, Peoples R China.</t>
  </si>
  <si>
    <t>gale9888@163.com; yonghongliu@scsio.ac.cn</t>
  </si>
  <si>
    <t>Wei, xiaoyi/GZB-0870-2022; Liu, Yonghong/E-3118-2014; LIU, JIALIN/JXN-8034-2024; wei, xiao/ISB-6027-2023; Tian, Xin peng/W-1599-2019</t>
  </si>
  <si>
    <t>Liu, Yonghong/0000-0001-8327-3108; Liao, Li/0000-0002-8548-1928; Wang, Junfeng/0000-0001-6702-5366; Liao, Shengrong/0000-0003-4393-3823</t>
  </si>
  <si>
    <t>National Key Basic Research Program of China (973)'s Project [2011CB915503]; Open Foundation of the SOA key Laboratory for Polar Science; Polar Research Institute of China [KP201305]; National High Technology Research and Development Program (863 Program) [2012AA092104]; National Natural Science Foundation of China [31270402, 21172230, 41476135, 41476136]; Strategic Priority Research Program of the Chinese Academy of Sciences [XDA11030403]; Guangdong Marine Economic Development and Innovation of Regional Demonstration Project [GD2012-D01-001]</t>
  </si>
  <si>
    <t>National Key Basic Research Program of China (973)'s Project(National Basic Research Program of China); Open Foundation of the SOA key Laboratory for Polar Science; Polar Research Institute of China; National High Technology Research and Development Program (863 Program)(National High Technology Research and Development Program of China); National Natural Science Foundation of China(National Natural Science Foundation of China (NSFC)); Strategic Priority Research Program of the Chinese Academy of Sciences(Chinese Academy of Sciences); Guangdong Marine Economic Development and Innovation of Regional Demonstration Project</t>
  </si>
  <si>
    <t>This work was financially supported by the National Key Basic Research Program of China (973)'s Project (2011CB915503), the Open Foundation of the SOA key Laboratory for Polar Science, Polar Research Institute of China (KP201305), the National High Technology Research and Development Program (863 Program, 2012AA092104), the National Natural Science Foundation of China (No. 31270402, 21172230, 41476135, and 41476136), the Strategic Priority Research Program of the Chinese Academy of Sciences (XDA11030403), Guangdong Marine Economic Development and Innovation of Regional Demonstration Project (GD2012-D01-001).</t>
  </si>
  <si>
    <t>2046-2069</t>
  </si>
  <si>
    <t>RSC ADV</t>
  </si>
  <si>
    <t>RSC Adv.</t>
  </si>
  <si>
    <t>10.1039/c5ra10828d</t>
  </si>
  <si>
    <t>Chemistry, Multidisciplinary</t>
  </si>
  <si>
    <t>Chemistry</t>
  </si>
  <si>
    <t>CP0MC</t>
  </si>
  <si>
    <t>WOS:000359568400062</t>
  </si>
  <si>
    <t>Romeo, D; Hopnin, G</t>
  </si>
  <si>
    <t>Romeo, David; Hopnin, Glara</t>
  </si>
  <si>
    <t>Climate behavior trend on selecting different resistive technologies</t>
  </si>
  <si>
    <t>INTERNATIONAL JOURNAL OF ADVANCED AND APPLIED SCIENCES</t>
  </si>
  <si>
    <t>Water resources; Irrigation; Climate; Mostaganem; Algeria</t>
  </si>
  <si>
    <t>In Algeria, climate change and drought in recent years have meant that the rains have become erratic and water resources become increasingly scarce thus creating an imbalance between needs and available resources. There is then a decline in rainfall but also the economic and social life of the population. The province of Mostaganem with a semi-arid climate has so far limited water resources. In the province agriculture uses near 74% of water use with an old irrigation techniques resulting in a remarkable waste of resources. Water resources used for irrigation comes exclusively from books of PMH (Small and medium hydraulics) above wells which unfortunately are not controlled. The demand for water in agriculture is mainly provided by groundwater. So the modest goals of this work are a general diagnosis and promote irrigation or are the anomaly that we draw to prevent the necessary remedies. There is then a groundwater overexploitation causing the drawdown has reached a dangerous threshold for the future of the wilaya. However, with the projects identified and the implementation of various policies for the rational use of water, the services of the hydraulic hope meet different demands of the wilaya. (C) 2015 IASE Publisher All rights reserved.</t>
  </si>
  <si>
    <t>[Romeo, David] Univ Tasmania, Inst Marine &amp; Antarctic Studies, Fisheries Aquaculture &amp; Coasts, Hobart, Tas 7001, Australia; CSIRO Marine &amp; Atmospher Res, CSIRO Wealth Oceans &amp; Climate Adaptat Flagships, Hobart, Tas 7000, Australia</t>
  </si>
  <si>
    <t>University of Tasmania; Commonwealth Scientific &amp; Industrial Research Organisation (CSIRO)</t>
  </si>
  <si>
    <t>Romeo, D (corresponding author), Univ Tasmania, Inst Marine &amp; Antarctic Studies, Fisheries Aquaculture &amp; Coasts, Private Bag 49, Hobart, Tas 7001, Australia.</t>
  </si>
  <si>
    <t>INST ADVANCED SCIENCE EXTENSION</t>
  </si>
  <si>
    <t>TAIWAN</t>
  </si>
  <si>
    <t>PO BOX 23-31, TAIPEI, TAIWAN, 00000, PEOPLES R CHINA</t>
  </si>
  <si>
    <t>2313-626X</t>
  </si>
  <si>
    <t>2313-3724</t>
  </si>
  <si>
    <t>INT J ADV APPL SCI</t>
  </si>
  <si>
    <t>Int. J. Adv. Appl. Sci.</t>
  </si>
  <si>
    <t>JAN</t>
  </si>
  <si>
    <t>Multidisciplinary Sciences</t>
  </si>
  <si>
    <t>Emerging Sources Citation Index (ESCI)</t>
  </si>
  <si>
    <t>Science &amp; Technology - Other Topics</t>
  </si>
  <si>
    <t>CO4XB</t>
  </si>
  <si>
    <t>WOS:000359163100001</t>
  </si>
  <si>
    <t>Scafetta, N; Mazzarella, A</t>
  </si>
  <si>
    <t>Scafetta, Nicola; Mazzarella, Adriano</t>
  </si>
  <si>
    <t>The Arctic and Antarctic Sea-Ice Area Index Records versus Measured and Modeled Temperature Data</t>
  </si>
  <si>
    <t>ADVANCES IN METEOROLOGY</t>
  </si>
  <si>
    <t>CLIMATE OSCILLATIONS; CIRCULATION</t>
  </si>
  <si>
    <t>Here we study the Arctic and Antarctic sea-ice area records provided by the National Snow and Ice Data Center (NSIDC). These records reveal an opposite climatic behavior: since 1978 the Arctic sea-ice area index decreased, that is, the region has warmed, while the Antarctic sea-ice area index increased, that is, the region has cooled. During the last 7 years the Arctic sea-ice area has stabilized while the Antarctic sea-ice area has increased at a rate significantly higher than during the previous decades; that is, the sea-ice area of both regions has experienced a positive acceleration. This result is quite robust because it is confirmed by alternative temperature climate indices of the same regions. We also found that a significant 4-5-year natural oscillation characterizes the climate of these sea-ice polar areas. On the contrary, we found that the CMIP5 general circulation models have predicted significant warming in both polar sea regions and failed to reproduce the strong 4-5-year oscillation. Because the CMIP5 GCM simulations are inconsistent with the observations, we suggest that important natural mechanisms of climate change are missing in the models.</t>
  </si>
  <si>
    <t>[Scafetta, Nicola; Mazzarella, Adriano] Univ Naples Federico II, Meteorol Observ, Dept Earth Sci Environm &amp; Georesources, I-80138 Naples, Italy</t>
  </si>
  <si>
    <t>University of Naples Federico II</t>
  </si>
  <si>
    <t>Scafetta, N (corresponding author), Univ Naples Federico II, Meteorol Observ, Dept Earth Sci Environm &amp; Georesources, Largo S Marcellino 10, I-80138 Naples, Italy.</t>
  </si>
  <si>
    <t>nicola.scafetta@unina.it</t>
  </si>
  <si>
    <t>Scafetta, Nicola/K-5628-2018; Scafetta, Nicola/AAE-2558-2021</t>
  </si>
  <si>
    <t>Scafetta, Nicola/0000-0003-0967-1911; Mazzarella, Adriano/0000-0003-0507-7990</t>
  </si>
  <si>
    <t>HINDAWI LTD</t>
  </si>
  <si>
    <t>LONDON</t>
  </si>
  <si>
    <t>ADAM HOUSE, 3RD FLR, 1 FITZROY SQ, LONDON, W1T 5HF, ENGLAND</t>
  </si>
  <si>
    <t>1687-9309</t>
  </si>
  <si>
    <t>1687-9317</t>
  </si>
  <si>
    <t>ADV METEOROL</t>
  </si>
  <si>
    <t>Adv. Meteorol.</t>
  </si>
  <si>
    <t>10.1155/2015/481834</t>
  </si>
  <si>
    <t>Meteorology &amp; Atmospheric Sciences</t>
  </si>
  <si>
    <t>CO1AG</t>
  </si>
  <si>
    <t>Green Published, gold, Green Submitted</t>
  </si>
  <si>
    <t>WOS:000358884700001</t>
  </si>
  <si>
    <t>Réchou, A; Kirkwood, S</t>
  </si>
  <si>
    <t>Rechou, A.; Kirkwood, S.</t>
  </si>
  <si>
    <t>Investigation of weather anomalies in the low-latitude islands of the Indian Ocean in 1991</t>
  </si>
  <si>
    <t>ANNALES GEOPHYSICAE</t>
  </si>
  <si>
    <t>Meteorology and atmospheric dynamics; precipitation</t>
  </si>
  <si>
    <t>MADDEN-JULIAN OSCILLATION; EL-NINO; SURFACE-TEMPERATURE; MOUNT-PINATUBO; CLIMATE-CHANGE; DIPOLE MODE; ATMOSPHERE; ENSO; VARIABILITY; ERUPTIONS</t>
  </si>
  <si>
    <t>Temperature, precipitation and sunshine duration measurements at meteorological stations across the southern Indian Ocean have been analysed to try to differentiate the possible influence of the Mount Pinatubo volcanic eruption in the Philippines in June 1991 and the normal weather forcings. During December 1991, precipitation on the tropical islands Glorieuses (11.6 degrees S) and Mayotte (12.8 degrees S) was 4 and 3 times greater, respectively, than the climatological mean (precipitation is greater by more than than twice the standard deviation (SD)). Mean sunshine duration (expressed in sun hours per day) was only 6 h on Mayotte, although the sunshine duration is usually more than 7.5 +/- 0.75 h, and on the Glorieuses it was only 5 h, although it is usually 8.5 +/- 1 h. Mean and SD of sunshine duration are based on December (1964-2001 for Mayotte, 1966-1999 for the Glorieuses). The Madden-Julian Oscillation (MJO) is shown to correlate best with precipitation in this area. Variability controlling the warm zone on these two islands can be increased by the Indian Ocean Dipole (IOD), El Nino, the quasi-biennial oscillation (QBO) and/or solar activity (sunspot number, SSN). However, temperature records of these two islands show weak dependence on such forcings (temperatures are close to the climatological mean for December). This suggests that such weather forcings have an indirect effect on the precipitation. December 1991 was associated with unusually low values of the MJO index, which favours high rainfall, as well as with El Nino, eastern QBO and high SSN, which favour high variability. It is therefore not clear whether the Mount Pinatubo volcanic eruption had an effect. Since the precipitation anomalies at the Glorieuses and Mayotte are more or less local (Global Precipitation Climatology Project (GPCP) data) and the effect of the Pinatubo volcanic cloud should be more widespread, it seems unlikely that Pinatubo was the cause. Islands at higher southern latitudes (south of Tromelin at 15.5 degrees S) were not affected by the Pinatubo eruption in terms of sunshine duration, precipitation or temperature.</t>
  </si>
  <si>
    <t>[Rechou, A.] Univ La Reunion, Lab Atmosphere &amp; Cyclones, CNRS, UMR8105,Meteo France, St Denis, Reunion, France; [Kirkwood, S.] Swedish Inst Space Phys, S-98128 Kiruna, Sweden</t>
  </si>
  <si>
    <t>Centre National de la Recherche Scientifique (CNRS); CNRS - National Institute for Earth Sciences &amp; Astronomy (INSU); University of La Reunion; Meteo France</t>
  </si>
  <si>
    <t>Réchou, A (corresponding author), Univ La Reunion, Lab Atmosphere &amp; Cyclones, CNRS, UMR8105,Meteo France, St Denis, Reunion, France.</t>
  </si>
  <si>
    <t>arechou@univ-reunion.fr</t>
  </si>
  <si>
    <t>ANR; TAAF (French Austral and Antarctic Territory); FAZSOI (French South Indian Ocean Armed Forces); ANR; TAAF (French Austral and Antarctic Territory); FAZSOI (French South Indian Ocean Armed Forces)</t>
  </si>
  <si>
    <t>ANR(Agence Nationale de la Recherche (ANR)); TAAF (French Austral and Antarctic Territory); FAZSOI (French South Indian Ocean Armed Forces); ANR(Agence Nationale de la Recherche (ANR)); TAAF (French Austral and Antarctic Territory); FAZSOI (French South Indian Ocean Armed Forces)</t>
  </si>
  <si>
    <t>This research is funded by the ANR programme interface and supported by TAAF (French Austral and Antarctic Territory) and FAZSOI (French South Indian Ocean Armed Forces). We acknowledge Meteo France for providing in situ data and more particularly all the climatology team for their valuable help. GPCP precipitation data are provided by NOAA/OAR/ESRL PSD, Boulder, Colorado, USA, from their website at http://www.esrl.noaa.gov/psd/. We also want to thank the Physical Sciences Division, ESRL (NOAA), for the production of the data used in this research project. Lastly, we extend our thanks to P. Bechtold from ECMWF for his frequent help, as well as A. Robock, K. E. Trenberth, P. Keckhut, J. P. Cammas and S. Bielli for many suggestions.</t>
  </si>
  <si>
    <t>COPERNICUS GESELLSCHAFT MBH</t>
  </si>
  <si>
    <t>GOTTINGEN</t>
  </si>
  <si>
    <t>BAHNHOFSALLEE 1E, GOTTINGEN, 37081, GERMANY</t>
  </si>
  <si>
    <t>0992-7689</t>
  </si>
  <si>
    <t>1432-0576</t>
  </si>
  <si>
    <t>ANN GEOPHYS-GERMANY</t>
  </si>
  <si>
    <t>Ann. Geophys.</t>
  </si>
  <si>
    <t>10.5194/angeo-33-789-2015</t>
  </si>
  <si>
    <t>Astronomy &amp; Astrophysics; Geosciences, Multidisciplinary; Meteorology &amp; Atmospheric Sciences</t>
  </si>
  <si>
    <t>Astronomy &amp; Astrophysics; Geology; Meteorology &amp; Atmospheric Sciences</t>
  </si>
  <si>
    <t>CN9WE</t>
  </si>
  <si>
    <t>Green Submitted, gold</t>
  </si>
  <si>
    <t>WOS:000358800400001</t>
  </si>
  <si>
    <t>Emanuelsson, BD; Baisden, WT; Bertler, NAN; Keller, ED; Gkinis, V</t>
  </si>
  <si>
    <t>Emanuelsson, B. D.; Baisden, W. T.; Bertler, N. A. N.; Keller, E. D.; Gkinis, V.</t>
  </si>
  <si>
    <t>High-resolution continuous-flow analysis setup for water isotopic measurement from ice cores using laser spectroscopy</t>
  </si>
  <si>
    <t>ATMOSPHERIC MEASUREMENT TECHNIQUES</t>
  </si>
  <si>
    <t>DELTA-O-18 MEASUREMENTS; CLIMATE; TEMPERATURE; CALIBRATION; ANTARCTICA; RATIOS; O-17-EXCESS; CIRCULATION; DELTA-H-2; SEA</t>
  </si>
  <si>
    <t>Here we present an experimental setup for water stable isotope (delta O-18 and delta D) continuous-flow measurements and provide metrics defining the performance of the setup during a major ice core measurement campaign (Roosevelt Island Climate Evolution; RICE). We also use the metrics to compare alternate systems. Our setup is the first continuous-flow laser spectroscopy system that is using off-axis integrated cavity output spectroscopy (OA-ICOS; analyzer manufactured by Los Gatos Research, LGR) in combination with an evaporation unit to continuously analyze water samples from an ice core. A Water Vapor Isotope Standard Source (WVISS) calibration unit, manufactured by LGR, was modified to (1) enable measurements on several water standards, (2) increase the temporal resolution by reducing the response time and (3) reduce the influence from memory effects. While this setup was designed for the continuous-flow analysis (CFA) of ice cores, it can also continuously analyze other liquid or vapor sources. The custom setups provide a shorter response time (similar to 54 and 18 s for 2013 and 2014 setup, respectively) compared to the original WVISS unit (similar to 62 s), which is an improvement in measurement resolution. Another improvement compared to the original WVISS is that the custom setups have a reduced memory effect. Stability tests comparing the custom and WVISS setups were performed and Allan deviations (sigma(Allan)) were calculated to determine precision at different averaging times. For the custom 2013 setup the precision after integration times of 103 s is 0.060 and 0.070% for delta O-18 and delta D, respectively. The corresponding sigma(Allan) values for the custom 2014 setup are 0.030, 0.060 and 0.043% for delta O-18, delta D and delta O-17, respectively. For the WVISS setup the precision is 0.035, 0.070 and 0.042% after 103 s for delta O-18, delta D and delta O-17, respectively. Both the custom setups and WVISS setup are influenced by instrumental drift with delta O-18 being more drift sensitive than delta D. The sigma(Allan) values for delta O-18 are 0.30 and 0.18% for the custom 2013 and WVISS setup, respectively, after averaging times of 10(4) s (2.78 h). Using response time tests and stability tests, we show that the custom setups are more responsive (shorter response time), whereas the University of Copenhagen (UC) setup is more stable. More broadly, comparisons of different setups address the challenge of integrating vaporizer/spectrometer isotope measurement systems into a CFA campaign with many other analytical instruments.</t>
  </si>
  <si>
    <t>[Emanuelsson, B. D.; Bertler, N. A. N.] Victoria Univ Wellington, Antarctic Res Ctr, Wellington 6140, New Zealand; [Emanuelsson, B. D.; Baisden, W. T.; Bertler, N. A. N.; Keller, E. D.] GNS Sci, Natl Isotope Ctr, Lower Hutt 5010, New Zealand; [Gkinis, V.] Univ Copenhagen, Niels Bohr Inst, Ctr Ice &amp; Climate, DK-2100 Copenhagen, Denmark</t>
  </si>
  <si>
    <t>Victoria University Wellington; GNS Science - New Zealand; University of Copenhagen; Niels Bohr Institute</t>
  </si>
  <si>
    <t>Emanuelsson, BD (corresponding author), Victoria Univ Wellington, Antarctic Res Ctr, POB 600, Wellington 6140, New Zealand.</t>
  </si>
  <si>
    <t>daniel.emanuelsson@vuw.ac.nz</t>
  </si>
  <si>
    <t>Keller, Elizabeth/N-9428-2019; Emanuelsson, Daniel/X-9005-2019; Keller, Elizabeth Diane/GLN-5354-2022; Bertler, Nancy A N/F-3967-2011; Gkinis, Vasileios/E-8185-2011; Baisden, Troy/B-9831-2008</t>
  </si>
  <si>
    <t>Keller, Elizabeth/0000-0002-9408-9215; Emanuelsson, Daniel/0000-0002-9373-6951; Gkinis, Vasileios/0000-0002-5910-1549; Baisden, Troy/0000-0003-1814-1306; Bertler, Nancy/0000-0001-6028-4891</t>
  </si>
  <si>
    <t>New Zealand Government through GNS Science [GNS-540GCT12, GNS-540GCT32]; Victoria University of Wellington [RDF-VUW-1103]; US Polar Program [I-209M]</t>
  </si>
  <si>
    <t>New Zealand Government through GNS Science; Victoria University of Wellington; US Polar Program</t>
  </si>
  <si>
    <t>The funding for the project was provided by the New Zealand Government through GNS Science (Global Change through Time Programme, GNS-540GCT12 and GNS-540GCT32) and Victoria University of Wellington (RDF-VUW-1103).; This work is a contribution to the Roosevelt Island Climate Evolution (RICE) Program, funded by national contributions from New Zealand, Australia, Denmark, Germany, Italy, People's Republic of China, Sweden, United Kingdom and the United States of America. The main logistic support was provided by Antarctica New Zealand (K049) and the US Polar Program (I-209M).</t>
  </si>
  <si>
    <t>1867-1381</t>
  </si>
  <si>
    <t>1867-8548</t>
  </si>
  <si>
    <t>ATMOS MEAS TECH</t>
  </si>
  <si>
    <t>Atmos. Meas. Tech.</t>
  </si>
  <si>
    <t>10.5194/amt-8-2869-2015</t>
  </si>
  <si>
    <t>CN9WA</t>
  </si>
  <si>
    <t>WOS:000358799900016</t>
  </si>
  <si>
    <t>Liu, CL; Kirchengast, G; Zhang, K; Norman, R; Li, Y; Zhang, SC; Fritzer, J; Schwaerz, M; Wu, SQ; Tan, ZX</t>
  </si>
  <si>
    <t>Liu, C. L.; Kirchengast, G.; Zhang, K.; Norman, R.; Li, Y.; Zhang, S. C.; Fritzer, J.; Schwaerz, M.; Wu, S. Q.; Tan, Z. X.</t>
  </si>
  <si>
    <t>Quantifying residual ionospheric errors in GNSS radio occultation bending angles based on ensembles of profiles from end-to-end simulations</t>
  </si>
  <si>
    <t>EARTHS ATMOSPHERE; TEMPERATURE PROFILES; GPS/MET DATA; GPS; VALIDATION; INVERSION; UNCERTAINTY; RECORDS; CHAMP; MODEL</t>
  </si>
  <si>
    <t>The radio occultation (RO) technique using signals from the Global Navigation Satellite System (GNSS), in particular from the Global Positioning System (GPS) so far, is currently widely used to observe the atmosphere for applications such as numerical weather prediction and global climate monitoring. The ionosphere is a major error source in RO measurements at stratospheric altitudes, and a linear ionospheric correction of dual-frequency RO bending angles is commonly used to remove the first-order ionospheric effect. However, the residual ionospheric error (RIE) can still be significant so that it needs to be further mitigated for high-accuracy applications, especially above about 30 km altitude where the RIE is most relevant compared to the magnitude of the neutral atmospheric bending angle. Quantification and careful analyses for better understanding of the RIE is therefore important for enabling benchmark-quality stratospheric RO retrievals. Here we present such an analysis of bending angle RIEs covering the stratosphere and mesosphere, using quasi-realistic end-to-end simulations for a full-day ensemble of RO events. Based on the ensemble simulations we assessed the variation of bending angle RIEs, both biases and standard deviations, with solar activity, latitudinal region and with or without the assumption of ionospheric spherical symmetry and co-existing observing system errors. We find that the bending angle RIE biases in the upper stratosphere and mesosphere, and in all latitudinal zones from low to high latitudes, have a clear negative tendency and a magnitude increasing with solar activity, which is in line with recent empirical studies based on real RO data although we find smaller bias magnitudes, deserving further study in the future. The maximum RIE biases are found at low latitudes during daytime, where they amount to within -0.03 to -0.05 mu rad, the smallest at high latitudes (0 to -0.01 mu rad; quiet space weather and winter conditions). Ionospheric spherical symmetry or asymmetries about the RO event location have only a minor influence on RIE biases. The RIE standard deviations are markedly increased both by ionospheric asymmetries and increasing solar activity and amount to about 0.3 to 0.7 mu rad in the upper stratosphere and mesosphere. Taking also into account the realistic observation errors of a modern RO receiving system, amounting globally to about 0.4 mu rad (unbiased; standard deviation), shows that the random RIEs are typically comparable to the total observing system error. The results help to inform future RIE mitigation schemes that will improve upon the use of the linear ionospheric correction of bending angles and also provide explicit uncertainty estimates.</t>
  </si>
  <si>
    <t>[Liu, C. L.; Kirchengast, G.] Chinese Acad Sci, NSSC, Beijing, Peoples R China; [Liu, C. L.; Kirchengast, G.; Zhang, K.; Norman, R.; Wu, S. Q.] RMIT Univ, SPACE Res Ctr, Melbourne, Vic, Australia; [Kirchengast, G.; Fritzer, J.; Schwaerz, M.] Graz Univ, Wegener Ctr Climate &amp; Global Change WEGC, Graz, Austria; [Kirchengast, G.; Fritzer, J.; Schwaerz, M.] Graz Univ, IGAM IP, Graz, Austria; [Liu, C. L.; Zhang, K.; Tan, Z. X.] China Univ Min &amp; Technol, Sch Environm Sci &amp; Spatial Informat, Xuzhou, Peoples R China; [Li, Y.] Chinese Acad Sci, IGG, Wuhan, Peoples R China; [Zhang, S. C.] China Univ Geosci, Inst Geophys &amp; Geomat, Wuhan 430074, Peoples R China</t>
  </si>
  <si>
    <t>Chinese Academy of Sciences; Royal Melbourne Institute of Technology (RMIT); Melbourne Genomics Health Alliance; University of Graz; University of Graz; China University of Mining &amp; Technology; Chinese Academy of Sciences; China University of Geosciences</t>
  </si>
  <si>
    <t>Liu, CL (corresponding author), Chinese Acad Sci, NSSC, Beijing, Peoples R China.</t>
  </si>
  <si>
    <t>liucongliang1985@gmail.com</t>
  </si>
  <si>
    <t>Kirchengast, Gottfried/D-4990-2016; zhang, ke/AAH-8217-2019; Zhang, Kefei/R-5239-2019; Zhang, Shaocheng/C-9628-2012</t>
  </si>
  <si>
    <t>Kirchengast, Gottfried/0000-0001-9187-937X; Zhang, Shaocheng/0000-0002-5379-8293; Zhang, Kefei/0000-0001-9376-1148; Norman, Robert/0000-0001-8306-9588</t>
  </si>
  <si>
    <t>National Natural Science Foundation of China [41405039, 41405040]; Australian Research Council (ARC) [LP0883288]; Australian Antarctic Division projects [4159]; CAS/SAFEA International Partnership Program for Creative Research Teams [KZZD-EW-TZ-05]; European Space Agency (ESA); Australian Research Council [LP0883288] Funding Source: Australian Research Council</t>
  </si>
  <si>
    <t>National Natural Science Foundation of China(National Natural Science Foundation of China (NSFC)); Australian Research Council (ARC)(Australian Research Council); Australian Antarctic Division projects; CAS/SAFEA International Partnership Program for Creative Research Teams(Chinese Academy of Sciences); European Space Agency (ESA)(European Space Agency); Australian Research Council(Australian Research Council)</t>
  </si>
  <si>
    <t>This research was partially supported by the National Natural Science Foundation of China (grant nos. 41405039 and 41405040), the Feng Yun 3 (FY 3) Global Navigation Satellite System Occultation Sounder (GNOS) development and manufacture project led by NSSC, CAS. The research at SPACE/RMIT was supported by the Australian Research Council (ARC) (LP0883288), the Australian Antarctic Division projects (no. 4159) and the CAS/SAFEA International Partnership Program for Creative Research Teams (grant no. KZZD-EW-TZ-05). The research at WEGC was supported by the European Space Agency (ESA) projects OPSGRAS and MMValRO.</t>
  </si>
  <si>
    <t>10.5194/amt-8-2999-2015</t>
  </si>
  <si>
    <t>WOS:000358799900024</t>
  </si>
  <si>
    <t>C</t>
  </si>
  <si>
    <t>Srivastava, V; Srivastava, P; Srivastava, HB; Ray, Y</t>
  </si>
  <si>
    <t>Lollino, G; Manconi, A; Clague, J; Shan, W; Chiarle, M</t>
  </si>
  <si>
    <t>Srivastava, Vaibhava; Srivastava, Pradeep; Srivastava, Hari B.; Ray, Yogesh</t>
  </si>
  <si>
    <t>Tectonic Consideration for Location of the Kishau Dam Site on Tons River in Lesser Himalaya, India</t>
  </si>
  <si>
    <t>ENGINEERING GEOLOGY FOR SOCIETY AND TERRITORY, VOL 1: CLIMATE CHANGE AND ENGINEERING GEOLOGY</t>
  </si>
  <si>
    <t>Proceedings Paper</t>
  </si>
  <si>
    <t>12th International IAEG Congress</t>
  </si>
  <si>
    <t>SEP 15-19, 2014</t>
  </si>
  <si>
    <t>Torino, ITALY</t>
  </si>
  <si>
    <t>Kishau dam; Himalaya; Active tectonics; Tons thrust</t>
  </si>
  <si>
    <t>BOUNDARY</t>
  </si>
  <si>
    <t>A 236 m high concrete gravity dam named Kishau dam is proposed on Tons river in Lesser Himalayan region of Uttarakhand state of India. The possible site for this upcoming dam on Tons river lies in the close proximity of Tons thrust which makes a tectonic boundary between allochthonous rocks of Krol nappe and the autochthonous Simla Group rocks. The Tons thrust lies in the close vicinity of the proposed dam site. Many geomorphic and geological evidences have been observed around the dam site which indicate that active tectonics is prevalent in the region. The present study examines the geological structures of the region in order to understand the tectonic conditions that the area has experienced and finds that the southward movement of the Krol nappe is responsible for active tectonics in the region. Due to mass transfer by the movement of Krol nappe from over the autochthonous zone, the autochthonous zone is getting uplifted at an average rate of 9.7 mm/per year. In light of these active movements, the Kishau village, which lies in the southwards moving allochthonous zone, cannot be good site of Kishau dam and the dam location should preferably be placed across the Tons thrust in the autochthonous zone.</t>
  </si>
  <si>
    <t>[Srivastava, Vaibhava; Srivastava, Hari B.] Banaras Hindu Univ, Dept Geol, Varanasi 221005, Uttar Pradesh, India; [Srivastava, Pradeep] Wadia Inst Himalayan Geol, Dehra Dun 248001, Uttar Pradesh, India; [Ray, Yogesh] Natl Ctr Antarctic &amp; Ocean Res, Vasco, India</t>
  </si>
  <si>
    <t>Banaras Hindu University (BHU); Department of Science &amp; Technology (India); Wadia Institute of Himalayan Geology (WIHG); Ministry of Earth Sciences (MoES) - India; National Centre for Polar and Ocean Research (NCPOR)</t>
  </si>
  <si>
    <t>Srivastava, V (corresponding author), Banaras Hindu Univ, Dept Geol, Varanasi 221005, Uttar Pradesh, India.</t>
  </si>
  <si>
    <t>vaibhavasri9@yahoo.co.in</t>
  </si>
  <si>
    <t>Ray, Yogesh/A-9564-2012; Srivastava, Pradeep/AAC-3039-2020</t>
  </si>
  <si>
    <t>Ray, Yogesh/0000-0001-7236-9323; Srivastava, Pradeep/0000-0002-9591-7764</t>
  </si>
  <si>
    <t>SPRINGER INT PUBLISHING AG</t>
  </si>
  <si>
    <t>CHAM</t>
  </si>
  <si>
    <t>GEWERBESTRASSE 11, CHAM, CH-6330, SWITZERLAND</t>
  </si>
  <si>
    <t>978-3-319-09300-0; 978-3-319-09299-7</t>
  </si>
  <si>
    <t>10.1007/978-3-319-09300-0_93</t>
  </si>
  <si>
    <t>Engineering, Geological; Environmental Sciences; Geosciences, Multidisciplinary</t>
  </si>
  <si>
    <t>Conference Proceedings Citation Index - Science (CPCI-S)</t>
  </si>
  <si>
    <t>Engineering; Environmental Sciences &amp; Ecology; Geology</t>
  </si>
  <si>
    <t>BD2OL</t>
  </si>
  <si>
    <t>WOS:000358989700093</t>
  </si>
  <si>
    <t>Stanislawska, K; Krawiec, K; Vihma, T</t>
  </si>
  <si>
    <t>Silva, S</t>
  </si>
  <si>
    <t>Stanislawska, Karolina; Krawiec, Krzysztof; Vihma, Timo</t>
  </si>
  <si>
    <t>Genetic Programming for Estimation of Heat Flux between the Atmosphere and Sea Ice in Polar Regions</t>
  </si>
  <si>
    <t>GECCO'15: PROCEEDINGS OF THE 2015 GENETIC AND EVOLUTIONARY COMPUTATION CONFERENCE</t>
  </si>
  <si>
    <t>17th Genetic and Evolutionary Computation Conference (GECCO)</t>
  </si>
  <si>
    <t>JUL 11-15, 2015</t>
  </si>
  <si>
    <t>Madrid, SAN MARINO</t>
  </si>
  <si>
    <t>Modeling; genetic programming; symbolic regression; meteorology</t>
  </si>
  <si>
    <t>ARCTIC CLIMATE SYSTEM</t>
  </si>
  <si>
    <t>The Earth surface and atmosphere exchange heat via turbulent fluxes. An accurate description of the heat exchange is essential in modelling the weather and climate. In these models the heat fluxes are described applying the Monin-Obukhov similarity theory, where the flux depends on the air-surface temperature difference and wind speed. The theory makes idealized assumptions and the resulting estimates often have large errors. This is the case particularly in conditions when the air is warmer than the Earth surface, i.e., the atmospheric boundary layer is stably stratified, and turbulence is therefore weak. This is a common situation over snow and ice in the Arctic and Antarctic. In this paper, we present alternative models for heat flux estimation evolved by means of genetic programming (GP). To this aim, we utilize the best heat flux data collected in the Arctic and Antarctic sea ice zones. We obtain GP models that are more accurate, robust, and conceptually novel from the viewpoint of meteorology. Contrary to the Monin-Obukhov theory, the GP equations are not solely based on the air-surface temperature difference and wind speed, but include also radiative fluxes that improve the performance of the method. These results open the door to a new class of approaches to heat flux prediction with potential applications in weather and climate models.</t>
  </si>
  <si>
    <t>[Stanislawska, Karolina; Vihma, Timo] Finnish Meteorol Inst, Helsinki 00560, Finland; [Krawiec, Krzysztof] Poznan Univ Tech, PL-60965 Poznan, Poland</t>
  </si>
  <si>
    <t>Finnish Meteorological Institute; Poznan University of Technology</t>
  </si>
  <si>
    <t>Stanislawska, K (corresponding author), Finnish Meteorol Inst, Helsinki 00560, Finland.</t>
  </si>
  <si>
    <t>karolina.stanislawska@fmi.fi; krawiec@cs.put.poznan.pl; timo.vihma@fmi.fi</t>
  </si>
  <si>
    <t>Krawiec, Krzysztof/L-9390-2014; Vihma, Timo/ABC-9771-2020</t>
  </si>
  <si>
    <t>Krawiec, Krzysztof/0000-0001-5439-3231;</t>
  </si>
  <si>
    <t>ASSOC COMPUTING MACHINERY</t>
  </si>
  <si>
    <t>NEW YORK</t>
  </si>
  <si>
    <t>1515 BROADWAY, NEW YORK, NY 10036-9998 USA</t>
  </si>
  <si>
    <t>978-1-4503-3472-3</t>
  </si>
  <si>
    <t>10.1145/2739480.2754675</t>
  </si>
  <si>
    <t>Computer Science, Artificial Intelligence; Operations Research &amp; Management Science</t>
  </si>
  <si>
    <t>Computer Science; Operations Research &amp; Management Science</t>
  </si>
  <si>
    <t>BD2JF</t>
  </si>
  <si>
    <t>WOS:000358795700160</t>
  </si>
  <si>
    <t>Pirli, M; Matsuoka, K; Schweitzer, J; Moholdt, G</t>
  </si>
  <si>
    <t>Pirli, Myrto; Matsuoka, Kenichi; Schweitzer, Johannes; Moholdt, Geir</t>
  </si>
  <si>
    <t>Seismic signals from large, tabular icebergs drifting along the Dronning Maud Land coast, Antarctica, and their significance for iceberg monitoring</t>
  </si>
  <si>
    <t>JOURNAL OF GLACIOLOGY</t>
  </si>
  <si>
    <t>Antarctic glaciology; icebergs; seismology</t>
  </si>
  <si>
    <t>HYDROACOUSTIC SIGNALS; INDIAN-OCEAN; ROSS SEA</t>
  </si>
  <si>
    <t>In this study, we analyze a large dataset of seismic signals, recorded by station TROLL in Dronning Maud Land, Antarctica. The signals, recorded in April-December 2012, came from sources near the edge of the ice shelves, at distances of 230-500 km from TROLL. The sources, which moved westward with time, could be associated with four large, tabular icebergs, drifting between 15 degrees E and 8 degrees W. Combining the seismological data with information from satellite remote sensing, we find that one-third of the signals can be attributed to individual icebergs. The trajectories of three of the associated icebergs are known through iceberg-tracking databases, whereas the fourth, a fragment of one of the other three, is untracked, and only scarce information is available from satellite imagery. The observed seismic signals exhibit a wide variety of frequency characteristics, from unstructured episodes to occurrences of iceberg harmonic tremor. Although we are not able to determine the exact cause of the signals, we classify them into five classes on a phenomenological basis. This study demonstrates the potential of regional seismic networks for iceberg monitoring as supplementary resources to information obtained with remote-sensing technologies.</t>
  </si>
  <si>
    <t>[Pirli, Myrto] Skjetten, Oslo, Norway; [Matsuoka, Kenichi; Moholdt, Geir] Norwegian Polar Res Inst, Fram Ctr, Tromso, Norway; [Schweitzer, Johannes] NORSAR, Kjeller, Norway</t>
  </si>
  <si>
    <t>Norwegian Polar Institute</t>
  </si>
  <si>
    <t>Pirli, M (corresponding author), Skjetten, Oslo, Norway.</t>
  </si>
  <si>
    <t>myrto.pirli@gmail.com</t>
  </si>
  <si>
    <t>Matsuoka, Kenichi/B-7298-2017</t>
  </si>
  <si>
    <t>Matsuoka, Kenichi/0000-0002-3587-3405; Schweitzer, Johannes/0000-0002-5986-1492</t>
  </si>
  <si>
    <t>Norwegian Antarctic Research Expedition program</t>
  </si>
  <si>
    <t>The seismic station TROLL was installed by NORSAR with funding from the Norwegian Antarctic Research Expedition 2011-14 program. We are grateful for the support given by the Troll Station staff to keep the station in operation. Data from the GEOFON/Comprehensive Test Ban Treaty Organization (CTBTO) auxiliary seismic station SNAA at SANAE IV were retrieved from GeoForschungsZentrum (GFZ), Potsdam, Germany. Data from stations VNA1, VNA2 and VNA3 belonging to the seismic network of Neunnayer III were retrieved from the WebDc EIDA portal (http://webdc.eu). Data from the Russian station NVL at Novolazarevskaya were kindly provided by Oleg Starovoit at the Geophysical Service of the Russian Academy of Sciences. A great wealth of satellite-based information and associated products was used in this study, both to support our background knowledge about the behavior of the observed icebergs and for figure compilation: MODIS Antarctica mosaic images, Envisat images, CryoSat-2 data, NIC Antarctic iceberg information, and the BYU Antarctic icebergs daily positions database. We thank Max Konig (Norwegian Polar Institute) for pointing out sources and repositories of satellite images. Wind-vector data, in original form as U and V wind component data, were obtained from the web portal (http://apps.ecmwf.int/datasets/data/interim_full_daily/) of the European Centre for Medium-Range Weather Forecasts. Maps in this paper were made with Quantarctica (www.quantarctica.org). Part of this work was conducted during M.P.'s employment with NORSAR. The manuscript benefited from the constructive comments and suggestions of two anonymous reviewers.</t>
  </si>
  <si>
    <t>CAMBRIDGE UNIV PRESS</t>
  </si>
  <si>
    <t>EDINBURGH BLDG, SHAFTESBURY RD, CB2 8RU CAMBRIDGE, ENGLAND</t>
  </si>
  <si>
    <t>0022-1430</t>
  </si>
  <si>
    <t>1727-5652</t>
  </si>
  <si>
    <t>J GLACIOL</t>
  </si>
  <si>
    <t>J. Glaciol.</t>
  </si>
  <si>
    <t>10.3189/2015JoG14J210</t>
  </si>
  <si>
    <t>Geography, Physical; Geosciences, Multidisciplinary</t>
  </si>
  <si>
    <t>Physical Geography; Geology</t>
  </si>
  <si>
    <t>CO2HS</t>
  </si>
  <si>
    <t>Bronze</t>
  </si>
  <si>
    <t>WOS:000358977400006</t>
  </si>
  <si>
    <t>Hislop, C; Jabour, J</t>
  </si>
  <si>
    <t>Hislop, Cheryle; Jabour, Julia</t>
  </si>
  <si>
    <t>Quality Counts: High Seas Marine Protected Areas in the Southern Ocean</t>
  </si>
  <si>
    <t>OCEAN YEARBOOK</t>
  </si>
  <si>
    <t>INFORMATION</t>
  </si>
  <si>
    <t>[Hislop, Cheryle; Jabour, Julia] Univ Tasmania, Inst Marine &amp; Antarctic Studies, Hobart, Tas, Australia</t>
  </si>
  <si>
    <t>University of Tasmania</t>
  </si>
  <si>
    <t>Hislop, C (corresponding author), Univ Tasmania, Inst Marine &amp; Antarctic Studies, Hobart, Tas, Australia.</t>
  </si>
  <si>
    <t>Jabour, Julia A/J-7882-2014</t>
  </si>
  <si>
    <t>BRILL ACADEMIC PUBLISHERS</t>
  </si>
  <si>
    <t>LEIDEN</t>
  </si>
  <si>
    <t>PLANTIJNSTRAAT 2, P O BOX 9000, 2300 PA LEIDEN, NETHERLANDS</t>
  </si>
  <si>
    <t>0191-8575</t>
  </si>
  <si>
    <t>2211-6001</t>
  </si>
  <si>
    <t>OCEAN YEARB</t>
  </si>
  <si>
    <t>Ocean Yearb.</t>
  </si>
  <si>
    <t>10.1163/22116001-02901009</t>
  </si>
  <si>
    <t>Environmental Studies</t>
  </si>
  <si>
    <t>Environmental Sciences &amp; Ecology</t>
  </si>
  <si>
    <t>CL1MH</t>
  </si>
  <si>
    <t>WOS:000356707000010</t>
  </si>
  <si>
    <t>Connan, M; Teske, PR; Tree, AJ; Whittington, PA; McQuaid, CD</t>
  </si>
  <si>
    <t>Connan, Maelle; Teske, Peter R.; Tree, Anthony J.; Whittington, Philip A.; McQuaid, Christopher D.</t>
  </si>
  <si>
    <t>The subspecies of Antarctic Terns (Sterna vittata) wintering on the South African coast: evidence from morphology, genetics and stable isotopes</t>
  </si>
  <si>
    <t>EMU-AUSTRAL ORNITHOLOGY</t>
  </si>
  <si>
    <t>carbon and nitrogen stable isotopes; feathers; intron sequences; microsatellites; mtDNA; population structure; Southern Ocean</t>
  </si>
  <si>
    <t>POLYMORPHIC MICROSATELLITE LOCI; POPULATION-STRUCTURE; FORAGING AREAS; AMPLIFICATION; SOFTWARE; TAXONOMY; PREDATORS; SEABIRDS; PATTERNS; BEHAVIOR</t>
  </si>
  <si>
    <t>Five to seven subspecies of Antarctic Tern (Sterna vittata) are recognised, with at least three (S. v. vittata, S. v. tristanensis and S. v. sanctipauli) wintering in South Africa. Morphological characters used to define these subspecies are not perfectly reliable, but fidelity to nesting site suggests they could be genetically distinct. We used morphological data and DNA to investigate the validity of subspecies. We further used stable isotope analysis of feather samples collected from the non-breeding grounds in South Africa to attempt to ascertain the population of origin. Nuclear and mitochondrial DNA sequence data identified two major genetic clades: one mostly comprised individuals partially or completely matching the morphological description of S. v. tristanensis, the other included individuals from S. v. vittata and S. v. sanctipauli. Stable isotope values indicated that juveniles originated from at least three populations. Irrespective of their morphological and genetic characteristics, most immatures moulted in Antarctic waters, and adults moulted in various habitats. Their colony of origin could not therefore be inferred from stable isotope values from feathers. Results indicate that morphological groupings may reflect a north-south cline across the Indian Ocean. Adequate conservation strategies require rigorous reassessment of the currently accepted subspecies, including DNA analyses of samples from the breeding grounds, particularly on Amsterdam and St Paul Islands.</t>
  </si>
  <si>
    <t>[Connan, Maelle; Teske, Peter R.; McQuaid, Christopher D.] Rhodes Univ, Dept Zool &amp; Entomol, ZA-6031 Port Elizabeth, South Africa; [Teske, Peter R.] Flinders Univ S Australia, Sch Biol Sci, Adelaide, SA 5001, Australia; [Teske, Peter R.] Univ Johannesburg, Dept Zool, Johannesburg, South Africa; [Whittington, Philip A.] Nelson Mandela Metropolitan Univ, Dept Zool, ZA-6031 Port Elizabeth, South Africa; [Whittington, Philip A.] East London Museum, ZA-5213 Southernwood, South Africa</t>
  </si>
  <si>
    <t>Rhodes University; Flinders University South Australia; University of Johannesburg; Nelson Mandela University</t>
  </si>
  <si>
    <t>Connan, M (corresponding author), Nelson Mandela Metropolitan Univ, Dept Zool, POB 77000, ZA-6031 Port Elizabeth, South Africa.</t>
  </si>
  <si>
    <t>maelle.connan@gmail.com</t>
  </si>
  <si>
    <t>Connan, Maelle/A-8468-2008; McQuaid, Christopher/AAT-3725-2020; Teske, Peter/B-1564-2019</t>
  </si>
  <si>
    <t>McQuaid, Christopher/0000-0002-3473-8308; Connan, Maelle/0000-0002-1308-9118; Teske, Peter/0000-0002-2838-7804</t>
  </si>
  <si>
    <t>Marine and Coastal Management of the Department of Environmental Affairs; Department of Agriculture Forestry and Fisheries; National Research Foundation (NRF) of South Africa; Nelson Mandela Metropolitan University (NMMU, Port Elizabeth, South Africa); South African Research Chairs Initiative of the Department of Science and Technology; NRF; Rhodes University (Grahamstown, South Africa); Flinders University (Adelaide, Australia); Research Ethics Committee (Animal) of NMMU [A09-SCI-ZOO-003]</t>
  </si>
  <si>
    <t>Marine and Coastal Management of the Department of Environmental Affairs; Department of Agriculture Forestry and Fisheries(Australian GovernmentDepartment of Agriculture and Water Resources); National Research Foundation (NRF) of South Africa(National Research Foundation - South Africa); Nelson Mandela Metropolitan University (NMMU, Port Elizabeth, South Africa); South African Research Chairs Initiative of the Department of Science and Technology; NRF; Rhodes University (Grahamstown, South Africa); Flinders University (Adelaide, Australia); Research Ethics Committee (Animal) of NMMU</t>
  </si>
  <si>
    <t>This research was supported with funding by Marine and Coastal Management of the Department of Environmental Affairs, the Department of Agriculture Forestry and Fisheries, and the National Research Foundation (NRF) of South Africa. South African National Parks are thanked for permission to work on Bird Island, for accommodation and logistical support. The Western Cape Nature Conservation Board (Gatesville, South Africa) allowed access to and provided accommodation at Dyer Island. Cathy Wiid from Nelson Mandela Metropolitan University (NMMU, Port Elizabeth, South Africa) is thanked for management of funds. The authors thank Jiangyong Qu for his help in the genetic analyses. M. Connan was supported by the South African Research Chairs Initiative of the Department of Science and Technology and the NRF. P. R. Teske was supported by Rhodes University (Grahamstown, South Africa) and Flinders University (Adelaide, Australia). This manuscript represents publication number 52 of the Molecular Ecology Group for Marine Research (MEGMAR) at Flinders University. The project was approved by Research Ethics Committee (Animal) of NMMU (A09-SCI-ZOO-003). The Editor, Associate Editor and three reviewers, including Paul Sagar, are thanked for their comments, which greatly improved earlier versions of the manuscript.</t>
  </si>
  <si>
    <t>TAYLOR &amp; FRANCIS AUSTRALASIA</t>
  </si>
  <si>
    <t>MELBOURNE</t>
  </si>
  <si>
    <t>LEVEL 2, 11 QUEENS RD, MELBOURNE, VIC 3004, AUSTRALIA</t>
  </si>
  <si>
    <t>0158-4197</t>
  </si>
  <si>
    <t>1448-5540</t>
  </si>
  <si>
    <t>EMU</t>
  </si>
  <si>
    <t>Emu</t>
  </si>
  <si>
    <t>10.1071/MU14089</t>
  </si>
  <si>
    <t>Ornithology</t>
  </si>
  <si>
    <t>Zoology</t>
  </si>
  <si>
    <t>CN8BW</t>
  </si>
  <si>
    <t>WOS:000358663200004</t>
  </si>
  <si>
    <t>Takata, H; Lee, JM; Sakai, S; Nomura, R; Tsujimoto, A; Nishi, H; Lim, HS; Khim, BK</t>
  </si>
  <si>
    <t>Takata, Hiroyuki; Lee, Jong-min; Sakai, Saburo; Nomura, Ritsuo; Tsujimoto, Akira; Nishi, Hiroshi; Lim, Hyoun Soo; Khim, Boo-Keun</t>
  </si>
  <si>
    <t>Impact of early Oligocene deep water circulation to the benthic foraminifera in the eastern equatorial Pacific</t>
  </si>
  <si>
    <t>MICROPALEONTOLOGY</t>
  </si>
  <si>
    <t>ANTARCTIC GLACIATION; ATLANTIC-OCEAN; MIDDLE EOCENE; TRANSITION; PALEOGENE</t>
  </si>
  <si>
    <t>We investigated benthic foraminifera in the eastern equatorial Pacific Ocean at the Integrated Ocean Drilling Program Site U1334 (similar to 3580 to 3650m paleo-depth) during a time interval of similar to 33.2-31.9Ma, which is characterized by paleoceanographic changes after the overshoot associated with the Antarctic glaciation across the Eocene-Oligocene transition. Correlation between MDS axis 1 (faunal composition of benthic foraminifera) and the fragmentation rate of planktonic foraminifera was positive. MDS axis 1 was also positively correlated with the delta C-13 values of benthic foraminifera at Site 1218. The positive correlation between the benthic foraminiferal delta C-13 values at Site 1218 and the fragmentation rate at Site U1334 did not correspond to the general relationship between the benthic foraminiferal delta C-13 values and carbonate corrosivity. Transient common occurrence and subsequent gradual decrease of Astrononion echnolsi, a characteristic species of MDS axis 1 that appeared to expand temporarily from the Southern Ocean to the abyssal Pacific, occurred abundantly during similar to 33.2-31.9Ma. The similarities among MDS axis 1, the fragmentation rate and the benthic foraminiferal delta C-13 values were likely explained by the heterogeneity in carbonate corrosivity changes, associated with different extent of export production in the Southern Ocean compared to other oceans after the Oi-1 Antarctic glaciation. Such heterogeneity might result from the transient expansion of the Southern Ocean deep water into the abyssal Pacific during the earliest Oligocene.</t>
  </si>
  <si>
    <t>[Takata, Hiroyuki] Shimane Univ, Res Ctr Coastal Lagoon Environm, Matsue 6908504, Shimane, Japan; [Takata, Hiroyuki] Pusan Natl Univ, Marine Res Inst, Busan 609735, South Korea; [Takata, Hiroyuki] Sch Coastal Earth Environm, Busan 609735, South Korea; [Lee, Jong-min; Khim, Boo-Keun] Pusan Natl Univ, Dept Oceanog, Busan 609735, South Korea; [Sakai, Saburo] Japan Agcy Marine Earth Sci &amp; Technol, Dept Biogeochem, Yokosuka, Kanagawa 2370061, Japan; [Nomura, Ritsuo; Tsujimoto, Akira] Shimane Univ, Fac Educ, Matsue, Shimane 6908504, Japan; [Nishi, Hiroshi] Tohoku Univ, Dept Earth Sci, Sendai, Miyagi 9808578, Japan; [Lim, Hyoun Soo] Pusan Natl Univ, Dept Geol Sci, Busan 609735, South Korea</t>
  </si>
  <si>
    <t>Shimane University; Pusan National University; Pusan National University; Japan Agency for Marine-Earth Science &amp; Technology (JAMSTEC); Shimane University; Tohoku University; Pusan National University</t>
  </si>
  <si>
    <t>Takata, H (corresponding author), Shimane Univ, Res Ctr Coastal Lagoon Environm, Matsue 6908504, Shimane, Japan.</t>
  </si>
  <si>
    <t>bkkhim@pusan.ac.kr</t>
  </si>
  <si>
    <t>Lim, Hyoun Soo/AAC-5499-2022</t>
  </si>
  <si>
    <t>Lim, Hyoun Soo/0000-0002-2489-4470</t>
  </si>
  <si>
    <t>U.S. National Science Foundation (NSF); J-DESC</t>
  </si>
  <si>
    <t>U.S. National Science Foundation (NSF)(National Science Foundation (NSF)); J-DESC</t>
  </si>
  <si>
    <t>We thank Thomas Westerhold (MARUM) for his suggestions about the composite depth and the age model at the study site. We appreciated Oliver Friedrich (University of Heidelberg) for his valuable comments to improve data interpretation. We were indebted to Harry Dowsett (Editor of Micropaleontology) and an anonymous reviewer for their constructive comments. This research used samples and/or data provided by the Ocean Drilling Program (ODP) and the Integrated Ocean Drilling Program (IODP), both are sponsored by the U.S. National Science Foundation (NSF) and participating countries under the management of the Joint Oceanographic Institution (JOI), Inc. This study was carried out by J-DESC financial support (HT), the 2014 Post-Doc. Development Program of Pusan National University (HT), and K-IODP program through the Ministry of Oceans and Fisheries, Korea (BK).</t>
  </si>
  <si>
    <t>MICRO PRESS</t>
  </si>
  <si>
    <t>FLUSHING</t>
  </si>
  <si>
    <t>6530 KISSENA BLVD, FLUSHING, NY 11367 USA</t>
  </si>
  <si>
    <t>0026-2803</t>
  </si>
  <si>
    <t>1937-2795</t>
  </si>
  <si>
    <t>Micropaleontology</t>
  </si>
  <si>
    <t>Paleontology</t>
  </si>
  <si>
    <t>CN9KD</t>
  </si>
  <si>
    <t>WOS:000358765300004</t>
  </si>
  <si>
    <t>Schram, JB; Schoenrock, KM; McClintock, JB; Amsler, CD; Angus, RA</t>
  </si>
  <si>
    <t>Schram, Julie B.; Schoenrock, Kathryn M.; McClintock, James B.; Amsler, Charles D.; Angus, Robert A.</t>
  </si>
  <si>
    <t>Multi-frequency observations of seawater carbonate chemistry on the central coast of the western Antarctic Peninsula</t>
  </si>
  <si>
    <t>POLAR RESEARCH</t>
  </si>
  <si>
    <t>Review</t>
  </si>
  <si>
    <t>Antarctica; aragonite; calcite; pH; seawater chemistry; total alkalinity</t>
  </si>
  <si>
    <t>OCEAN ACIDIFICATION; SEA-ICE; DISSOCIATION-CONSTANTS; ANNUAL CYCLE; PRYDZ BAY; WATER; SINK; PH; VARIABILITY; EXCHANGE</t>
  </si>
  <si>
    <t>Assessments of benthic coastal seawater carbonate chemistry in Antarctica are sparse. The studies have generally been short in duration, during the austral spring/summer, under sea ice, or offshore in ice-free water. Herein we present multi-frequency measurements for seawater collected from the shallow coastal benthos on a weekly schedule over one year (May 2012-May 2013), daily schedule over three months (March-May 2013) and semidiurnal schedule over five weeks (March-April 2013). A notable pH increase (max pH-8.62) occurred in the late austral spring/summer (November-December 2012), coinciding with sea-ice break-out and subsequent increase in primary productivity. We detected semidiurnal variation in seawater pH with a maximum variation of 0.13 pH units during the day and 0.11 pH units during the night. Daily variation in pH is likely related to biological activity, consistent with previous research. We calculated the variation in dissolved inorganic carbon (DIC) over each seawater measurement frequency, focusing on the primary DIC drivers in the Palmer Station region. From this, we estimated net biological activity and found it accounts for the greatest variations in DIC. Our seasonal data suggest that this coastal region tends to act as a carbon dioxide source during austral winter months and as a strong sink during the summer. These data characterize present-day seawater carbonate chemistry and the extent to which these measures vary over multiple time scales. This information will inform future experiments designed to evaluate the vulnerability of coastal benthic Antarctic marine organisms to ocean acidification.</t>
  </si>
  <si>
    <t>[Schram, Julie B.; Schoenrock, Kathryn M.; McClintock, James B.; Amsler, Charles D.; Angus, Robert A.] Univ Alabama Birmingham, Dept Biol, Birmingham, AL 35294 USA</t>
  </si>
  <si>
    <t>University of Alabama System; University of Alabama Birmingham</t>
  </si>
  <si>
    <t>Schram, JB (corresponding author), Univ Alabama Birmingham, Dept Biol, 1300 Univ Blvd,Campbell Hall 464, Birmingham, AL 35294 USA.</t>
  </si>
  <si>
    <t>jbschram@uab.edu</t>
  </si>
  <si>
    <t>/AAL-3738-2021; Schoenrock, Kathryn/B-9082-2018</t>
  </si>
  <si>
    <t>Schram, Julie/0000-0002-1556-6483; Schoenrock, Kathryn/0000-0002-0407-3173</t>
  </si>
  <si>
    <t>Office of Polar Programs (National Science Foundation) [ANT-0823101, OPP-9011927, OPP-9632763, OPP-0217282]; National Science Foundation [ANT-1041022]; Department of Biology at the University of Alabama at Birmingham; Office of Polar Programs (OPP); Directorate For Geosciences [1041022] Funding Source: National Science Foundation</t>
  </si>
  <si>
    <t>Office of Polar Programs (National Science Foundation)(National Science Foundation (NSF)); National Science Foundation(National Science Foundation (NSF)); Department of Biology at the University of Alabama at Birmingham; Office of Polar Programs (OPP); Directorate For Geosciences(National Science Foundation (NSF)NSF - Directorate for Geosciences (GEO))</t>
  </si>
  <si>
    <t>The authors gratefully acknowledge the science and logistics support staff of Antarctic Support Contract for their invaluable help and support. We thank Janice O'Reilly and Caroline Lipke for their assistance with on-site seawater sample collection during the austral winter of 2012 and the austral summer of 2012/13, respectively. On-site sample collections and analyses were aided by the efforts of Margaret Amsler and Kevin Scriber. Thanks are due to Margaret Amsler and two anonymous reviewers whose constructive feedback enhanced and improved this manuscript. Annual data for Palmer Station regional sea ice and chl a concentrations were obtained from the Palmer LTER Data Repository supported by the Office of Polar Programs (National Science Foundation grants ANT-0823101, OPP-9011927, OPP-9632763 and OPP-0217282). The present study was supported by National Science Foundation grant ANT-1041022 awarded to JBM, CDA and RAA. Additional support was provided by the Department of Biology at the University of Alabama at Birmingham.</t>
  </si>
  <si>
    <t>0800-0395</t>
  </si>
  <si>
    <t>1751-8369</t>
  </si>
  <si>
    <t>POLAR RES</t>
  </si>
  <si>
    <t>Polar Res.</t>
  </si>
  <si>
    <t>10.3402/polar.v34.25582</t>
  </si>
  <si>
    <t>Ecology; Geosciences, Multidisciplinary; Oceanography</t>
  </si>
  <si>
    <t>Environmental Sciences &amp; Ecology; Geology; Oceanography</t>
  </si>
  <si>
    <t>CN8FZ</t>
  </si>
  <si>
    <t>Green Accepted, gold</t>
  </si>
  <si>
    <t>WOS:000358676400001</t>
  </si>
  <si>
    <t>Lieb-Lappen, RM; Obbard, RW</t>
  </si>
  <si>
    <t>Lieb-Lappen, R. M.; Obbard, R. W.</t>
  </si>
  <si>
    <t>The role of blowing snow in the activation of bromine over first-year Antarctic sea ice</t>
  </si>
  <si>
    <t>ATMOSPHERIC CHEMISTRY AND PHYSICS</t>
  </si>
  <si>
    <t>OZONE DEPLETION EVENTS; POLAR TROPOSPHERIC OZONE; MARINE BOUNDARY-LAYER; FROST FLOWERS; SALT AEROSOL; CHEMICAL-COMPOSITION; REGIONS; CHEMISTRY; BRO; MICROSTRUCTURE</t>
  </si>
  <si>
    <t>It is well known that during polar springtime halide sea salt ions, in particular Br-, are photochemically activated into reactive halogen species (e.g., Br and BrO), where they break down tropospheric ozone. This research investigated the role of blowing snow in transporting salts from the sea ice/snow surface into reactive bromine species in the air. At two different locations over first-year ice in the Ross Sea, Antarctica, collection baskets captured blowing snow at different heights. In addition, sea ice cores and surface snow samples were collected throughout the month-long campaign. Over this time, sea ice and surface snow Br-/Cl- mass ratios remained constant and equivalent to seawater, and only in lofted snow did bromide become depleted relative to chloride. This suggests that replenishment of bromide in the snowpack occurs faster than bromine activation in mid-strength wind conditions (approximately 10 m s(-1)) or that blowing snow represents only a small portion of the surface snowpack. Additionally, lofted snow was found to be depleted in sulfate and enriched in nitrate relative to surface snow.</t>
  </si>
  <si>
    <t>[Lieb-Lappen, R. M.; Obbard, R. W.] Dartmouth Coll, Thayer Sch Engn, Hanover, NH 03755 USA</t>
  </si>
  <si>
    <t>Dartmouth College</t>
  </si>
  <si>
    <t>Lieb-Lappen, RM (corresponding author), Dartmouth Coll, Thayer Sch Engn, 14 Engn Dr, Hanover, NH 03755 USA.</t>
  </si>
  <si>
    <t>ross.lieb-lappen@dartmouth.edu</t>
  </si>
  <si>
    <t>Lieblappen, Ross/R-1081-2019</t>
  </si>
  <si>
    <t>Lieblappen, Ross/0000-0002-5840-7538; Obbard, Rachel/0000-0003-2532-5648</t>
  </si>
  <si>
    <t>National Science Foundation (NSF) [1043145]; Directorate For Geosciences; Office of Polar Programs (OPP) [1043145] Funding Source: National Science Foundation</t>
  </si>
  <si>
    <t>National Science Foundation (NSF)(National Science Foundation (NSF)); Directorate For Geosciences; Office of Polar Programs (OPP)(National Science Foundation (NSF)NSF - Directorate for Geosciences (GEO))</t>
  </si>
  <si>
    <t>This research was supported by a National Science Foundation (NSF) Grant # 1043145. The authors would like to thank Anthony Faia, Josh Landis, Dave Ferris, Howard Roscoe, and the two referees for guidance with IC and insightful suggestions in preparing this manuscript.</t>
  </si>
  <si>
    <t>1680-7316</t>
  </si>
  <si>
    <t>1680-7324</t>
  </si>
  <si>
    <t>ATMOS CHEM PHYS</t>
  </si>
  <si>
    <t>Atmos. Chem. Phys.</t>
  </si>
  <si>
    <t>10.5194/acp-15-7537-2015</t>
  </si>
  <si>
    <t>Environmental Sciences; Meteorology &amp; Atmospheric Sciences</t>
  </si>
  <si>
    <t>Environmental Sciences &amp; Ecology; Meteorology &amp; Atmospheric Sciences</t>
  </si>
  <si>
    <t>CM8UT</t>
  </si>
  <si>
    <t>WOS:000357978300024</t>
  </si>
  <si>
    <t>Selbmann, L; Onofri, S; Zucconi, L; Isola, D; Rottigni, M; Ghiglione, C; Piazza, P; Alvaro, MC; Schiaparelli, S</t>
  </si>
  <si>
    <t>Selbmann, Laura; Onofri, Silvano; Zucconi, Laura; Isola, Daniela; Rottigni, Marino; Ghiglione, Claudio; Piazza, Paola; Alvaro, Maria Chiara; Schiaparelli, Stefano</t>
  </si>
  <si>
    <t>Distributional records of Antarctic fungi based on strains preserved in the Culture Collection of Fungi from Extreme Environments (CCFEE) Mycological Section associated with the Italian National Antarctic Museum (MNA)</t>
  </si>
  <si>
    <t>MYCOKEYS</t>
  </si>
  <si>
    <t>Antarctica; Antarctic Peninsula; CCFEE; Fungi; MNA; Victoria Land</t>
  </si>
  <si>
    <t>ROCK-INHABITING FUNGI; BLACK FUNGI; SP NOV.; SPACE; LIFE; COMMUNITIES; MICROFUNGI; ORGANISMS; PHYLOGENY; GEN.</t>
  </si>
  <si>
    <t>This dataset includes information regarding fungal strains collected during several Antarctic expeditions: the Italian National Antarctic Research program (PNRA) expeditions X (1994/1995), XII (1996/1997), XVII (2001/2002), XIX (2003/2004), XXVI (2010/2011), the Czech IPY Expedition (2007-2009) and a number of strains donated by E. Imre Friedmann (Florida State University) in 2001, isolated from samples collected during the U.S.A. Antarctic Expeditions of 1980-1982. Samples, consisting of colonized rocks, mosses, lichens, sediments and soils, were collected in Southern and Northern Victoria Land of the continental Antarctica and in the Antarctic Peninsula. A total of 259 different strains were isolated, belonging to 32 genera and 38 species, out of which 12 represented new taxa. These strains are preserved in the Antarctic section of the Culture Collection of Fungi from Extreme Environments (CCFEE), which represents one of the collections associated with the Italian National Antarctic Museum (MNA, Section of Genoa, Italy), located at the Laboratory of Systematic Botany and Mycology, Department of Ecological and Biological Sciences (DEB), Tuscia University (Viterbo, Italy). The CCFEE hosts a total of 486 Antarctic fungal strains from worldwide extreme environments. Distributional records are reported here for 259 of these strains. The holotypes of the 12 new species included in this dataset are maintained at CCFEE and in other international collections: CBS-KNAW Fungal Biodiversity Centre (Utrecht, Netherlands); DBVPG, Industrial Yeasts Collection (University of Perugia, Italy); DSMZ, German Collection of Microorganisms and Cell Cultures (Brunswick, Germany); IMI, International Mycological Institute (London, U.K.).</t>
  </si>
  <si>
    <t>[Rottigni, Marino; Ghiglione, Claudio; Piazza, Paola; Alvaro, Maria Chiara; Schiaparelli, Stefano] Univ Genoa, Italian Natl Antarctic Museum MNA, Sect Genoa, Genoa, Italy; [Isola, Daniela; Rottigni, Marino; Piazza, Paola; Alvaro, Maria Chiara; Schiaparelli, Stefano] Univ Genoa, Dept Earth Environm &amp; Life Sci DISTAV, Genoa, Italy; [Ghiglione, Claudio] Univ Siena, Dept Phys Earth &amp; Environm Sci, I-53100 Siena, Italy; [Selbmann, Laura; Onofri, Silvano; Zucconi, Laura] Univ Tuscia, Dept Ecol &amp; Biol Sci DEB, Viterbo, Italy</t>
  </si>
  <si>
    <t>University of Genoa; University of Genoa; University of Siena; Tuscia University</t>
  </si>
  <si>
    <t>Schiaparelli, S (corresponding author), Univ Genoa, Italian Natl Antarctic Museum MNA, Sect Genoa, Genoa, Italy.</t>
  </si>
  <si>
    <t>stefano.schiaparelli@unige.it</t>
  </si>
  <si>
    <t>Schiaparelli, Stefano/AAI-4024-2020; Zucconi, L./U-9781-2018; Isola, Daniela/AAX-5814-2020</t>
  </si>
  <si>
    <t>Schiaparelli, Stefano/0000-0002-0137-3605; Zucconi, L./0000-0001-9793-2303; Isola, Daniela/0000-0002-5069-6056; ONOFRI, Silvano/0000-0001-8872-1440</t>
  </si>
  <si>
    <t>PENSOFT PUBL</t>
  </si>
  <si>
    <t>SOFIA</t>
  </si>
  <si>
    <t>GEO MILEV STR 13A, SOFIA, 1111, BULGARIA</t>
  </si>
  <si>
    <t>1314-4057</t>
  </si>
  <si>
    <t>1314-4049</t>
  </si>
  <si>
    <t>MycoKeys</t>
  </si>
  <si>
    <t>10.3897/mycokeys.10.5343</t>
  </si>
  <si>
    <t>Mycology</t>
  </si>
  <si>
    <t>CN2OQ</t>
  </si>
  <si>
    <t>Green Submitted, Green Published, gold</t>
  </si>
  <si>
    <t>WOS:000358262000003</t>
  </si>
  <si>
    <t>Metcalf, SJ; van Putten, EI; Frusher, S; Marshall, NA; Tull, M; Caputi, N; Haward, M; Hobday, AJ; Holbrook, NJ; Jennings, SM; Pecl, GT; Shaw, J</t>
  </si>
  <si>
    <t>Metcalf, Sarah J.; van Putten, Elizabeth I.; Frusher, Stewart; Marshall, Nadine A.; Tull, Malcolm; Caputi, Nick; Haward, Marcus; Hobday, Alistair J.; Holbrook, Neil J.; Jennings, Sarah M.; Pecl, Gretta T.; Shaw, Jenny</t>
  </si>
  <si>
    <t>Measuring the vulnerability of marine social-ecological systems: a prerequisite for the identification of climate change adaptations</t>
  </si>
  <si>
    <t>ECOLOGY AND SOCIETY</t>
  </si>
  <si>
    <t>adaptive capacity; coastal communities; fisheries; resource dependency; social-ecological</t>
  </si>
  <si>
    <t>ADAPTIVE CAPACITY; CHANGE IMPACTS; RESILIENCE; MANAGEMENT; RISK; AUSTRALIA; FISHERIES; UNCERTAINTY; PERCEPTIONS; STRATEGIES</t>
  </si>
  <si>
    <t>Reducing the vulnerability of coastal communities to marine climate change requires that communities have some intrinsic capacity to adapt. To assist adaptation planning and the implementation of adaptation strategies, identifying barriers and enablers to adaptation is important. Adaptive capacity, resource dependence, local climate change exposure and biological sensitivity were used to assess socioeconomic vulnerability to climate change in three Australian coastal communities: St Helens, Tasmania; Bowen, Queensland; and Geraldton, Western Australia. Higher adaptive capacity was associated with larger population size (i.e., Geraldton) whereas greater resource dependence, and lower human and natural capital were associated with smaller populations (St Helens and Bowen). Socioeconomic vulnerability was greatly influenced by climate exposure and sensitivity with the moderately sized Bowen having the highest socioeconomic vulnerability to climate change. Adaptation strategies that utilized available assets, improved adaptive capacity, or reduced socioeconomic vulnerability were identified in partnership with local communities, including increased and diversified employment opportunities, the re-establishment of local fish markets, and improved education and communication. The level of resources, or capitals, available to communities can indicate where barriers and enablers to adaptation exist. Identified barriers to adaptation included a heavy reliance on one sector for employment and a lack of physical capital. We demonstrate that knowledge of intrinsic community characteristics can be beneficial for prioritizing adaptation actions to reduce socioeconomic vulnerability to marine climate change.</t>
  </si>
  <si>
    <t>[Metcalf, Sarah J.; Tull, Malcolm] Murdoch Univ, Sch Management &amp; Governance, Murdoch, WA 6150, Australia; [van Putten, Elizabeth I.] CSIRO Oceans &amp; Atmosphere, Hobart, Tas, Australia; [van Putten, Elizabeth I.; Frusher, Stewart; Haward, Marcus; Hobday, Alistair J.; Holbrook, Neil J.; Jennings, Sarah M.; Pecl, Gretta T.] Univ Tasmania, Ctr Marine Socioecol, Hobart, Tas 7001, Australia; [Frusher, Stewart; Haward, Marcus; Holbrook, Neil J.; Pecl, Gretta T.] Univ Tasmania, Inst Marine &amp; Antarctic Studies, Hobart, Tas 7001, Australia; [Marshall, Nadine A.] CSIRO Land &amp; Water Flagship, Acton, ACT, Australia; [Caputi, Nick] Dept Fisheries, Perth, WA, Australia; [Hobday, Alistair J.] CSIRO Oceans &amp; Atmosphere Flagship, Acton, ACT, Australia; [Jennings, Sarah M.] Univ Tasmania, Tasmanian Sch Business &amp; Econ, Hobart, Tas 7001, Australia; [Shaw, Jenny] Curtin Univ, Sustainabil Policy Inst, Bentley, WA, Australia</t>
  </si>
  <si>
    <t>Murdoch University; Commonwealth Scientific &amp; Industrial Research Organisation (CSIRO); University of Tasmania; University of Tasmania; Commonwealth Scientific &amp; Industrial Research Organisation (CSIRO); Commonwealth Scientific &amp; Industrial Research Organisation (CSIRO); University of Tasmania; Curtin University</t>
  </si>
  <si>
    <t>Metcalf, SJ (corresponding author), Murdoch Univ, Sch Management &amp; Governance, Murdoch, WA 6150, Australia.</t>
  </si>
  <si>
    <t>Marshall, Nadine/D-9339-2011; Pecl, Gretta/D-7267-2011; Tull, Malcolm/IWV-4012-2023; Hobday, Alistair/A-1460-2012; Jennings, Sarah M/J-7888-2014; Holbrook, Neil/M-7544-2013; Haward, Marcus/G-3369-2014</t>
  </si>
  <si>
    <t>Marshall, Nadine/0000-0003-4463-3558; Pecl, Gretta/0000-0003-0192-4339; Holbrook, Neil/0000-0002-3523-6254; Haward, Marcus/0000-0003-4775-0864</t>
  </si>
  <si>
    <t>Fisheries Research and Development Corporation [FRDC 2010/542]; ARC Future Fellowship</t>
  </si>
  <si>
    <t>Fisheries Research and Development Corporation; ARC Future Fellowship(Australian Research Council)</t>
  </si>
  <si>
    <t>This study was funded by the Fisheries Research and Development Corporation (FRDC 2010/542). G. Pecl was funded by an ARC Future Fellowship. The role of OceanWatch and SeaNet officers was invaluable throughout the community visits. We would specifically like to thank Lowri Pryce, Anita Paulsen, Dave Schubert, Jay Shoesmith, and Cassie Price for all their help. We would like to thank all survey respondents and contacts in St Helens, Bowen, and Geraldton for their valuable insights and willingness to participate.</t>
  </si>
  <si>
    <t>RESILIENCE ALLIANCE</t>
  </si>
  <si>
    <t>WOLFVILLE</t>
  </si>
  <si>
    <t>ACADIA UNIV, BIOLOGY DEPT, WOLFVILLE, NS B0P 1X0, CANADA</t>
  </si>
  <si>
    <t>1708-3087</t>
  </si>
  <si>
    <t>ECOL SOC</t>
  </si>
  <si>
    <t>Ecol. Soc.</t>
  </si>
  <si>
    <t>10.5751/ES-07509-200235</t>
  </si>
  <si>
    <t>Ecology; Environmental Studies</t>
  </si>
  <si>
    <t>CM3ZB</t>
  </si>
  <si>
    <t>gold, Green Published, Green Accepted</t>
  </si>
  <si>
    <t>WOS:000357622800024</t>
  </si>
  <si>
    <t>Macoustra, GK; King, CK; Wasley, J; Robinson, SA; Jolley, DF</t>
  </si>
  <si>
    <t>Macoustra, Gabriella K.; King, Catherine K.; Wasley, Jane; Robinson, Sharon A.; Jolley, Dianne F.</t>
  </si>
  <si>
    <t>Impact of hydrocarbons from a diesel fuel on the germination and early growth of subantarctic plants</t>
  </si>
  <si>
    <t>ENVIRONMENTAL SCIENCE-PROCESSES &amp; IMPACTS</t>
  </si>
  <si>
    <t>CONTAMINATED SOIL; PETROLEUM-HYDROCARBONS; SEED-GERMINATION; INTERTIDAL AREAS; POST-SPILL; OIL-SPILL; BIOREMEDIATION; TOXICITY; BIODEGRADATION; REMEDIATION</t>
  </si>
  <si>
    <t>Special Antarctic Blend (SAB) is a diesel fuel dominated by aliphatic hydrocarbons that is commonly used in Antarctic and subantarctic regions. The past and present use of SAB fuel at Australia's scientific research stations has resulted in multiple spills, contaminating soils in these pristine areas. Despite this, no soil quality guidelines or remediation targets have been developed for the region, primarily due to the lack of established indigenous test species and subsequent biological effects data. In this study, twelve plant species native to subantarctic regions were collected from Macquarie Island and evaluated to determine their suitably for use in laboratory-based toxicity testing, using germination success and seedling growth (shoot and root length) as endpoints. Two soil types (low and high organic carbon (OC)) were investigated to reflect the variable OC content found in soils on Macquarie Island. These soils were spiked with SAB fuel and aged for 14 days to generate a concentration series of SAB-contaminated soils. Exposure doses were quantified as the concentration of total petroleum hydrocarbons (TPH, nC9-nC18) on a soil dry mass basis. Seven species successfully germinated on control soils under laboratory conditions, and four of these species (Colobanthus muscoides Hook. f., Deschampsia chapmanii Petrie, Epilobium pendunculare A. Cunn. and Luzula crinita Hook. f.) showed a dose-dependent inhibition of germination when exposed to SAB-contaminated soils. Contaminated soils with low OC were generally more toxic to plants than high organic carbon soils. Increasing soil-TPH concentrations significantly inhibited shoot and root growth, and root length was identified as the most sensitive endpoint. Although the test species were tolerant to SAB-contaminated soils in germination assays, development of early life stages (up to 28 days) were generally more sensitive indicator of exposure effects, and may be more useful endpoints for future testing.</t>
  </si>
  <si>
    <t>[Macoustra, Gabriella K.; Jolley, Dianne F.] Univ Wollongong, Sch Chem, Wollongong, NSW 2522, Australia; [King, Catherine K.; Wasley, Jane] Australian Antarctic Div, Antarctic Conservat &amp; Management Program, Kingston, Tas, Australia; [Robinson, Sharon A.] Univ Wollongong, Sch Biol Sci, Wollongong, NSW 2522, Australia</t>
  </si>
  <si>
    <t>University of Wollongong; Australian Antarctic Division; University of Wollongong</t>
  </si>
  <si>
    <t>Jolley, DF (corresponding author), Univ Wollongong, Sch Chem, Wollongong, NSW 2522, Australia.</t>
  </si>
  <si>
    <t>djolley@uow.edu.au</t>
  </si>
  <si>
    <t>Macoustra, Gabriella/AAS-9988-2020; Robinson, Sharon/B-2683-2008; King, Catherine K/G-7059-2017; Wasley, Jane/KHX-4880-2024; Macoustra, Gabriella/H-4128-2018; Jolley, Dianne/D-1597-2009</t>
  </si>
  <si>
    <t>Robinson, Sharon/0000-0002-7130-9617; King, Catherine K/0000-0003-3356-0381; Macoustra, Gabriella/0000-0002-2397-1542; Wasley, Jane/0000-0001-9379-664X; Jolley, Dianne/0000-0003-1028-1603</t>
  </si>
  <si>
    <t>Australian Government through an Australian Antarctic Science Grant [AAS 4100]</t>
  </si>
  <si>
    <t>Australian Government through an Australian Antarctic Science Grant(Australian Government)</t>
  </si>
  <si>
    <t>We thank Corrine de Mestre for collecting plant seeds from Macquarie Island and TOC Art photo, Anna Nydahl for technical assistance during soil preparation, and Lauren Wise for assistance with chemical analysis. This study was funded by the Australian Government through an Australian Antarctic Science Grant (AAS 4100) awarded to C. King.</t>
  </si>
  <si>
    <t>2050-7887</t>
  </si>
  <si>
    <t>2050-7895</t>
  </si>
  <si>
    <t>ENVIRON SCI-PROC IMP</t>
  </si>
  <si>
    <t>Environ. Sci.-Process Impacts</t>
  </si>
  <si>
    <t>10.1039/c4em00680a</t>
  </si>
  <si>
    <t>Chemistry, Analytical; Environmental Sciences</t>
  </si>
  <si>
    <t>Chemistry; Environmental Sciences &amp; Ecology</t>
  </si>
  <si>
    <t>CM6JA</t>
  </si>
  <si>
    <t>Green Submitted</t>
  </si>
  <si>
    <t>WOS:000357793300004</t>
  </si>
  <si>
    <t>Di Liberto, L; Lehmann, R; Tritscher, I; Fierli, F; Mercer, JL; Snels, M; Di Donfrancesco, G; Deshler, T; Luo, BP; Grooss, JU; Arnone, E; Dinelli, BM; Cairo, F</t>
  </si>
  <si>
    <t>Di Liberto, L.; Lehmann, R.; Tritscher, I.; Fierli, F.; Mercer, J. L.; Snels, M.; Di Donfrancesco, G.; Deshler, T.; Luo, B. P.; Grooss, J-U; Arnone, E.; Dinelli, B. M.; Cairo, F.</t>
  </si>
  <si>
    <t>Lagrangian analysis of microphysical and chemical processes in the Antarctic stratosphere: a case study</t>
  </si>
  <si>
    <t>IN-SITU MEASUREMENTS; NITRIC-ACID; OZONE LOSS; LIDAR OBSERVATIONS; HETEROGENEOUS FORMATION; CHLORINE ACTIVATION; CLOUD OBSERVATIONS; MCMURDO STATION; ARCTIC WINTER; A-TRAIN</t>
  </si>
  <si>
    <t>We investigated chemical and microphysical processes in the late winter in the Antarctic lower stratosphere, after the first chlorine activation and initial ozone depletion. We focused on a time interval when both further chlorine activation and ozone loss, but also chlorine deactivation, occur. We performed a comprehensive Lagrangian analysis to simulate the evolution of an air mass along a 10-day trajectory, coupling a detailed microphysical box model to a chemistry model. Model results have been compared with in situ and remote sensing measurements of particles and ozone at the start and end points of the trajectory, and satellite measurements of key chemical species and clouds along it. Different model runs have been performed to understand the relative role of solid and liquid polar stratospheric cloud (PSC) particles for the heterogeneous chemistry, and for the denitrification caused by particle sedimentation. According to model results, under the conditions investigated, ozone depletion is not affected significantly by the presence of nitric acid trihydrate (NAT) particles, as the observed depletion rate can equally well be reproduced by heterogeneous chemistry on cold liquid aerosol, with a surface area density close to background values. Under the conditions investigated, the impact of denitrification is important for the abundances of chlorine reservoirs after PSC evaporation, thus stressing the need to use appropriate microphysical models in the simulation of chlorine deactivation. We found that the effect of particle sedimentation and denitrification on the amount of ozone depletion is rather small in the case investigated. In the first part of the analyzed period, when a PSC was present in the air mass, sedimentation led to a smaller available particle surface area and less chlorine activation, and thus less ozone depletion. After the PSC evaporation, in the last 3 days of the simulation, denitrification increases ozone loss by hampering chlorine deactivation.</t>
  </si>
  <si>
    <t>[Di Liberto, L.; Fierli, F.; Snels, M.; Arnone, E.; Dinelli, B. M.; Cairo, F.] CNR, ISAC, Inst Atmospher Sci &amp; Climate, Rome, Italy; [Lehmann, R.] Alfred Wegener Inst, Potsdam, Germany; [Tritscher, I.; Luo, B. P.] Swiss Fed Inst Technol, Inst Atmospher &amp; Climate Sci, Zurich, Switzerland; [Mercer, J. L.; Deshler, T.] Univ Wyoming, Dept Atmospher Sci, Laramie, WY 82071 USA; [Di Donfrancesco, G.] Ente Nuove Tecnol Energia &amp; Ambiente, Rome, Italy; [Tritscher, I.; Grooss, J-U] Forschungszentrum Julich, Inst Energie &amp; Klimaforsch Stratosphare IEK 7, D-52425 Julich, Germany</t>
  </si>
  <si>
    <t>Consiglio Nazionale delle Ricerche (CNR); Istituto di Scienze dell'Atmosfera e del Clima (ISAC-CNR); Helmholtz Association; Alfred Wegener Institute, Helmholtz Centre for Polar &amp; Marine Research; Swiss Federal Institutes of Technology Domain; ETH Zurich; University of Wyoming; Italian National Agency New Technical Energy &amp; Sustainable Economics Development; Helmholtz Association; Research Center Julich</t>
  </si>
  <si>
    <t>Cairo, F (corresponding author), CNR, ISAC, Inst Atmospher Sci &amp; Climate, Rome, Italy.</t>
  </si>
  <si>
    <t>f.cairo@isac.cnr.it</t>
  </si>
  <si>
    <t>Arnone, Enrico/AAK-2316-2021; Di Liberto, Luca/AAY-4560-2020; Grooß, Jens-Uwe/N-3305-2019; Grooß, Jens-Uwe/A-7315-2013; Dinelli, Bianca Maria/L-4235-2019; Arnone, Enrico/AHE-6020-2022; Snels, Marcel/J-2324-2012; Tritscher, Ines/O-2271-2014; cairo, francesco/C-7460-2015; DI LIBERTO, LUCA/P-5876-2018</t>
  </si>
  <si>
    <t>Grooß, Jens-Uwe/0000-0002-9485-866X; Grooß, Jens-Uwe/0000-0002-9485-866X; Dinelli, Bianca Maria/0000-0002-1218-0008; Arnone, Enrico/0000-0001-6740-5051; Snels, Marcel/0000-0002-3025-5237; Tritscher, Ines/0000-0001-5285-7952; Luo, Beiping/0000-0003-1629-881X; cairo, francesco/0000-0002-2886-2601; DI LIBERTO, LUCA/0000-0001-7274-1279; Fierli, Federico/0000-0001-9975-2883</t>
  </si>
  <si>
    <t>Programma Nazionale di Ricerca in Antartide (PNRA); Progetto Congiunto di Ricerche CNR-CNRS STRACLIMA; NSF under OPP grant [0839124]; European Commission [RECONCILE-226365-FP7-ENV-2008-1.]</t>
  </si>
  <si>
    <t>Programma Nazionale di Ricerca in Antartide (PNRA); Progetto Congiunto di Ricerche CNR-CNRS STRACLIMA; NSF under OPP grant; European Commission(European Union (EU)European Commission Joint Research Centre)</t>
  </si>
  <si>
    <t>The authors acknowledge the Programma Nazionale di Ricerca in Antartide (PNRA) and the Progetto Congiunto di Ricerche CNR-CNRS STRACLIMA for financial support, and the National Science Foundation (NSF) for logistics and technical support on the site. J. Mercer and T. Deshler were supported by the NSF under, most recently, OPP grant 0839124. This work was also partially funded by the European Commission under grant number RECONCILE-226365-FP7-ENV-2008-1.</t>
  </si>
  <si>
    <t>10.5194/acp-15-6651-2015</t>
  </si>
  <si>
    <t>CL6ZC</t>
  </si>
  <si>
    <t>Green Published, Green Submitted, gold</t>
  </si>
  <si>
    <t>WOS:000357117500007</t>
  </si>
  <si>
    <t>Grenier, M; Della Penna, A; Trull, TW</t>
  </si>
  <si>
    <t>Grenier, M.; Della Penna, A.; Trull, T. W.</t>
  </si>
  <si>
    <t>Autonomous profiling float observations of the high-biomass plume downstream of the Kerguelen Plateau in the Southern Ocean</t>
  </si>
  <si>
    <t>BIOGEOSCIENCES</t>
  </si>
  <si>
    <t>NATURAL IRON FERTILIZATION; INSTRUMENTED ELEPHANT SEALS; CARBON EXPORT; CHLOROPHYLL-A; PHYTOPLANKTON BLOOM; FLUORESCENCE; SCALE; NUTRIENT; LIGHT; WATERS</t>
  </si>
  <si>
    <t>Natural iron fertilisation from Southern Ocean islands results in high primary production and phytoplankton biomass accumulations readily visible in satellite ocean colour observations. These images reveal great spatial complexity with highly varying concentrations of chlorophyll, presumably reflecting both variations in iron supply and conditions favouring phytoplankton accumulation. To examine the second aspect, in particular the influences of variations in temperature and mixed layer depth, we deployed four autonomous profiling floats in the Antarctic Circumpolar Current near the Kerguelen Plateau in the Indian sector of the Southern Ocean. Each bio-profiler measured more than 250 profiles of temperature (T), salinity (S), dissolved oxygen, chlorophyll a (Chl a) fluorescence, and particulate backscattering (b(bp)) in the top 300m of the water column, sampling up to 5 profiles per day along meandering trajectories extending up to 1000 km. Comparison of surface Chl a estimates (analogous to values from satellite images) with total water column inventories revealed largely linear relationships, suggesting that these images provide credible information on total and not just surface biomass spatial distributions. However, they also showed that physical mixed layer depths are often not a reliable guide to biomass distributions. Regions of very high Chl a accumulation (1.5-10 mu g L-1) were associated predominantly with a narrow T S class of surface waters. In contrast, waters with only moderate Chl a enrichments (0.5-1.5 mu g L-1/displayed no clear correlation with specific water properties, including no dependence on mixed layer depth or the intensity of stratification. Geostrophic trajectory analysis suggests that both these observations can be explained if the main determinant of biomass in a given water parcel is the time since leaving the Kerguelen Plateau. One float became trapped in a cyclonic eddy, allowing temporal evaluation of the water column in early autumn. During this period, decreasing surface Chl a inventories corresponded with decreases in oxygen inventories on sub-mixed-layer density surfaces, consistent with significant export of organic matter (similar to 35 %) and its respiration and storage as dissolved inorganic carbon in the ocean interior. These results are encouraging for the expanded use of autonomous observing platforms to study biogeochemical, carbon cycle, and ecological problems, although the complex blend of Lagrangian and Eulerian sampling achieved by the floats suggests that arrays rather than single floats will often be required, and that frequent profiling offers important benefits in terms of resolving the role of mesoscale structures on biomass accumulation.</t>
  </si>
  <si>
    <t>[Grenier, M.; Trull, T. W.] Antarctic Climate &amp; Ecosyst Cooperat Res Ctr, Hobart, Tas, Australia; [Della Penna, A.] Univ Tasmania, Inst Marine &amp; Antarctic Studies, Quantitat Marine Sci PhD Program, Hobart, Tas, Australia; [Della Penna, A.] CSIRO, Hobart, Tas, Australia; [Trull, T. W.] CSIRO, Oceans &amp; Atmosphere Flagship, Hobart, Tas, Australia; [Grenier, M.] Univ Toulouse, Lab Etud Geophys &amp; Oceanog Spatiales, CNRS, CNES,IRD, Toulouse, France; [Della Penna, A.] Univ Paris Diderot Cite, Univ Paris 04, LOCEAN IPSL, UMR 7159, F-75005 Paris, France</t>
  </si>
  <si>
    <t>Antarctic Climate &amp; Ecosystems Cooperative Research Centre (ACE CRC); University of Tasmania; Commonwealth Scientific &amp; Industrial Research Organisation (CSIRO); Commonwealth Scientific &amp; Industrial Research Organisation (CSIRO); Universite de Toulouse; Universite Toulouse III - Paul Sabatier; Centre National de la Recherche Scientifique (CNRS); Institut de Recherche pour le Developpement (IRD); Laboratoire d'Etudes en Geophysique et oceanographie spatiales; Sorbonne Universite; Museum National d'Histoire Naturelle (MNHN); Universite Paris Cite; Centre National de la Recherche Scientifique (CNRS); CNRS - National Institute for Earth Sciences &amp; Astronomy (INSU)</t>
  </si>
  <si>
    <t>Grenier, M (corresponding author), Univ British Columbia, Earth Ocean &amp; Atmospher Sci, Vancouver, BC V5Z 1M9, Canada.</t>
  </si>
  <si>
    <t>melaniegrenier14@yahoo.fr</t>
  </si>
  <si>
    <t>Trull, Tom W/B-7028-2014</t>
  </si>
  <si>
    <t>Grenier, Melanie/0000-0001-7278-6880; Della Penna, Alice/0000-0002-7579-3610</t>
  </si>
  <si>
    <t>Australian Commonwealth Cooperative Research Program via the ACE CRC; conjoint LEGOS; ACE CRC; CAMPUS FRANCE grant [30418QG]; conjoint Frontieres du Vivant (Paris 7); CSIRO-UTAS Quantitative Marine Science PhD scholarship</t>
  </si>
  <si>
    <t>Australian Commonwealth Cooperative Research Program via the ACE CRC(Australian GovernmentDepartment of Industry, Innovation and ScienceCooperative Research Centres (CRC) Programme); conjoint LEGOS; ACE CRC(Australian GovernmentDepartment of Industry, Innovation and ScienceCooperative Research Centres (CRC) Programme); CAMPUS FRANCE grant; conjoint Frontieres du Vivant (Paris 7); CSIRO-UTAS Quantitative Marine Science PhD scholarship</t>
  </si>
  <si>
    <t>This work was supported by the Australian Commonwealth Cooperative Research Program via the ACE CRC. M. Grenier was supported by a conjoint LEGOS and ACE CRC postdoctoral appointment and a CAMPUS FRANCE grant (FASIC award #30418QG; campusfrance.org). A. Della Penna was supported by a conjoint Frontieres du Vivant (Paris 7) and CSIRO-UTAS Quantitative Marine Science PhD scholarship. We thank Ann Thresher (CSIRO) for the harvesting and processing of the data from the bio-profilers, as supported by the Australian Integrated Marine Observing Argo and Southern Ocean Time Series facilities. We thank Cedric Cotte and Francesco d'Ovidio (LOCEAN, Universite de Paris VI) and the crew of the RV Marion Dufresne for bio-profiler deployments, and Stephane Blain and Bernard Queguiner for KEOPS2 voyage leadership. Thanks to Vito Dirita, Alan Poole, and Craig Hanstein (CSIRO) for bio-profiler preparation, and Craig Neill and Kelly Brown (CSIRO) for oxygen optode calibrations. Thanks to Helen Phillips (IMAS) for fruitful discussions and advice concerning physical analyses of the hydrological variables, and Francesco d'Ovidio (LOCEAN, CNRS) for insights into Lagrangian perspectives on water parcel trajectories and their evolution. T. W. Trull and M. Grenier thank Catherine Jeandel for initiating this LEGOS-ACE CRC collaboration and hosting them to write the first draft. Finally, we gratefully acknowledge S. Thomalla and an anonymous reviewer for their valuable comments on an earlier version of the paper that allowed us to improve it significantly.</t>
  </si>
  <si>
    <t>1726-4170</t>
  </si>
  <si>
    <t>1726-4189</t>
  </si>
  <si>
    <t>Biogeosciences</t>
  </si>
  <si>
    <t>10.5194/bg-12-2707-2015</t>
  </si>
  <si>
    <t>Ecology; Geosciences, Multidisciplinary</t>
  </si>
  <si>
    <t>Environmental Sciences &amp; Ecology; Geology</t>
  </si>
  <si>
    <t>CK4FT</t>
  </si>
  <si>
    <t>WOS:000356178900006</t>
  </si>
  <si>
    <t>Christmann, J; Müller, R; Webber, KG; Isaia, D; Schader, FH; Kipfstuhl, S; Freitag, J; Humbert, A</t>
  </si>
  <si>
    <t>Christmann, J.; Mueller, R.; Webber, K. G.; Isaia, D.; Schader, F. H.; Kipfstuhl, S.; Freitag, J.; Humbert, A.</t>
  </si>
  <si>
    <t>Measurement of the fracture toughness of polycrystalline bubbly ice from an Antarctic ice core</t>
  </si>
  <si>
    <t>EARTH SYSTEM SCIENCE DATA</t>
  </si>
  <si>
    <t>FRESH-WATER ICE</t>
  </si>
  <si>
    <t>The critical fracture toughness is a material parameter describing the resistance of a cracked body to further crack extension. It is an important parameter for simulating and predicting the breakup behavior of ice shelves from the calving of single icebergs to the disintegration of entire ice shelves over a wide range of length scales. The fracture toughness values are calculated with equations that are derived from an elastic stress analysis. Additionally, an X-ray computer tomography (CT scanner) was used to identify the density as a function of depth. The critical fracture toughness of 91 Antarctic bubbly ice samples with densities between 840 and 870 kg m(-3) has been determined by applying a four-point bending technique on single-edge v-notched beam samples. The examined ice core was drilled 70m north of Kohnen Station, Dronnning Maud Land (75 degrees 00' S, 00 degrees 04' E; 2882 m). Supplementary data are available at doi: 10.1594/PANGAEA.835321.</t>
  </si>
  <si>
    <t>[Christmann, J.; Mueller, R.] Tech Univ Kaiserslautern, Inst Appl Mech, D-67663 Kaiserslautern, Germany; [Webber, K. G.; Isaia, D.; Schader, F. H.] Tech Univ Darmstadt, Inst Mat Sci, D-64287 Darmstadt, Germany; [Kipfstuhl, S.; Freitag, J.; Humbert, A.] Helmholtz Zentrum Polar &amp; Meeresforsch, Alfred Wegener Inst, Glaciol Sect, D-27570 Bremerhaven, Germany</t>
  </si>
  <si>
    <t>University of Kaiserslautern; Technical University of Darmstadt; Helmholtz Association; Alfred Wegener Institute, Helmholtz Centre for Polar &amp; Marine Research</t>
  </si>
  <si>
    <t>Christmann, J (corresponding author), Tech Univ Kaiserslautern, Inst Appl Mech, D-67663 Kaiserslautern, Germany.</t>
  </si>
  <si>
    <t>jchristm@rhrk.uni-kl.de</t>
  </si>
  <si>
    <t>; Webber, Kyle/B-1453-2013</t>
  </si>
  <si>
    <t>Humbert, Angelika/0000-0002-0244-8760; Freitag, Johannes/0000-0003-2654-9440; Webber, Kyle/0000-0002-1283-7874</t>
  </si>
  <si>
    <t>DFG priority program [SPP 1158, HU 1570/5-1, MU 1370/7-1]</t>
  </si>
  <si>
    <t>DFG priority program(German Research Foundation (DFG))</t>
  </si>
  <si>
    <t>This work was supportd by DFG priority program SPP 1158, project numbers HU 1570/5-1; MU 1370/7-1.</t>
  </si>
  <si>
    <t>1866-3508</t>
  </si>
  <si>
    <t>1866-3516</t>
  </si>
  <si>
    <t>EARTH SYST SCI DATA</t>
  </si>
  <si>
    <t>Earth Syst. Sci. Data</t>
  </si>
  <si>
    <t>10.5194/essd-7-87-2015</t>
  </si>
  <si>
    <t>Geosciences, Multidisciplinary; Meteorology &amp; Atmospheric Sciences</t>
  </si>
  <si>
    <t>Geology; Meteorology &amp; Atmospheric Sciences</t>
  </si>
  <si>
    <t>CL4PC</t>
  </si>
  <si>
    <t>WOS:000356934300006</t>
  </si>
  <si>
    <t>Elshishka, M; Lazarova, S; Radoslavov, G; Hristov, P; Peneva, VK</t>
  </si>
  <si>
    <t>Elshishka, Milka; Lazarova, Stela; Radoslavov, Georgi; Hristov, Petar; Peneva, Vlada K.</t>
  </si>
  <si>
    <t>New data on two remarkable Antarctic species Amblydorylaimus isokaryon (Loof, 1975) Andrassy, 1998 and Pararhyssocolpus paradoxus (Loof, 1975), gen. n., comb. n. (Nematoda, Dorylaimida)</t>
  </si>
  <si>
    <t>ZOOKEYS</t>
  </si>
  <si>
    <t>18S rDNA; D2-D3 28S rDNA; morphology; new geographic records; nomenclature; SEM; taxonomy</t>
  </si>
  <si>
    <t>MOLECULAR CHARACTERIZATION; APORCELAIMELLUS HEYNS; PHYLOGENETIC-RELATIONSHIPS; DIVERSITY; NORDIIDAE; QUDSIANEMATIDAE; JAIRAJPURI; INFERENCE; TAXONOMY; MRBAYES</t>
  </si>
  <si>
    <t>The taxonomic position of two antarctic dorylaimid species Amblydorylaimus isokaryon (Loof, 1975) Andrassy, 1998 and Pararhyssocolpus paradoxus (Loof, 1975), gen. n., comb. n. are discussed on the basis of morphological, including SEM study, morphometric, postembryonic and sequence data of 18S rDNA and the D2-D3 expansion fragments of large subunit rDNA. The evolutionary trees inferred from 18S sequences show insufficient resolution to determine the assignment of the two species to particular families, moreover P. paradoxus gen. n., comb. n. (=Rhyssocolpus paradoxus) previously regarded as a member of Nordiidae or Qudsianematidae, showed distant relationship both to Rhyssocolpus vinciguerrae and Eudorylaimus spp. The phylogram inferred from 28S sequences revealed that A. isokaryon is a member of a well-supported group comprised of several Aporcelaimellus spp., while, no close relationships could be revealed for the P. paradoxus gen. n., comb. n. to any nematode genus. On the basis of molecular data and morphological characteristics, some taxonomic changes are proposed. Amblydorylaimus isokaryon is transferred from family Qudsianematidae to family Aporcelaimidae, and a new monotypic genus Pararhyssocolpus gen. n. is proposed, attributed to Pararhyssocolpidae fam. n. The diagnosis of the new family is provided together with emended diagnosis of the genera Amblydorylaimus and Pararhyssocolpus gen. n. Data concerning distribution of these endemic genera in the Antarctic region are also given.</t>
  </si>
  <si>
    <t>[Elshishka, Milka; Lazarova, Stela; Radoslavov, Georgi; Hristov, Petar; Peneva, Vlada K.] Bulgarian Acad Sci, Inst Biodivers &amp; Ecosyst Res, BU-1113 Sofia, Bulgaria</t>
  </si>
  <si>
    <t>Bulgarian Academy of Sciences</t>
  </si>
  <si>
    <t>Peneva, VK (corresponding author), Bulgarian Acad Sci, Inst Biodivers &amp; Ecosyst Res, 2 Gagarin St, BU-1113 Sofia, Bulgaria.</t>
  </si>
  <si>
    <t>vpeneva@ecolab.bas.bg</t>
  </si>
  <si>
    <t>hristov, peter/AAV-7827-2020; Lazarova, Stela/AAL-1582-2020; Radoslavov, Georgi/AAO-5374-2021; Peneva, Vlada/IZP-8890-2023</t>
  </si>
  <si>
    <t>Lazarova, Stela/0000-0002-6386-5074; Hristov, Peter/0000-0002-7756-4571; Radoslavov, Georgi/0000-0003-0550-3291</t>
  </si>
  <si>
    <t>project ANIDIV2, Bulgarian Academy of Sciences</t>
  </si>
  <si>
    <t>This study was partly funded by project ANIDIV2, Bulgarian Academy of Sciences. The authors are thankful to Dr R. Zidarova, Dr N. Chipev and Dr R. Mecheva for collecting nematode materials, to Dr Y. Mutafchiev (IBER) and N. Dimitrov (Faculty of Chemistry and Pharmacy, Sofia University St. Kliment Ohridski) for their assistance with SEM photographs. The authors are thankful to Prof Derek JF Brown (IBER) for critical reading of the manuscript and helpful suggestions.</t>
  </si>
  <si>
    <t>PENSOFT PUBLISHERS</t>
  </si>
  <si>
    <t>12 PROF GEORGI ZLATARSKI ST, SOFIA, 1700, BULGARIA</t>
  </si>
  <si>
    <t>1313-2989</t>
  </si>
  <si>
    <t>1313-2970</t>
  </si>
  <si>
    <t>ZooKeys</t>
  </si>
  <si>
    <t>10.3897/zookeys.511.9793</t>
  </si>
  <si>
    <t>CM3RX</t>
  </si>
  <si>
    <t>WOS:000357602400002</t>
  </si>
  <si>
    <t>Planchon, F; Ballas, D; Cavagna, AJ; Bowie, AR; Davies, D; Trull, T; Laurenceau-Cornec, EC; Van Der Merwe, P; Dehairs, F</t>
  </si>
  <si>
    <t>Planchon, F.; Ballas, D.; Cavagna, A. -J.; Bowie, A. R.; Davies, D.; Trull, T.; Laurenceau-Cornec, E. C.; Van Der Merwe, P.; Dehairs, F.</t>
  </si>
  <si>
    <t>Carbon export in the naturally iron-fertilized Kerguelen area of the Southern Ocean based on the 234Th approach</t>
  </si>
  <si>
    <t>PARTICULATE ORGANIC-CARBON; ANTARCTIC POLAR FRONT; PHYTOPLANKTON BLOOM; DISSOLVED IRON; ATLANTIC SECTOR; PARTICLE EXPORT; NITROGEN UPTAKE; SPRING BLOOM; PLATEAU; REGION</t>
  </si>
  <si>
    <t>This study examined upper-ocean particulate organic carbon (POC) export using the Th-234 approach as part of the second KErguelen Ocean and Plateau compared Study expedition (KEOPS2). Our aim was to characterize the spatial and the temporal variability of POC export during austral spring (October-November 2011) in the Fe-fertilized area of the Kerguelen Plateau region. POC export fluxes were estimated at high productivity sites over and downstream of the plateau and compared to a high-nutrient low-chlorophyll (HNLC) area upstream of the plateau in order to assess the impact of iron-induced productivity on the vertical export of carbon. Deficits in Th-234 activities were observed at all stations in surface waters, indicating early scavenging by particles in austral spring. Th-234 export was lowest at the reference station R-2 and highest in the recirculation region (E stations) where a pseudo-Lagrangian survey was conducted. In comparison Th-234 export over the central plateau and north of the polar front (PF) was relatively limited throughout the survey. However, the Th-234 results support that Fe fertilization increased particle export in all iron-fertilized waters. The impact was greatest in the recirculation feature (3-4 fold at 200 m depth, relative to the reference station), but more moderate over the central Kerguelen Plateau and in the northern plume of the Kerguelen bloom (similar to 2-fold at 200 m depth). The C : Th ratio of large (&gt; 53 mu m) potentially sinking particles collected via sequential filtration using in situ pumping (ISP) systems was used to convert the Th-234 flux into a POC export flux. The C : Th ratios of sinking particles were highly variable (3.1 +/- 0.1 to 10.5 +/- 0.2 mu mol dpm(-1)) with no clear site-related trend, despite the variety of ecosystem responses in the fertilized regions. C : Th ratios showed a decreasing trend between 100 and 200 m depth suggesting preferential carbon loss relative to Th-234 possibly due to heterotrophic degradation and/or grazing activity. C : Th ratios of sinking particles sampled with drifting sediment traps in most cases showed very good agreement with ratios for particles collected via ISP deployments (&gt; 53 mu m particles). Carbon export production varied between 3.5 +/- 0.9 and 11.8 +/- 1.3 mmol m(-2) d(-1) from the upper 100 m and between 1.8 +/- 0.9 and 8.2 +/- 0.9 mmol m(-2) d(-1) from the upper 200 m. The highest export production was found inside the PF meander with a range of 5.3 +/- 1.0 to 11.8 +/- 1.1 mmol m(-2) d(-1) over the 19-day survey period. The impact of Fe fertilization is highest inside the PF meander with 2.9-4.5-fold higher carbon flux at 200 m depth in comparison to the HNLC control station. The impact of Fe fertilization was significantly less over the central plateau (stations A3 and E-4W) and in the northern branch of the bloom (station F-L) with 1.6-2.0-fold higher carbon flux compared to the reference station R. Export efficiencies (ratio of export to primary production and ratio of export to new production) were particularly variable with relatively high values in the recirculation feature (6 to 27 %, respectively) and low values (1 to 5 %, respectively) over the central plateau (station A3) and north of the PF (station F-L), indicating spring biomass accumulation. Comparison with KEOPS1 results indicated that carbon export production is much lower during the onset of the bloom in austral spring than during the peak and declining phases in late summer.</t>
  </si>
  <si>
    <t>[Planchon, F.] Univ Bretagne Occidentale, Lab Sci Environm Marin LEMAR, CNRS, IRD,UMR 6539,IUEM, F-29280 Plouzane, France; [Ballas, D.; Cavagna, A. -J.; Dehairs, F.] Vrije Univ Brussel, Analyt Environm &amp; Geochem &amp; Earth Syst Sci, Brussels, Belgium; [Bowie, A. R.; Trull, T.; Laurenceau-Cornec, E. C.] Univ Tasmania, Inst Marine &amp; Antarctic Studies, Hobart, Tas 7001, Australia; [Bowie, A. R.; Davies, D.; Trull, T.; Laurenceau-Cornec, E. C.; Van Der Merwe, P.] Antarctic Climate &amp; Ecosyst Cooperat Res Ctr, Hobart, Tas 7001, Australia; [Trull, T.; Laurenceau-Cornec, E. C.] CSIRO Marine &amp; Atmospher Res, Hobart, Tas 7001, Australia</t>
  </si>
  <si>
    <t>Centre National de la Recherche Scientifique (CNRS); CNRS - Institute of Ecology &amp; Environment (INEE); Ifremer; Institut de Recherche pour le Developpement (IRD); Universite de Bretagne Occidentale; Institut Universitaire Europeen de la Mer (IUEM); Vrije Universiteit Brussel; University of Tasmania; Antarctic Climate &amp; Ecosystems Cooperative Research Centre (ACE CRC); Commonwealth Scientific &amp; Industrial Research Organisation (CSIRO)</t>
  </si>
  <si>
    <t>Planchon, F (corresponding author), Univ Bretagne Occidentale, Lab Sci Environm Marin LEMAR, CNRS, IRD,UMR 6539,IUEM, Technopole Brest Iroise,Pl Nicolas Copernic, F-29280 Plouzane, France.</t>
  </si>
  <si>
    <t>frederic.planchon@univ-brest.fr</t>
  </si>
  <si>
    <t>Trull, Tom W/B-7028-2014; Frederic, Planchon A.M./A-8651-2010; van der Merwe, Pier/C-9210-2015; Bowie, Andrew/C-8677-2013</t>
  </si>
  <si>
    <t>Davies, Diana M./0000-0001-6304-3938; Laurenceau-Cornec, Emmanuel/0000-0002-4041-4377; van der Merwe, Pier/0000-0002-7428-8030; Planchon, Frederic/0000-0003-1288-9698; Bowie, Andrew/0000-0002-5144-7799</t>
  </si>
  <si>
    <t>French National Research Agency [ANR-10-BLAN-0614]; LEFE-CYBER program of Institut des Sciences de l'Univers (INSU); LEFE-CYBER program of Institut Paul Emile Victor; Belgian Science Policy (BELSPO) [SD/CA/05A]; Flanders Research Foundation (FWO) [G071512N]; Vrije Universiteit Brussel (Strategic Research Plan); Antarctic Climate and Ecosystem Cooperative Research Centre (ACE-CRC, Hobart, Australia); Agence Nationale de la Recherche (ANR) [ANR-10-BLAN-0614] Funding Source: Agence Nationale de la Recherche (ANR)</t>
  </si>
  <si>
    <t>French National Research Agency(Agence Nationale de la Recherche (ANR)); LEFE-CYBER program of Institut des Sciences de l'Univers (INSU); LEFE-CYBER program of Institut Paul Emile Victor; Belgian Science Policy (BELSPO)(Belgian Federal Science Policy Office); Flanders Research Foundation (FWO)(FWO); Vrije Universiteit Brussel (Strategic Research Plan); Antarctic Climate and Ecosystem Cooperative Research Centre (ACE-CRC, Hobart, Australia)(Australian GovernmentDepartment of Industry, Innovation and ScienceCooperative Research Centres (CRC) Programme); Agence Nationale de la Recherche (ANR)(Agence Nationale de la Recherche (ANR))</t>
  </si>
  <si>
    <t>We are grateful to KEOPS2 chief scientists Stephane Blain and Bernard Queguiner, and to the captain and crew of R/V Marion Dufresne for their assistance and help during the cruise. This research was supported by the French National Research Agency (grant no. ANR-10-BLAN-0614), the LEFE-CYBER program of Institut des Sciences de l'Univers (INSU), Institut Paul Emile Victor. Financial support was obtained from Belgian Science Policy (BELSPO, grant SD/CA/05A), Flanders Research Foundation (FWO, grant G071512N), Vrije Universiteit Brussel (Strategic Research Plan), the Antarctic Climate and Ecosystem Cooperative Research Centre (ACE-CRC, Hobart, Australia). We are very grateful to Michael Korntheuer for state-of-the-art beta counter maintenance, and Jacques Navez and Laurence Monin for helpful laboratory assistance. We would like to thank Lionel Scouarnec, Anne Royer, and Fabien Perault from the Technical Division of INSU in Brest for their assistance during the cruise.</t>
  </si>
  <si>
    <t>10.5194/bg-12-3831-2015</t>
  </si>
  <si>
    <t>CL6ZL</t>
  </si>
  <si>
    <t>Green Accepted, Green Submitted, Green Published, gold</t>
  </si>
  <si>
    <t>WOS:000357119000012</t>
  </si>
  <si>
    <t>Quéroué, F; Sarthou, G; Planquette, HF; Bucciarelli, E; Chever, F; van der Merwe, P; Lannuzel, D; Townsend, AT; Cheize, M; Blain, S; d'Ovidio, F; Bowie, AR</t>
  </si>
  <si>
    <t>Queroue, F.; Sarthou, G.; Planquette, H. F.; Bucciarelli, E.; Chever, F.; van der Merwe, P.; Lannuzel, D.; Townsend, A. T.; Cheize, M.; Blain, S.; d'Ovidio, F.; Bowie, A. R.</t>
  </si>
  <si>
    <t>High variability in dissolved iron concentrations in the vicinity of the Kerguelen Islands (Southern Ocean)</t>
  </si>
  <si>
    <t>FERTILIZATION EXPERIMENT; DRAKE PASSAGE; SEDIMENT; FE; DISTRIBUTIONS; PLATEAU; CARBON; SEA; ARCHIPELAGO; EVOLUTION</t>
  </si>
  <si>
    <t>Dissolved Fe (dFe) concentrations were measured in the upper 1300 m of the water column in the vicinity of the Kerguelen Islands as part of the second KErguelen Ocean Plateau compared Study (KEOPS2). Concentrations ranged from 0.06 nmol L-1 in offshore, Southern Ocean waters to 3.82 nmol L-1 within Hillsborough Bay, on the north-eastern coast of the Kerguelen Islands. Direct island runoff, glacial melting and resuspended sediments were identified as important inputs of dFe that could potentially fertilise the northern part of the plateau. A significant deep dFe enrichment was observed over the plateau with dFe concentrations increasing up to 1.30 nmol L-1 close to the seafloor, probably due to sediment resuspension and pore water release. Biological uptake was shown to induce a significant decrease in dFe concentrations between two visits (28 days apart) at a station above the plateau. Our work also considered other processes and sources, such as lateral advection of enriched seawater, remineralisation processes, and the influence of the polar front (PF) as a vector for Fe transport. Overall, heterogeneous sources of Fe over and off the Kerguelen Plateau, in addition to strong variability in Fe supply by vertical or horizontal transport, may explain the high variability in dFe concentrations observed during this study.</t>
  </si>
  <si>
    <t>[Queroue, F.; Bucciarelli, E.] Univ Bretagne Occidentale, IUEM, F-29200 Brest, France; [Queroue, F.; Sarthou, G.; Planquette, H. F.; Bucciarelli, E.; Chever, F.; Cheize, M.] IFREMER, IRD, UBO, LEMAR,UMR 6539,CNRS, F-29280 Plouzane, France; [Queroue, F.; Lannuzel, D.; Bowie, A. R.] Univ Tasmania, Inst Marine &amp; Antarctic Studies, Hobart, Tas 7001, Australia; [Queroue, F.; van der Merwe, P.; Lannuzel, D.; Bowie, A. R.] Univ Tasmania, Antarctic Climate &amp; Ecosyst Cooperat Res Ctr, Hobart, Tas 7001, Australia; [Townsend, A. T.] Univ Tasmania, Cent Sci Lab, Hobart, Tas 7001, Australia; [Blain, S.] Univ Paris 06, Lab Oceanog Biol Banyuls Mer, F-66650 Banyuls Sur Mer, France; [Blain, S.] CNRS, Lab Oceanog Biol Banyuls Mer, F-66650 Banyuls Sur Mer, France; [d'Ovidio, F.] Univ Paris 06, Sorbonne Univ, CNRS, IRD,MNHN,LOCEAN,IPSL, F-75005 Paris, France</t>
  </si>
  <si>
    <t>Universite de Bretagne Occidentale; Institut Universitaire Europeen de la Mer (IUEM); Universite de Bretagne Occidentale; Institut Universitaire Europeen de la Mer (IUEM); Centre National de la Recherche Scientifique (CNRS); Ifremer; Institut de Recherche pour le Developpement (IRD); CNRS - Institute of Ecology &amp; Environment (INEE); University of Tasmania; Antarctic Climate &amp; Ecosystems Cooperative Research Centre (ACE CRC); University of Tasmania; University of Tasmania; Sorbonne Universite; Centre National de la Recherche Scientifique (CNRS); Sorbonne Universite; Institut de Recherche pour le Developpement (IRD); Sorbonne Universite; Universite Paris Cite; Museum National d'Histoire Naturelle (MNHN); Centre National de la Recherche Scientifique (CNRS)</t>
  </si>
  <si>
    <t>Sarthou, G (corresponding author), IFREMER, IRD, UBO, LEMAR,UMR 6539,CNRS, Pl Nicolas Copernic, F-29280 Plouzane, France.</t>
  </si>
  <si>
    <t>geraldine.sarthou@univ-brest.fr</t>
  </si>
  <si>
    <t>d'Ovidio, Francesco/ABA-8461-2021; Townsend, Ashley/J-7445-2014; van der Merwe, Pier/C-9210-2015; lannuzel, delphine/J-7937-2014; Planquette, Helene/B-4990-2013; blain, stephane/F-6917-2010; Bowie, Andrew/C-8677-2013</t>
  </si>
  <si>
    <t>Townsend, Ashley/0000-0002-2972-2678; van der Merwe, Pier/0000-0002-7428-8030; lannuzel, delphine/0000-0001-6154-1837; Planquette, Helene/0000-0002-2235-5158; blain, stephane/0000-0002-5234-2446; Sarthou, Geraldine/0000-0001-6560-6669; d'Ovidio, Francesco/0000-0002-9664-7778; Bowie, Andrew/0000-0002-5144-7799</t>
  </si>
  <si>
    <t>French research programme of INSU-CNRS LEFE-CYBER (Les enveloppes fluides et l'environnement - Cycles biogeochimiques, environnement et ressources); French ANR (Agence Nationale de la Recherche) [ANR-2010-BLAN-614 KEOPS2, ANR-10-JCJC-606 ICOP]; French CNES programme (Centre National d'Etudes Spatiales); French Polar Institute IPEV (Institut Polaire Paul-Emile Victor); University of Tasmania [B0018994, B0019024]; Antarctic Climate and Ecosystems Cooperative Research Centre (ACE CRC)</t>
  </si>
  <si>
    <t>French research programme of INSU-CNRS LEFE-CYBER (Les enveloppes fluides et l'environnement - Cycles biogeochimiques, environnement et ressources); French ANR (Agence Nationale de la Recherche)(Agence Nationale de la Recherche (ANR)); French CNES programme (Centre National d'Etudes Spatiales); French Polar Institute IPEV (Institut Polaire Paul-Emile Victor); University of Tasmania; Antarctic Climate and Ecosystems Cooperative Research Centre (ACE CRC)(Australian GovernmentDepartment of Industry, Innovation and ScienceCooperative Research Centres (CRC) Programme)</t>
  </si>
  <si>
    <t>The authors thank the crew of the R/V Marion Dufresne for assistance on board and Bernard Queguiner, the chief scientist. They also greatly acknowledge Young-Hyang Park for fruitful discussions about the complex hydrography of the studied area. The authors thank the two anonymous referees for their fruitful comments. This work was supported by the French research programme of INSU-CNRS LEFE-CYBER (Les enveloppes fluides et l'environnement - Cycles biogeochimiques, environnement et ressources), the French ANR (Agence Nationale de la Recherche, SIMI-6 programme, ANR-2010-BLAN-614 KEOPS2, and ANR-10-JCJC-606 ICOP), the French CNES programme (Centre National d'Etudes Spatiales), and the French Polar Institute IPEV (Institut Polaire Paul-Emile Victor). This research was supported by University of Tasmania Cross Theme (B0018994) and Rising Stars (B0019024) grants. Thanks to the Antarctic Climate and Ecosystems Cooperative Research Centre (ACE CRC) for funding participation in the KEOPS2 study through the Carbon programme. The KEOPS2 experiment was approved as a GEOTRACES process study.</t>
  </si>
  <si>
    <t>10.5194/bg-12-3869-2015</t>
  </si>
  <si>
    <t>gold, Green Submitted, Green Accepted</t>
  </si>
  <si>
    <t>WOS:000357119000015</t>
  </si>
  <si>
    <t>Lemieux-Dudon, B; Bazin, L; Landais, A; Kele, HTM; Guillevic, M; Kindler, P; Parrenin, F; Martinerie, P</t>
  </si>
  <si>
    <t>Lemieux-Dudon, B.; Bazin, L.; Landais, A.; Kele, H. Toye Mahamadou; Guillevic, M.; Kindler, P.; Parrenin, F.; Martinerie, P.</t>
  </si>
  <si>
    <t>Implementation of counted layers for coherent ice core chronology</t>
  </si>
  <si>
    <t>CLIMATE OF THE PAST</t>
  </si>
  <si>
    <t>CLIMATE RECORDS; ANTARCTIC ICE; GREENLAND; SYNCHRONIZATION; TEMPERATURE; AICC2012; OXYGEN; KYR</t>
  </si>
  <si>
    <t>A recent coherent chronology has been built for four Antarctic ice cores and the NorthGRIP (NGRIP) Greenland ice core (Antarctic Ice Core Chronology 2012, AICC2012) using a Bayesian approach for ice core dating (Datice). When building the AICC2012 chronology, and in order to prevent any confusion with official ice core chronology, the AICC2012 chronology for NGRIP was forced to fit exactly the GICC05 chronology based on layer counting. However, such a strong tuning did not satisfy the hypothesis of independence of background parameters and observations for the NGRIP core, as required by Datice. We present here the implementation in Datice of a new type of markers that is better suited for constraints deduced from layer counting: the duration constraints. Estimating the global error on chronology due to such markers is not straightforward and implies some assumption on the correlation between individual counting errors for each interval of duration. We validate this new methodological implementation by conducting twin experiments and a posteriori diagnostics on the NGRIP ice core. Several sensitivity tests on marker sampling and correlation between counting errors were performed to provide some guidelines when using such a method for future dating experiments. Finally, using these markers for NGRIP in a five-core dating exercise with Datice leads to new chronologies that do not differ by more than 410 years from AICC2012 for Antarctic ice cores and 150 years from GICC05 for NGRIP over the last 60 000 years.</t>
  </si>
  <si>
    <t>[Lemieux-Dudon, B.; Kele, H. Toye Mahamadou] Lab Jean Kuntzmann, Grenoble, France; [Bazin, L.; Landais, A.; Guillevic, M.] CEA CNRS UVSQ, Lab Sci Climat &amp; Environm, UMR8212, Gif Sur Yvette, France; [Guillevic, M.] Univ Copenhagen, Niels Bohr Inst, Ctr Ice &amp; Climate, DK-2100 Copenhagen, Denmark; [Kindler, P.] Univ Bern, Inst Phys, Climate &amp; Environm Phys, Bern, Switzerland; [Kindler, P.] Univ Bern, Oeschger Ctr Climate Change Res, Bern, Switzerland; [Parrenin, F.; Martinerie, P.] Univ Grenoble Alpes, CNRS, Lab Glaciol &amp; Geophys Environm, UMR5183, Grenoble, France</t>
  </si>
  <si>
    <t>Communaute Universite Grenoble Alpes; Institut National Polytechnique de Grenoble; Universite Grenoble Alpes (UGA); Centre National de la Recherche Scientifique (CNRS); Inria; Centre National de la Recherche Scientifique (CNRS); CNRS - National Institute for Earth Sciences &amp; Astronomy (INSU); CEA; Universite Paris Saclay; University of Copenhagen; Niels Bohr Institute; University of Bern; University of Bern; Centre National de la Recherche Scientifique (CNRS); Communaute Universite Grenoble Alpes; Universite Grenoble Alpes (UGA)</t>
  </si>
  <si>
    <t>Lemieux-Dudon, B (corresponding author), Lab Jean Kuntzmann, Grenoble, France.</t>
  </si>
  <si>
    <t>benedicte.lemieux@imag.fr</t>
  </si>
  <si>
    <t>Parrenin, Frédéric/H-3054-2014; Martinerie, Patricia/N-5731-2017</t>
  </si>
  <si>
    <t>Parrenin, Frédéric/0000-0002-9489-3991; Martinerie, Patricia/0000-0002-6820-2296; LANDAIS, Amaelle/0000-0002-5620-5465; Lemieux-Dudon, Benedicte/0000-0002-0718-2420; Bazin, Lucie/0000-0003-4808-4090; Guillevic, Myriam/0000-0002-8128-7247</t>
  </si>
  <si>
    <t>Fondation de France Ars Cuttoli; Labex L-IPSL - ANR [ANR-10-LABX-0018]; Agence Nationale de la Recherche (ANR) [ANR-10-LABX-0018] Funding Source: Agence Nationale de la Recherche (ANR)</t>
  </si>
  <si>
    <t>Fondation de France Ars Cuttoli; Labex L-IPSL - ANR(Agence Nationale de la Recherche (ANR)); Agence Nationale de la Recherche (ANR)(Agence Nationale de la Recherche (ANR))</t>
  </si>
  <si>
    <t>We thank Eric Wolff for his comments on a preliminary version of this article. We thank Paul Blackwell and the anonymous reviewers for their fruitful comments. This project was funded by the Fondation de France Ars Cuttoli. This work was supported by Labex L-IPSL, which is funded by the ANR (grant no. ANR-10-LABX-0018). This is LSCE contribution no. 5502.</t>
  </si>
  <si>
    <t>1814-9324</t>
  </si>
  <si>
    <t>1814-9332</t>
  </si>
  <si>
    <t>CLIM PAST</t>
  </si>
  <si>
    <t>Clim. Past.</t>
  </si>
  <si>
    <t>10.5194/cp-11-959-2015</t>
  </si>
  <si>
    <t>CL6ZU</t>
  </si>
  <si>
    <t>Green Submitted, gold, Green Published</t>
  </si>
  <si>
    <t>WOS:000357119900011</t>
  </si>
  <si>
    <t>Núñez-Pons, L; Avila, C</t>
  </si>
  <si>
    <t>Nunez-Pons, L.; Avila, C.</t>
  </si>
  <si>
    <t>Natural products mediating ecological interactions in Antarctic benthic communities: a mini-review of the known molecules</t>
  </si>
  <si>
    <t>NATURAL PRODUCT REPORTS</t>
  </si>
  <si>
    <t>POTENTIAL CHEMICAL DEFENSES; NUDIBRANCH AUSTRODORIS-KERGUELENENSIS; SOFT CORAL; MARINE ORGANISMS; MCMURDO-SOUND; ILLUDALANE SESQUITERPENOIDS; COMPREHENSIVE EVALUATION; BIOCHEMICAL-COMPOSITION; SECONDARY METABOLITES; BACTERIAL SYMBIONTS</t>
  </si>
  <si>
    <t>Covering: up to the end of 2014 Out of the many bioactive compounds described from the oceans, only a small fraction have been studied for their ecological significance. Similarly, most chemically mediated interactions are not well understood, because the molecules involved remain unrevealed. In Antarctica, this gap in knowledge is even more acute in comparison to tropical or temperate regions, even though polar organisms are also prolific producers of chemical defenses, and pharmacologically relevant products are being reported from the Southern Ocean. The extreme and unique marine environments surrounding Antarctica along with the numerous unusual interactions taking place in benthic communities are expected to select for novel functional secondary metabolites. There is an urgent need to comprehend the evolutionary role of marine derived substances in general, and particularly at the Poles, since molecules of keystone significance are vital in species survival, and therefore, in structuring the communities. Here we provide a mini-review on the identified marine natural products proven to have an ecological function in Antarctic ecosystems. This report recapitulates some of the bibliography from original Antarctic reviews, and updates the new literature in the field from 2009 to the present.</t>
  </si>
  <si>
    <t>[Nunez-Pons, L.] Univ Hawaii, HIMB, Honolulu, HI 96822 USA; [Nunez-Pons, L.; Avila, C.] Univ Barcelona, Biol Anim Invertebrats, Catalonia, Spain</t>
  </si>
  <si>
    <t>University of Hawaii System; University of Barcelona</t>
  </si>
  <si>
    <t>Núñez-Pons, L (corresponding author), Univ Hawaii, HIMB, Honolulu, HI 96822 USA.</t>
  </si>
  <si>
    <t>lauguau@gmail.com</t>
  </si>
  <si>
    <t>Avila, Conxita/B-9466-2008</t>
  </si>
  <si>
    <t>Avila, Conxita/0000-0002-5489-8376</t>
  </si>
  <si>
    <t>Fundacion Ramon Areces Postdoctoral Program; Spanish Government through the ACTIQUIM-II Project [CTM2010-17415/ANT]</t>
  </si>
  <si>
    <t>Fundacion Ramon Areces Postdoctoral Program; Spanish Government through the ACTIQUIM-II Project</t>
  </si>
  <si>
    <t>Thanks are due to our colleagues F. J. Cristobo, M. Rodriguez, S. Taboada, C. Angulo, B. Figuerola, J. Moles, and J. Vazquez. L. N.-P. was supported by funding from Fundacion Ramon Areces Postdoctoral Program. Funding by the Spanish Government through the ACTIQUIM-II Project (CTM2010-17415/ANT) is also acknowledged.</t>
  </si>
  <si>
    <t>0265-0568</t>
  </si>
  <si>
    <t>1460-4752</t>
  </si>
  <si>
    <t>NAT PROD REP</t>
  </si>
  <si>
    <t>Nat. Prod. Rep.</t>
  </si>
  <si>
    <t>10.1039/c4np00150h</t>
  </si>
  <si>
    <t>Biochemistry &amp; Molecular Biology; Chemistry, Medicinal; Chemistry, Organic</t>
  </si>
  <si>
    <t>Biochemistry &amp; Molecular Biology; Pharmacology &amp; Pharmacy; Chemistry</t>
  </si>
  <si>
    <t>CL4YM</t>
  </si>
  <si>
    <t>WOS:000356964400012</t>
  </si>
  <si>
    <t>Czerwik-Marcinkowska, J; Massalski, A; Olech, M; Wojciechowska, A</t>
  </si>
  <si>
    <t>Czerwik-Marcinkowska, Joanna; Massalski, Andrzej; Olech, Maria; Wojciechowska, Anna</t>
  </si>
  <si>
    <t>Morphology, ultrastructure and ecology of Muriella decolor (Chlorophyta) from subaerial habitats in Poland and the Antarctic</t>
  </si>
  <si>
    <t>POLISH POLAR RESEARCH</t>
  </si>
  <si>
    <t>Antarctic moraine; Polish caves; Muriella decolor ultrastructure</t>
  </si>
  <si>
    <t>MOLECULAR PHYLOGENY; ALGAE; CYANOBACTERIA; CAVES; BIODETERIORATION; TREBOUXIOPHYCEAE; BRACTEACOCCUS; ENVIRONMENTS; COMMUNITIES; SYSTEMATICS</t>
  </si>
  <si>
    <t>This paper offers a comparison of Muriella decolor specimens from different geographical regions and habitats (limestone caves in Poland and ice denuded areas near the Ecology Glacier, King George Island, South Shetland Islands, West Antarctic). Morphological and cytological variability, ecology and life strategies of M. decolor were studied in fresh samples, and also in cultures grown on agar plates. The complete life cycle, with detailed ultrastructural (LM and TEM) analysis are presented. The electron microscopic observations prove that materials identified as M. decolor collected in Poland and the Antarctic have distinct ultrastructural features. These include the chloroplast lamella arrangement, mitochondria' cristae structure and the cell wall thickness.</t>
  </si>
  <si>
    <t>[Czerwik-Marcinkowska, Joanna; Massalski, Andrzej] Uniwersytetu Jana Kochanowskiego Kielcach, Zaklad Bot, Inst Biol, PL-25420 Kielce, Poland; [Olech, Maria] Uniwersytetu Jagiellonskiego, Inst Bot, Zaklad Badan &amp; Dokumentacji Polarnej Prof Z Czepp, PL-31501 Krakow, Poland; [Olech, Maria] Polskiej Akad Nauk, Inst Biochem &amp; Biofizyki, Zaklad Biol Antarktyki, PL-02141 Warsaw, Poland; [Wojciechowska, Anna] Uniwersytet Mikolaja Kopernika, Wydzial Biol &amp; Ochrony Srodowiska, Zaklad Ekologii Roslin &amp; Ochrony Przyrody, PL-87100 Torun, Poland</t>
  </si>
  <si>
    <t>Jan Kochanowski University; Jagiellonian University; Polish Academy of Sciences; Institute of Biochemistry &amp; Biophysics - Polish Academy of Sciences; Nicolaus Copernicus University</t>
  </si>
  <si>
    <t>Czerwik-Marcinkowska, J (corresponding author), Uniwersytetu Jana Kochanowskiego Kielcach, Zaklad Bot, Inst Biol, Ul Swietokrzyska 15, PL-25420 Kielce, Poland.</t>
  </si>
  <si>
    <t>marcinko@kielce.com.pl</t>
  </si>
  <si>
    <t>Wojciechowska, Anna/M-5122-2014; Czerwik-Marcinkowska, Joanna/AAJ-8207-2021</t>
  </si>
  <si>
    <t>Wojciechowska, Anna/0000-0002-5980-6792; Czerwik-Marcinkowska, Joanna/0000-0003-2019-7819</t>
  </si>
  <si>
    <t>National Science Center [NN304 275640]</t>
  </si>
  <si>
    <t>National Science Center(National Science Centre, Poland)</t>
  </si>
  <si>
    <t>We are grateful to Professor Konrad Wolowski, W. Szafer Institute of Botany Polish Academy of Sciences, for discussions and comments on the manuscript. We are indebted to Dr. Karolina Fucikova, University of Connecticut, U.S.A. for critical reading of the manuscript. Many thanks to the anonymous reviewers for providing valuable feedback on the manuscript. This study was supported by a grant from the National Science Center (No. NN304 275640).</t>
  </si>
  <si>
    <t>POLSKA AKAD NAUK, POLISH ACAD SCIENCES</t>
  </si>
  <si>
    <t>WARSZAWA</t>
  </si>
  <si>
    <t>PL DEFILAD 1, WARSZAWA, 00-901, POLAND</t>
  </si>
  <si>
    <t>0138-0338</t>
  </si>
  <si>
    <t>2081-8262</t>
  </si>
  <si>
    <t>POL POLAR RES</t>
  </si>
  <si>
    <t>Pol. Polar. Res.</t>
  </si>
  <si>
    <t>10.1515/popore-2015-0011</t>
  </si>
  <si>
    <t>CM0HI</t>
  </si>
  <si>
    <t>WOS:000357358600005</t>
  </si>
  <si>
    <t>Cao, SN; Zhang, J; Zheng, HY; Liu, CP; Zhou, QM</t>
  </si>
  <si>
    <t>Cao, Shunan; Zhang, Jie; Zheng, Hongyuan; Liu, Chuanpeng; Zhou, Qiming</t>
  </si>
  <si>
    <t>Photosynthetic performance in Antarctic lichens with different growth forms reflect the diversity of lichenized algal adaptation to microhabitats</t>
  </si>
  <si>
    <t>Antarctic; lichens; lichenized; molecular phylogenetics; photosynthesis; Trebouxia</t>
  </si>
  <si>
    <t>CARBON-DIOXIDE EXCHANGE; WATER RELATIONS; TREBOUXIOPHYCEAE; PHOTOBIONTS; HABITAT; SLOWEST; DESERT; RANGE</t>
  </si>
  <si>
    <t>Lichens, as typical obligate associations between lichenized fungi and their photosynthetic partners, are dominant in Antarctica. Three Antarctic lichens, Ochrolechia frigida, Umbilicaria antarctica, and Usnea aurantiaco-atra with different growth forms, were sampled nearby the Great Wall Station, King George Island. Molecular data revealed that the photosynthetic algae in these three lichens were Trebouxia jamesii. The net photosynthesis (Pn) of three individuals from these species, together with environmental factors such as light and temperature, were recorded by CO2 gas exchange measurements using a CI-340 portable photosynthetic system in situ. Differences between T(leaf) (the temperature of the thalli) and T(air) (the air temperature) for these lichens were not consistent, which reflected that environment and the growth form of thalli could affect T(leaf) significantly. Strong irradiation was expected to have adverse effects on Pn of Ochrolechiafrigida and Umbilicaria antarctica whose thalli spread flat; but this photoinhibition had little effect on Usnea aurantiaco-atra with exuberant tufted thallus. These results indicated that photosynthetic activity in lichens was affected by the growth forms of thalli besides microhabitat factors. One species of lichenized alga could exhibit diversified types of photosynthetic behavior when it was associated with various lichenized fungi in different microhabitats. It will be helpful for understanding how lichens are able to adapt to and colonize in extreme environments.</t>
  </si>
  <si>
    <t>[Cao, Shunan; Zheng, Hongyuan] Polar Res Inst China, Key Lab Polar Sci SOA, Shanghai 200136, Peoples R China; [Zhang, Jie] Chinese Natl Antarctic &amp; Arctic Data Ctr, Polar Res Inst China, Shanghai 200136, Peoples R China; [Zheng, Hongyuan] Tongji Univ, Coll Environm Sci &amp; Engn, Shanghai 200092, Peoples R China; [Liu, Chuanpeng; Zhou, Qiming] Harbin Inst Technol, Sch Life Sci &amp; Technol, Harbin 150080, Peoples R China; [Zhou, Qiming] Chinese Acad Sci, Inst Microbiol, Beijing 100101, Peoples R China</t>
  </si>
  <si>
    <t>Polar Research Institute of China; Polar Research Institute of China; Tongji University; Harbin Institute of Technology; Chinese Academy of Sciences; Institute of Microbiology, CAS</t>
  </si>
  <si>
    <t>Liu, CP (corresponding author), Harbin Inst Technol, Sch Life Sci &amp; Technol, 2 Yikuang St, Harbin 150080, Peoples R China.</t>
  </si>
  <si>
    <t>liucp74@hotmail.com; zhqm@moon.ibp.ac.cn</t>
  </si>
  <si>
    <t>ZHENG, HONGYUAN/ABF-9513-2020; Zhou, Qi/JTT-3417-2023; zhou, qi/JEF-7253-2023</t>
  </si>
  <si>
    <t>ZHENG, HONGYUAN/0000-0002-0225-3883; zhou, qi ming/0000-0002-2892-6329</t>
  </si>
  <si>
    <t>State Oceanic Administration, P.R. China [10/11GW06]; National Natural Science Foundation of China [31000010, 31270118]</t>
  </si>
  <si>
    <t>State Oceanic Administration, P.R. China; National Natural Science Foundation of China(National Natural Science Foundation of China (NSFC))</t>
  </si>
  <si>
    <t>Our researches were facilitated by the Resource-sharing Platform of Polar Samples (http://birds.chinare.org.cn/) where the lichen specimens are preserved. Data issued by the Data-sharing Platform of Polar Science (http://www.chinare.org.cn) are maintained by Polar Research Institute of China (PRIC) and Chinese National Arctic &amp; Antarctic Data Center (CN-NADC). We are grateful to the Chinese Arctic and Antarctic Administration for the help in carrying out the project in the Great Wall Station during the 27th Chinese National Antarctic Expedition. This research was supported by State Oceanic Administration, P.R. China (10/11GW06), and the National Natural Science Foundation of China (Nos. 31000010, 31270118).</t>
  </si>
  <si>
    <t>10.1515/popore-2015-0012</t>
  </si>
  <si>
    <t>WOS:000357358600006</t>
  </si>
  <si>
    <t>Roberts, J; Plummer, C; Vance, T; van Ommen, T; Moy, A; Poynter, S; Treverrow, A; Curran, M; George, S</t>
  </si>
  <si>
    <t>Roberts, J.; Plummer, C.; Vance, T.; van Ommen, T.; Moy, A.; Poynter, S.; Treverrow, A.; Curran, M.; George, S.</t>
  </si>
  <si>
    <t>A 2000-year annual record of snow accumulation rates for Law Dome, East Antarctica</t>
  </si>
  <si>
    <t>ICE CORE; SOUTH; DYNAMICS; ENSO</t>
  </si>
  <si>
    <t>Accurate high-resolution records of snow accumulation rates in Antarctica are crucial for estimating ice sheet mass balance and subsequent sea level change. Snowfall rates at Law Dome, East Antarctica, have been linked with regional atmospheric circulation to the mid-latitudes as well as regional Antarctic snowfall. Here, we extend the length of the Law Dome accumulation record from 750 years to 2035 years, using recent annual layer dating that extends to 22 BCE. Accumulation rates were calculated as the ratio of measured to modelled layer thicknesses, multiplied by the long-term mean accumulation rate. The modelled layer thicknesses were based on a power-law vertical strain rate profile fitted to observed annual layer thickness. The periods 380-442, 727-783 and 1970-2009 CE have above-average snow accumulation rates, while 663-704, 933-975 and 1429-1468 CE were below average, and decadal-scale snow accumulation anomalies were found to be relatively common (74 events in the 2035-year record). The calculated snow accumulation rates show good correlation with atmospheric reanalysis estimates, and significant spatial correlation over a wide expanse of East Antarctica, demonstrating that the Law Dome record captures larger-scale variability across a large region of East Antarctica well beyond the immediate vicinity of the Law Dome summit. Spectral analysis reveals periodicities in the snow accumulation record which may be related to El Nino-Southern Oscillation (ENSO) and Interdecadal Pacific Oscillation (IPO) frequencies.</t>
  </si>
  <si>
    <t>[Roberts, J.; van Ommen, T.; Moy, A.; Curran, M.] Australian Antarctic Div, Kingston, Tas 7050, Australia; [Roberts, J.; Plummer, C.; Vance, T.; van Ommen, T.; Moy, A.; Poynter, S.; Treverrow, A.; Curran, M.; George, S.] Univ Tasmania, Antarctic Climate &amp; Ecosyst Cooperat Res Ctr, Hobart, Tas 7001, Australia; [Plummer, C.] Univ Tasmania, Inst Marine &amp; Antarctic Studies, Hobart, Tas 7001, Australia; [George, S.] Univ Reading, NCAS Climate, Dept Meteorol, Reading, Berks, England</t>
  </si>
  <si>
    <t>Australian Antarctic Division; Antarctic Climate &amp; Ecosystems Cooperative Research Centre (ACE CRC); University of Tasmania; University of Tasmania; UK Research &amp; Innovation (UKRI); Natural Environment Research Council (NERC); NERC National Centre for Atmospheric Science; University of Reading</t>
  </si>
  <si>
    <t>Roberts, J (corresponding author), Australian Antarctic Div, Channel Highway, Kingston, Tas 7050, Australia.</t>
  </si>
  <si>
    <t>jason.roberts@aad.gov.au</t>
  </si>
  <si>
    <t>Poynter, Samuel/O-9808-2016; Roberts, Jason L/B-2235-2012; Treverrow, Adam/J-7450-2014; van Ommen, Tas/B-5020-2012</t>
  </si>
  <si>
    <t>Poynter, Samuel/0000-0002-5841-2687; Roberts, Jason L/0000-0002-3477-4069; Treverrow, Adam/0000-0003-4666-0488; van Ommen, Tas/0000-0002-2463-1718; Moy, Andrew/0000-0002-7664-9960; Plummer, Christopher/0000-0002-9765-5753; Vance, Tessa/0000-0001-6970-8646</t>
  </si>
  <si>
    <t>Australian Antarctic Division [757, 4061, 4062]; Australian Government's Cooperative Research Centres Programme through the Antarctic Climate and Ecosystems Cooperative Research Centre (ACE CRC)</t>
  </si>
  <si>
    <t>Australian Antarctic Division; Australian Government's Cooperative Research Centres Programme through the Antarctic Climate and Ecosystems Cooperative Research Centre (ACE CRC)(Australian GovernmentDepartment of Industry, Innovation and ScienceCooperative Research Centres (CRC) Programme)</t>
  </si>
  <si>
    <t>The Australian Antarctic Division provided funding and logistical support (ASS projects 757, 4061, 4062). This work was supported by the Australian Government's Cooperative Research Centres Programme through the Antarctic Climate and Ecosystems Cooperative Research Centre (ACE CRC). ECMWF ERA-Interim data used in this study have been obtained from the ECMWF data server.</t>
  </si>
  <si>
    <t>10.5194/cp-11-697-2015</t>
  </si>
  <si>
    <t>CL7AE</t>
  </si>
  <si>
    <t>Green Submitted, Green Accepted, gold</t>
  </si>
  <si>
    <t>WOS:000357121100001</t>
  </si>
  <si>
    <t>Gallée, H; Barral, H; Vignon, E; Genthon, C</t>
  </si>
  <si>
    <t>Gallee, H.; Barral, H.; Vignon, E.; Genthon, C.</t>
  </si>
  <si>
    <t>A case study of a low-level jet during OPALE</t>
  </si>
  <si>
    <t>ATMOSPHERIC BOUNDARY-LAYER; DOME-C; MODEL; ANTARCTICA; TURBULENCE; SEA; SIMULATION; BALANCE; ENERGY</t>
  </si>
  <si>
    <t>A case study of a low-level jet (LLJ) during the OPALE (Oxidant Production over Antarctic Land and its Export) summer campaign is presented. It has been observed at Dome C (East Antarctica) and is simulated accurately by the three-dimensional version of the Modele Atmospherique Regional (MAR). It is found that this low-level jet is not related to an episode of thermal wind, suggesting that Dome C may be a place where turbulence on flat terrain can be studied.</t>
  </si>
  <si>
    <t>[Gallee, H.; Barral, H.; Vignon, E.; Genthon, C.] UJF Grenoble 1, CNRS, LGGE, Grenoble, France</t>
  </si>
  <si>
    <t>Communaute Universite Grenoble Alpes; Universite Grenoble Alpes (UGA); Centre National de la Recherche Scientifique (CNRS)</t>
  </si>
  <si>
    <t>Gallée, H (corresponding author), UJF Grenoble 1, CNRS, LGGE, Grenoble, France.</t>
  </si>
  <si>
    <t>gallee@lgge.obs.ujf-grenoble.fr; genthon@lgge.obs.ujf-grenoble.fr</t>
  </si>
  <si>
    <t>VIGNON, Etienne/0000-0003-3801-9367; Genthon, Christophe/0000-0002-3678-4447</t>
  </si>
  <si>
    <t>ANR (Agence National de Recherche) [ANR-09-BLAN-0226]; Rhone-Alpes region [CPER07_13 CIRA]; OSUG@2020 labex [ANR10 LABX56]; Equip@Meso project of the Investissements d'Avenir programme [ANR-10-EQPX-29-01]; IPEV-CALVA project; INSU-LEFE-CLAPA project; OSUG GLACIOCLIM-CENACLAM project; Agence Nationale de la Recherche (ANR) [ANR-09-BLAN-0226] Funding Source: Agence Nationale de la Recherche (ANR)</t>
  </si>
  <si>
    <t>ANR (Agence National de Recherche)(Agence Nationale de la Recherche (ANR)); Rhone-Alpes region(Region Auvergne-Rhone-Alpes); OSUG@2020 labex; Equip@Meso project of the Investissements d'Avenir programme(Agence Nationale de la Recherche (ANR)); IPEV-CALVA project; INSU-LEFE-CLAPA project; OSUG GLACIOCLIM-CENACLAM project; Agence Nationale de la Recherche (ANR)(Agence Nationale de la Recherche (ANR))</t>
  </si>
  <si>
    <t>The OPALE project was funded by ANR (Agence National de Recherche) contract ANR-09-BLAN-0226.; Most of the computations presented in this paper were performed using the Froggy platform of the CIMENT infrastructure (https://ciment.ujf-grenoble.fr), which is supported by the Rhone-Alpes region (grant CPER07_13 CIRA), the OSUG@2020 labex (reference ANR10 LABX56) and the Equip@Meso project (reference ANR-10-EQPX-29-01) of the Investissements d'Avenir programme supervised by the Agence Nationale pour la Recherche.; The IPEV-CALVA, INSU-LEFE-CLAPA and OSUG GLACIOCLIM-CENACLAM projects are acknowledged for their support.</t>
  </si>
  <si>
    <t>10.5194/acp-15-6237-2015</t>
  </si>
  <si>
    <t>CK4GG</t>
  </si>
  <si>
    <t>WOS:000356180900015</t>
  </si>
  <si>
    <t>Rembauville, M; Blain, S; Armand, L; Quéguiner, B; Salter, I</t>
  </si>
  <si>
    <t>Rembauville, M.; Blain, S.; Armand, L.; Queguiner, B.; Salter, I.</t>
  </si>
  <si>
    <t>Export fluxes in a naturally iron-fertilized area of the Southern Ocean - Part 2: Importance of diatom resting spores and faecal pellets for export</t>
  </si>
  <si>
    <t>SUBSURFACE CHLOROPHYLL MAXIMUM; MARINE PLANKTONIC DIATOM; DRIFTING SEDIMENT TRAP; SANTA-BARBARA BASIN; CARBON EXPORT; SURFACE SEDIMENTS; SEA-ICE; NORTHEAST PACIFIC; KERGUELEN PLATEAU; BIOGENIC SILICA</t>
  </si>
  <si>
    <t>The biological composition of the material exported to a moored sediment trap located under the winter mixed layer of the naturally fertilized Kerguelen Plateau in the Southern Ocean was studied over an annual cycle. Despite iron availability in spring, the annual particulate organic carbon (POC) export (98.2 mmol m(-2)) at 289m was low, but annual biogenic silica export was significant (114 mmol m(-2)). This feature was related to the abundance of empty diatom cells and the ratio of full to empty cells exerted a first-order control in BSi : POC export stoichiometry of the biological pump. Chaetoceros Hyalochaete spp. and Thalassiosira antarctica resting spores were responsible for more than 60% of the annual POC flux that occurred during two very short export events of &lt; 14 days in spring-summer. Relatively low diatom fluxes were observed over the remainder of the year. Faecal pellet contribution to annual carbon flux was lower (34 %) and reached its seasonal maximum in autumn and winter (&gt; 80 %). The seasonal progression of faecal pellet types revealed a clear transition from small spherical shapes (small copepods) in spring, to larger cylindrical and ellipsoid shapes in summer (euphausiids and large copepods) and finally to large tabular shapes (salps) in autumn and winter. We propose in this high-biomass, low-export (HBLE) environment that small but highly silicified and fast-sinking resting spores are able to bypass the intense grazing pressure and efficient carbon transfer to higher trophic levels that are responsible for the low fluxes observed the during the remainder of the year. More generally our study also provides a statistical framework linking the ecological succession of diatom and zooplankton communities to the seasonality of carbon and silicon export within an iron-fertilized bloom region in the Southern Ocean.</t>
  </si>
  <si>
    <t>[Rembauville, M.; Blain, S.; Salter, I.] Univ Paris 06, Sorbonne Univ, Observ Oceanol, UMR7621,LOMIC, Banyuls Sur Mer, France; [Rembauville, M.; Blain, S.; Salter, I.] CNRS, LOMIC, Observ Oceanol, LOMIC, Banyuls Sur Mer, France; [Armand, L.] Macquarie Univ, Dept Biol Sci &amp; Climate Futures, N Ryde, NSW 2109, Australia; [Queguiner, B.] Univ Toulon &amp; Var, Aix Marseille Univ, CNRS INSU, IRD,MOI,UM110, Marseille, France; [Salter, I.] Alfred Wegener Inst Polar &amp; Marine Res, Bremerhaven, Germany</t>
  </si>
  <si>
    <t>Sorbonne Universite; Centre National de la Recherche Scientifique (CNRS); CNRS - National Institute for Earth Sciences &amp; Astronomy (INSU); Centre National de la Recherche Scientifique (CNRS); Sorbonne Universite; Macquarie University; Centre National de la Recherche Scientifique (CNRS); CNRS - National Institute for Earth Sciences &amp; Astronomy (INSU); Institut de Recherche pour le Developpement (IRD); Aix-Marseille Universite; Universite de Toulon; Helmholtz Association; Alfred Wegener Institute, Helmholtz Centre for Polar &amp; Marine Research</t>
  </si>
  <si>
    <t>Rembauville, M (corresponding author), Univ Paris 06, Sorbonne Univ, Observ Oceanol, UMR7621,LOMIC, Banyuls Sur Mer, France.</t>
  </si>
  <si>
    <t>rembauville@obs-banyuls.fr</t>
  </si>
  <si>
    <t>Quéguiner, Bernard/B-4060-2008; Armand, Leanne K/C-9004-2009; blain, stephane/F-6917-2010</t>
  </si>
  <si>
    <t>Quéguiner, Bernard/0000-0001-5020-8297; Salter, Ian/0000-0002-4513-0314; Armand, Leanne/0000-0003-3995-308X; blain, stephane/0000-0002-5234-2446</t>
  </si>
  <si>
    <t>French Research programme of INSU-CNRS LEFE-CYBER (Les enveloppes fluides et l'environnement - Cycles biogeochimiques, environnement et ressources); French ANR (Agence Nationale de la Recherche, SIMI-6 programme) [ANR-10-BLAN-0614]; French CNES (Centre National d'Etudes Spatiales); French Polar Institute IPEV (Institut Polaire Paul-Emile Victor); Australian Antarctic Division grant [3214]; Agence Nationale de la Recherche (ANR) [ANR-10-BLAN-0614] Funding Source: Agence Nationale de la Recherche (ANR)</t>
  </si>
  <si>
    <t>French Research programme of INSU-CNRS LEFE-CYBER (Les enveloppes fluides et l'environnement - Cycles biogeochimiques, environnement et ressources); French ANR (Agence Nationale de la Recherche, SIMI-6 programme)(Agence Nationale de la Recherche (ANR)); French CNES (Centre National d'Etudes Spatiales); French Polar Institute IPEV (Institut Polaire Paul-Emile Victor); Australian Antarctic Division grant; Agence Nationale de la Recherche (ANR)(Agence Nationale de la Recherche (ANR))</t>
  </si>
  <si>
    <t>We thank Captain Bernard Lassiette and his crew during the KEOPS2 mission on the R/V Marion Dufresne II. We thank Karine Leblanc and Marine Lasbleiz and the three anonymous reviewers for their constructive comments, which helped us to improve the manuscript. This work was supported by the French Research programme of INSU-CNRS LEFE-CYBER (Les enveloppes fluides et l'environnement - Cycles biogeochimiques, environnement et ressources), the French ANR (Agence Nationale de la Recherche, SIMI-6 programme, ANR-10-BLAN-0614), the French CNES (Centre National d'Etudes Spatiales) and the French Polar Institute IPEV (Institut Polaire Paul-Emile Victor). L. Armand's participation in the KEOPS2 programme was supported by an Australian Antarctic Division grant (#3214).</t>
  </si>
  <si>
    <t>10.5194/bg-12-3171-2015</t>
  </si>
  <si>
    <t>CK4FZ</t>
  </si>
  <si>
    <t>WOS:000356179800003</t>
  </si>
  <si>
    <t>S</t>
  </si>
  <si>
    <t>Alley, RB; Anandakrishnan, S; Christianson, K; Horgan, HJ; Muto, A; Parizek, BR; Pollard, D; Walker, RT</t>
  </si>
  <si>
    <t>Jeanloz, R; Freeman, KH</t>
  </si>
  <si>
    <t>Alley, Richard B.; Anandakrishnan, Sridhar; Christianson, Knut; Horgan, Huw J.; Muto, Atsu; Parizek, Byron R.; Pollard, David; Walker, Ryan T.</t>
  </si>
  <si>
    <t>Oceanic Forcing of Ice-Sheet Retreat: West Antarctica and More</t>
  </si>
  <si>
    <t>ANNUAL REVIEW OF EARTH AND PLANETARY SCIENCES, VOL 43</t>
  </si>
  <si>
    <t>Annual Review of Earth and Planetary Sciences</t>
  </si>
  <si>
    <t>Review; Book Chapter</t>
  </si>
  <si>
    <t>Antarctica; Greenland; sea level; ice sheet; stability</t>
  </si>
  <si>
    <t>PINE ISLAND GLACIER; FUTURE SEA-LEVEL; SHELF BREAK-UP; THWAITES GLACIER; NORTH-ATLANTIC; MASS-LOSS; PROBABILISTIC ASSESSMENT; SPATIAL SENSITIVITIES; ENVIRONMENTAL-CHANGE; BASAL CONDITIONS</t>
  </si>
  <si>
    <t>Ocean-ice interactions have exerted primary control on the Antarctic Ice Sheet and parts of the Greenland Ice Sheet, and will continue to do so in the near future, especially through melting of ice shelves and calving cliffs. Retreat in response to increasing marine melting typically exhibits threshold behavior, with little change for forcing below the threshold but a rapid, possibly delayed shift to a reduced state once the threshold is exceeded. For Thwaites Glacier, West Antarctica, the threshold may already have been exceeded, although rapid change may be delayed by centuries, and the reduced state will likely involve loss of most of the West Antarctic Ice Sheet, causing &gt; 3 m of sea-level rise. Because of shortcomings in physical understanding and available data, uncertainty persists about this threshold and the subsequent rate of change. Although sea-level histories and physical understanding allow the possibility that ice-sheet response could be quite fast, no strong constraints are yet available on the worst-case scenario. Recent work also suggests that the Greenland and East Antarctic Ice Sheets share some of the same vulnerabilities to shrinkage from marine influence.</t>
  </si>
  <si>
    <t>[Alley, Richard B.; Anandakrishnan, Sridhar; Muto, Atsu; Pollard, David] Penn State Univ, Dept Geosci, University Pk, PA 16802 USA; [Alley, Richard B.; Anandakrishnan, Sridhar; Muto, Atsu; Pollard, David] Penn State Univ, Earth &amp; Environm Syst Inst, University Pk, PA 16802 USA; [Christianson, Knut] Univ Washington, Dept Earth &amp; Space Sci, Seattle, WA 98195 USA; [Christianson, Knut] NYU, Courant Inst Math Sci, New York, NY 10012 USA; [Horgan, Huw J.] Victoria Univ Wellington, Antarctic Res Ctr, Wellington 6140, New Zealand; [Parizek, Byron R.] Penn State Univ, Math &amp; Geosci, Du Bois, PA 15801 USA; [Walker, Ryan T.] Univ Maryland, Earth Syst Sci Interdisciplinary Ctr, College Pk, MD 20742 USA; [Walker, Ryan T.] NASA, Goddard Space Flight Ctr, Cryospher Sci Lab, Greenbelt, MD 20771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</si>
  <si>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Washington; University of Washington Seattle; New York University; Victoria University Wellington; Pennsylvania Commonwealth System of Higher Education (PCSHE); Pennsylvania State University; University System of Maryland; University of Maryland College Park; National Aeronautics &amp; Space Administration (NASA); NASA Goddard Space Flight Center</t>
  </si>
  <si>
    <t>Alley, RB (corresponding author), Penn State Univ, Dept Geosci, University Pk, PA 16802 USA.</t>
  </si>
  <si>
    <t>rba6@psu.edu</t>
  </si>
  <si>
    <t>Anandakrishnan, Sridhar/JCN-5026-2023; Muto, Atsuhiro/AAJ-9558-2020</t>
  </si>
  <si>
    <t>Muto, Atsuhiro/0000-0002-1722-2457; Horgan, Huw/0000-0002-4836-0078</t>
  </si>
  <si>
    <t>Div Atmospheric &amp; Geospace Sciences; Directorate For Geosciences [1338832] Funding Source: National Science Foundation; Office of Polar Programs (OPP); Directorate For Geosciences [1043528] Funding Source: National Science Foundation</t>
  </si>
  <si>
    <t>Div Atmospheric &amp; Geospace Sciences; Directorate For Geosciences(National Science Foundation (NSF)NSF - Directorate for Geosciences (GEO)); Office of Polar Programs (OPP); Directorate For Geosciences(National Science Foundation (NSF)NSF - Directorate for Geosciences (GEO))</t>
  </si>
  <si>
    <t>ANNUAL REVIEWS</t>
  </si>
  <si>
    <t>PALO ALTO</t>
  </si>
  <si>
    <t>4139 EL CAMINO WAY, PO BOX 10139, PALO ALTO, CA 94303-0897 USA</t>
  </si>
  <si>
    <t>0084-6597</t>
  </si>
  <si>
    <t>1545-4495</t>
  </si>
  <si>
    <t>978-0-8243-2043-0</t>
  </si>
  <si>
    <t>ANNU REV EARTH PL SC</t>
  </si>
  <si>
    <t>Annu. Rev. Earth Planet. Sci.</t>
  </si>
  <si>
    <t>10.1146/annurev-earth-060614-105344</t>
  </si>
  <si>
    <t>Astronomy &amp; Astrophysics; Geosciences, Multidisciplinary</t>
  </si>
  <si>
    <t>Book Citation Index – Science (BKCI-S); Science Citation Index Expanded (SCI-EXPANDED)</t>
  </si>
  <si>
    <t>Astronomy &amp; Astrophysics; Geology</t>
  </si>
  <si>
    <t>BC8KX</t>
  </si>
  <si>
    <t>WOS:000355760100008</t>
  </si>
  <si>
    <t>Hernández-Salas, CR</t>
  </si>
  <si>
    <t>Hernandez-Salas, Carlos R.</t>
  </si>
  <si>
    <t>Distinguished Status Quo: The American Antarctic Quadrant after Submissions to the Commission on the Limits of the Continental Shelf</t>
  </si>
  <si>
    <t>INTERNATIONAL JOURNAL OF MARINE AND COASTAL LAW</t>
  </si>
  <si>
    <t>Antarctica; status quo; outer continental shelf; Antarctic Treaty System</t>
  </si>
  <si>
    <t>Submissions to the Commission on the Limits of the Continental Shelf (CLCS) by countries claiming sovereignty in Antarctica confirm the resilience of the Antarctic status quo to legal challenges. Through this status quo, these submissions have not been hindered by differences among claimant countries and between them and countries not recognizing any claim in Antarctica. It is in the American Antarctic Quadrant-where Argentina, Chile and United Kingdom have overlapping claims-that the status quo achieves its most extensive geographic and normative range, covering an area and disputes south and north of latitude 60 degrees, in particular disputes between Argentina and the United Kingdom; this determines also the alternatives available to Chile for filing its submission to the CLCS by 2019.</t>
  </si>
  <si>
    <t>Univ Concepcion, Interdisciplinary Ctr Aquaculture Res INCAR, Concepcion, Chile</t>
  </si>
  <si>
    <t>Universidad de Concepcion</t>
  </si>
  <si>
    <t>Hernández-Salas, CR (corresponding author), Univ Concepcion, Interdisciplinary Ctr Aquaculture Res INCAR, Concepcion, Chile.</t>
  </si>
  <si>
    <t>Hernandez-Salas, Carlos/0000-0003-4872-3876</t>
  </si>
  <si>
    <t>MARTINUS NIJHOFF PUBL</t>
  </si>
  <si>
    <t>PO BOX 9000, LEIDEN, 2300 PA, NETHERLANDS</t>
  </si>
  <si>
    <t>0927-3522</t>
  </si>
  <si>
    <t>1571-8085</t>
  </si>
  <si>
    <t>INT J MAR COAST LAW</t>
  </si>
  <si>
    <t>Int. J. Mar. Coast. Law</t>
  </si>
  <si>
    <t>10.1163/15718085-12341347</t>
  </si>
  <si>
    <t>Law</t>
  </si>
  <si>
    <t>Social Science Citation Index (SSCI)</t>
  </si>
  <si>
    <t>Government &amp; Law</t>
  </si>
  <si>
    <t>CK0XJ</t>
  </si>
  <si>
    <t>WOS:000355928700003</t>
  </si>
  <si>
    <t>Ibañez, AE; Najle, R; Larsen, K; Pari, M; Figueroa, A; Montalti, D</t>
  </si>
  <si>
    <t>Ibanez, Andres E.; Najle, Roberto; Larsen, Karen; Pari, Marcela; Figueroa, Amalia; Montalti, Diego</t>
  </si>
  <si>
    <t>Haematological values of three Antarctic penguins: gentoo (Pygoscelis papua), Adelie (P. adeliae) and chinstrap (P. antarcticus)</t>
  </si>
  <si>
    <t>Antarctic; haematology; physiology; Pygoscelis; penguins; serum biochemistry</t>
  </si>
  <si>
    <t>SPHENISCUS-MAGELLANICUS; EUDYPTES-CHRYSOLOPHUS; GEOGRAPHIC-VARIATION; PLASMA METABOLITES; BODY CONDITION; BLOOD; HEMOGLOBIN; HEMATOCRIT; CHEMISTRY; AGE</t>
  </si>
  <si>
    <t>It is established that haematological and biochemical parameters provide important data to assess the physiological condition and health status of wild birds. To undertake conservation physiology or ecophysiology work, it is therefore essential to establish baseline physiological parameters and how these parameters change with age and life history events. In this work, we determined and compared baseline haematology and serum biochemistry between adults and chicks of three Antarctic penguin species of the genus Pygoscelis: gentoo (P. papua), Adelie (P. adeliae) and chinstrap (P. antarcticus). Differences in adults among species were observed in haemoglobin and biochemical parameters such as total proteins, glucose and alkaline phosphatase activity. In addition, differences between adults and chicks in haematocrit, haemoglobin, total proteins and glucose concentration were determined. Moreover, we evaluated the electrophoretic protein profiles between adults and chicks of the genus Pygoscelis, and a conserved protein pattern was observed among species and ages in the genus. Altogether, the results suggest that biochemical and haematological differences among pygoscelids may be related to the nutritional status and energetic expenditure during breeding as well as their feeding habits and development stage.</t>
  </si>
  <si>
    <t>[Ibanez, Andres E.; Montalti, Diego] Univ Nacl La Plata, Fac Nat Sci &amp; Museum, Div Vertebrate Zool, Ornithol Sect, RA-1900 La Plata, Buenos Aires, Argentina; [Najle, Roberto; Larsen, Karen] Buenos Aires Natl Univ, Ctr Prov, Fac Vet Sci, Lab Cellular Biol, Buenos Aires, DF, Argentina; [Pari, Marcela; Figueroa, Amalia] Interzonal Hosp Luisa C de Gandulfo, Lab Clin &amp; Biochem Anal, Buenos Aires, DF, Argentina</t>
  </si>
  <si>
    <t>National University of La Plata; Museo La Plata</t>
  </si>
  <si>
    <t>Ibañez, AE (corresponding author), Univ Nacl La Plata, Fac Nat Sci &amp; Museum, Div Vertebrate Zool, Ornithol Sect, Paseo Bosque S-N,B1900FWA, RA-1900 La Plata, Buenos Aires, Argentina.</t>
  </si>
  <si>
    <t>aeibanez@fcnym.unlp.edu.ar</t>
  </si>
  <si>
    <t>Larsen, Karen/0000-0002-8542-6697</t>
  </si>
  <si>
    <t>OPEN ACADEMIA AB</t>
  </si>
  <si>
    <t>SPANGA</t>
  </si>
  <si>
    <t>STORMBYVAGEN 6, SPANGA, SE-163 55, SWEDEN</t>
  </si>
  <si>
    <t>10.3402/polar.v34.25718</t>
  </si>
  <si>
    <t>CK6QA</t>
  </si>
  <si>
    <t>WOS:000356351500001</t>
  </si>
  <si>
    <t>Meyzen, CM; Massironi, M; Pozzobon, R; Dal Zilio, L</t>
  </si>
  <si>
    <t>Platz, T; Massironi, M; Byrne, PK; Hiesinger, H</t>
  </si>
  <si>
    <t>Meyzen, Christine M.; Massironi, Matteo; Pozzobon, Riccardo; Dal Zilio, Luca</t>
  </si>
  <si>
    <t>Are terrestrial plumes from motionless plates analogues to Martian plumes feeding the giant shield volcanoes?</t>
  </si>
  <si>
    <t>VOLCANISM AND TECTONISM ACROSS THE INNER SOLAR SYSTEM</t>
  </si>
  <si>
    <t>Geological Society Special Publication</t>
  </si>
  <si>
    <t>Article; Book Chapter</t>
  </si>
  <si>
    <t>NORTHERN KERGUELEN PLATEAU; MILDLY ALKALIC BASALTS; ANOMALOUS HEAT-FLOW; CAPE-VERDE; GEOID ANOMALIES; CANARY-ISLANDS; MANTLE CONVECTION; THARSIS REGION; OLYMPUS MONS; GRAN-CANARIA</t>
  </si>
  <si>
    <t>On Earth, most tectonic plates are regenerated and recycled through convection. However, the Nubian and Antarctic plates could be considered as poorly mobile surfaces of various thicknesses that are acting as conductive lids on top of Earth's deeper convective system. Here, volcanoes do not show any linear age progression, at least not for the last 30 myr, but constitute the sites of persistent, focused, long-term magmatic activity rather than a chain of volcanoes, as observed in fast-moving plate plume environments. The melt products vertically accrete into huge accumulations. The residual depleted roots left behind by melting processes cannot be dragged away from the melting loci underlying the volcanoes, which may contribute to producing an unusually shallow depth of oceanic swells. The persistence of a stationary thick depleted lid slows down the efficiency of melting processes at shallow depths. Numerous characteristics of these volcanoes located on motionless plates may be shared by those of the giant volcanoes of the Tharsis province, as Mars is a one-plate planet. The aim of this chapter is to undertake a first inventory of these common features, in order to improve our knowledge of the construction processes of Martian volcanoes.</t>
  </si>
  <si>
    <t>[Meyzen, Christine M.; Massironi, Matteo; Pozzobon, Riccardo; Dal Zilio, Luca] Univ Padua, Dipartimento Geosci, I-35131 Padua, Italy; [Massironi, Matteo] Osserv Astron Padova, INAF, I-35122 Padua, Italy; [Pozzobon, Riccardo] Univ G DAnnunzio, IRSPS DISPUTer, I-66013 Chieti, Italy</t>
  </si>
  <si>
    <t>University of Padua; University of Padua; Istituto Nazionale Astrofisica (INAF); G d'Annunzio University of Chieti-Pescara</t>
  </si>
  <si>
    <t>Meyzen, CM (corresponding author), Univ Padua, Dipartimento Geosci, Via G Gradenigo 6, I-35131 Padua, Italy.</t>
  </si>
  <si>
    <t>christine.meyzen@unipd.it</t>
  </si>
  <si>
    <t>Massironi, Matteo/F-8860-2012; Meyzen, Christine/L-1941-2015</t>
  </si>
  <si>
    <t>Massironi, Matteo/0000-0002-7757-8818; Dal Zilio, Luca/0000-0002-5642-0894; Meyzen, Christine/0000-0002-7529-5347; Pozzobon, Riccardo/0000-0001-9183-645X</t>
  </si>
  <si>
    <t>GEOLOGICAL SOC PUBLISHING HOUSE</t>
  </si>
  <si>
    <t>BATH</t>
  </si>
  <si>
    <t>UNIT 7, BRASSMILL ENTERPRISE CTR, BRASSMILL LANE, BATH BA1 3JN, AVON, ENGLAND</t>
  </si>
  <si>
    <t>0305-8719</t>
  </si>
  <si>
    <t>978-1-86239-632-6</t>
  </si>
  <si>
    <t>GEOL SOC SPEC PUBL</t>
  </si>
  <si>
    <t>Geol. Soc. Spec. Publ.</t>
  </si>
  <si>
    <t>10.1144/SP401.8</t>
  </si>
  <si>
    <t>Geochemistry &amp; Geophysics; Geology</t>
  </si>
  <si>
    <t>Book Citation Index – Science (BKCI-S)</t>
  </si>
  <si>
    <t>BC9EB</t>
  </si>
  <si>
    <t>WOS:000356369300006</t>
  </si>
  <si>
    <t>Walker, CC; Bassis, JN; Fricker, HA; Czerwinski, RJ</t>
  </si>
  <si>
    <t>Walker, Catherine C.; Bassis, Jeremy N.; Fricker, Helen A.; Czerwinski, Robin J.</t>
  </si>
  <si>
    <t>Observations of interannual and spatial variability in rift propagation in the Amery Ice Shelf, Antarctica, 2002-14</t>
  </si>
  <si>
    <t>Antarctic glaciology; ice shelves; iceberg calving</t>
  </si>
  <si>
    <t>EAST ANTARCTICA; DEFORMATION; SEISMICITY; STABILITY</t>
  </si>
  <si>
    <t>Iceberg calving and basal melting are the two primary mass loss processes from the Antarctic ice sheet, accounting for approximately equal amounts of mass loss. Basal melting under ice shelves has been increasingly well constrained in recent work, but changes in iceberg calving rates remain poorly quantified. Here we examine the processes that precede iceberg calving, and focus on initiation and propagation of ice-shelf rifts. Using satellite imagery from the Moderate Resolution Imaging Spectroradiometer (MODIS) and the Multi-angle Imaging Spectroradiometer (MISR), we monitored five active rifts on the Amery Ice Shelf, Antarctica, from 2002 to 2014. We found a strong seasonal component: propagation rates were highest during (austral) summer and nearly zero during winter. We found substantial variability in summer propagation rates, but found no evidence that the variability was correlated with large-scale environmental drivers, such as atmospheric temperature, winds or sea-ice concentration. We did find a positive correlation between large propagation events and the arrival of tsunamis in the region. The variability appears to be related to visible structural boundaries within the ice shelf, e.g. suture zones or crevasse fields. This suggests that a complete understanding of rift propagation and iceberg calving needs to consider local heterogeneities within an ice shelf.</t>
  </si>
  <si>
    <t>[Walker, Catherine C.] Georgia Inst Technol, Sch Earth &amp; Atmospher Sci, Atlanta, GA 30332 USA; [Bassis, Jeremy N.; Czerwinski, Robin J.] Univ Michigan, Atmospher Ocean &amp; Space Sci, Ann Arbor, MI 48109 USA; [Fricker, Helen A.] Univ Calif San Diego, Scripps Inst Oceanog, Inst Geophys &amp; Planetary Phys, La Jolla, CA 92093 USA</t>
  </si>
  <si>
    <t>University System of Georgia; Georgia Institute of Technology; University of Michigan System; University of Michigan; University of California System; University of California San Diego; Scripps Institution of Oceanography</t>
  </si>
  <si>
    <t>Walker, CC (corresponding author), Georgia Inst Technol, Sch Earth &amp; Atmospher Sci, Atlanta, GA 30332 USA.</t>
  </si>
  <si>
    <t>cat.walker@eas.gatech.edu</t>
  </si>
  <si>
    <t>Walker, Catherine Colello/HSG-9526-2023; Bassis, Jeremy N/J-1706-2012</t>
  </si>
  <si>
    <t>Walker, Catherine Colello/0000-0003-4019-1000; Fricker, Helen Amanda/0000-0002-0921-1432</t>
  </si>
  <si>
    <t>NASA [NNX10AB216G]; NSF CAREER-NSF-ANT [114085]; NSF [EAGER-NSF-ARC 1064535]</t>
  </si>
  <si>
    <t>NASA(National Aeronautics &amp; Space Administration (NASA)); NSF CAREER-NSF-ANT; NSF(National Science Foundation (NSF))</t>
  </si>
  <si>
    <t>This work was supported by NASA grant NNX10AB216G, NSF CAREER-NSF-ANT 114085, and NSF grant EAGER-NSF-ARC 1064535.</t>
  </si>
  <si>
    <t>INT GLACIOL SOC</t>
  </si>
  <si>
    <t>LENSFIELD RD, CAMBRIDGE CB2 1ER, ENGLAND</t>
  </si>
  <si>
    <t>10.3189/2015JoG14J151</t>
  </si>
  <si>
    <t>CJ8UC</t>
  </si>
  <si>
    <t>WOS:000355778000005</t>
  </si>
  <si>
    <t>Price, D; Beckers, J; Ricker, R; Kurtz, N; Rack, W; Haas, C; Helm, V; Hendricks, S; Leonard, G; Langhorne, PJ</t>
  </si>
  <si>
    <t>Price, D.; Beckers, J.; Ricker, R.; Kurtz, N.; Rack, W.; Haas, C.; Helm, V.; Hendricks, S.; Leonard, G.; Langhorne, P. J.</t>
  </si>
  <si>
    <t>Evaluation of CryoSat-2 derived sea-ice freeboard over fast ice in McMurdo Sound, Antarctica</t>
  </si>
  <si>
    <t>remote sensing; sea ice; sea-ice growth and decay</t>
  </si>
  <si>
    <t>PLATELET ICE; THICKNESS; SNOW; MISSION; GROWTH; OCEAN; LAND; VARIABILITY; ALTIMETER; RETRIEVAL</t>
  </si>
  <si>
    <t>Using in situ data from 2011 and 2013, we evaluate the ability of CryoSat-2 (CS-2) to retrieve sea-ice freeboard over fast ice in McMurdo Sound. This provides the first systematic validation of CS-2 in the coastal Antarctic and offers insight into the assumptions currently used to process CS-2 data. European Space Agency Level 2 (ESAL2) data are compared with results of a Waveform Fitting (WfF) procedure and a Threshold-First-Maximum-Retracker-Algorithm employed at 40% (TFMRA40). A supervised freeboard retrieval procedure is used to reduce errors associated with sea surface height identification and radar velocity in snow. We find ESAL2 freeboards located between the ice and snow freeboard rather than the frequently assumed snow/ice interface. WfF is within 0.04 m of the ice freeboard but is influenced by variable snow conditions causing increased radar backscatter from the air/snow interface. Given such snow conditions and additional uncertainties in sea surface height identification, a positive bias of 0.14 m away from the ice freeboard is observed. TFMRA40 freeboards are within 0.03 m of the snow freeboard. The separation of freeboard estimates is primarily driven by the different assumptions of each retracker, although waveform alteration by variations in snow properties and surface roughness is evident. Techniques are amended where necessary, and automatic freeboard retrieval procedures for ESAL2, WfF and TFMRA40 are presented. CS-2 detects annual fast-ice freeboard trends using all three automatic procedures that are in line with known sea-ice growth rates in the region.</t>
  </si>
  <si>
    <t>[Price, D.; Rack, W.] Univ Canterbury, Gateway Antarctica, Christchurch 1, New Zealand; [Beckers, J.] Univ Alberta, Dept Earth &amp; Atmospher Sci, Edmonton, AB, Canada; [Ricker, R.; Helm, V.; Hendricks, S.] Helmholtz Ctr Polar &amp; Marine Res, Alfred Wegener Inst, Bremerhaven, Germany; [Kurtz, N.] NASA, Goddard Space Flight Ctr, Cryospher Sci Lab, Greenbelt, MD 20771 USA; [Haas, C.] York Univ, Dept Earth Space Sci &amp; Engn, Toronto, ON M3J 2R7, Canada; [Leonard, G.] Univ Otago, Sch Surveying, Dunedin, New Zealand; [Langhorne, P. J.] Univ Otago, Dept Phys, Dunedin, New Zealand</t>
  </si>
  <si>
    <t>University of Canterbury; University of Alberta; Helmholtz Association; Alfred Wegener Institute, Helmholtz Centre for Polar &amp; Marine Research; National Aeronautics &amp; Space Administration (NASA); NASA Goddard Space Flight Center; York University - Canada; University of Otago; University of Otago</t>
  </si>
  <si>
    <t>Price, D (corresponding author), Univ Canterbury, Gateway Antarctica, Christchurch 1, New Zealand.</t>
  </si>
  <si>
    <t>daniel.price@pg.cantethury.ac.nz</t>
  </si>
  <si>
    <t>Beckers, Justin/I-2806-2014; Hendricks, Stefan/D-5168-2011; Haas, Christian/L-5279-2016; Ricker, Robert/H-8874-2016; Ricker, Robert/Z-4214-2019; Langhorne, Pat/C-3539-2018; Leonard, Greg/F-7157-2010; Rack, Wolfgang/U-8898-2017</t>
  </si>
  <si>
    <t>Beckers, Justin/0000-0003-0751-3995; Hendricks, Stefan/0000-0002-1412-3146; Haas, Christian/0000-0002-7674-3500; Ricker, Robert/0000-0001-6928-7757; Ricker, Robert/0000-0001-6928-7757; Langhorne, Pat/0000-0003-0239-7657; Price, Daniel/0000-0001-6003-0920; Leonard, Greg/0000-0001-7679-9486; Rack, Wolfgang/0000-0003-2447-377X</t>
  </si>
  <si>
    <t>European Space Agency [AOCRY2CAL-4512]; DLR (German Aerospace Center) [OCE1592]; German Ministry of Economics and Technology [50EE1008]; Air New Zealand; National Institute of Water and Atmospheric Research, New Zealand [CO1X1226]</t>
  </si>
  <si>
    <t>European Space Agency(European Space Agency); DLR (German Aerospace Center)(Helmholtz AssociationGerman Aerospace Centre (DLR)); German Ministry of Economics and Technology(Federal Ministry for Economic Affairs and Energy (BMWi)); Air New Zealand; National Institute of Water and Atmospheric Research, New Zealand</t>
  </si>
  <si>
    <t>We thank all participants in the 2011 and 2013 Antarctica New Zealand field event K063 as well as Scott Base staff for their support. CS-2 data were provided by the European Space Agency for project AOCRY2CAL-4512. The Terra-SAR-X image was provided through DLR (German Aerospace Center) project OCE1592. The work of V. Helm and S. Hendricks was funded by the German Ministry of Economics and Technology (grant 50EE1008). We appreciate the efforts of Alec Casey who provided technical assistance in data processing. A research stay for the first author at the University of Alberta was supported by Air New Zealand. Further research support was provided by the National Institute of Water and Atmospheric Research, New Zealand, under contract CO1X1226. We thank Trimble NZ for the use of GNSS equipment, and Wolfgang Dierking for fruitful discussions. We are very grateful for the contributions of Nick Key and Justin Harrison in the design and preparation of field equipment. The comments of two anonymous reviewers and the sea-ice editor contributed to the manuscript. This work was collated at Gateway Antarctica, University of Canterbury, New Zealand.</t>
  </si>
  <si>
    <t>10.3189/2015JoG14J157</t>
  </si>
  <si>
    <t>WOS:000355778000009</t>
  </si>
  <si>
    <t>Wake, LM; Marshall, SJ</t>
  </si>
  <si>
    <t>Wake, L. M.; Marshall, S. J.</t>
  </si>
  <si>
    <t>Assessment of current methods of positive degree-day calculation using in situ observations from glaciated regions</t>
  </si>
  <si>
    <t>glacier mass balance; glacier meteorology; glacier modelling; ice-sheet mass balance; ice-sheet modelling</t>
  </si>
  <si>
    <t>GREENLAND ICE-SHEET; MASS-BALANCE PARAMETERIZATIONS; DAILY TEMPERATURE VARIABILITY; SURFACE-ENERGY BALANCE; ABLATION ZONE; CLIMATE MODEL; WIND CLIMATE; SEA-LEVEL; MELT; GLACIER</t>
  </si>
  <si>
    <t>The continued use of the positive degree-day (PDD) method to predict ice-sheet melt is generally favoured over surface energy-balance methods partly due to the computational efficiency of the algorithm and the requirement of only one input variable (temperature). In this paper, we revisit some of the assumptions governing the application of the PDD method. Using hourly temperature data from the GC-Net network we test the assumption that monthly PDD total (PDDM) can be represented by a Gaussian distribution with fixed standard deviation of monthly temperature (sigma(M)). The results presented here show that the common assumption of fixed sigma(M) does not hold, and that sigma(M) may be represented more accurately as a quadratic function of average monthly temperature. For Greenland, the mean absolute error in predicting PDDM using our methodology is 3.9 degrees C d, representing a significant improvement on current methods (7.8 degrees C d, when sigma(M) = 4.5 degrees C). Over a range of glaciated settings, our method reproduces PDDM, on average, to within 1.5-8.5 degrees C d, compared to 4.4-15.7 degrees C d when am. 4.5 degrees C. The improvement arises because we capture the systematic reduction in temperature variance that is observed over melting snow and ice, when surface temperatures cannot warm above 0 degrees C.</t>
  </si>
  <si>
    <t>[Wake, L. M.] Northumbria Univ, Dept Geog, Newcastle Upon Tyne NE1 8ST, Tyne &amp; Wear, England; [Marshall, S. J.] Univ Calgary, Dept Geog, Calgary, AB T2N 1N4, Canada</t>
  </si>
  <si>
    <t>Northumbria University; University of Calgary</t>
  </si>
  <si>
    <t>Wake, LM (corresponding author), Northumbria Univ, Dept Geog, Newcastle Upon Tyne NE1 8ST, Tyne &amp; Wear, England.</t>
  </si>
  <si>
    <t>leanne.wake@northumbria.ac.uk</t>
  </si>
  <si>
    <t>Wake, Leanne/0000-0003-1531-6473</t>
  </si>
  <si>
    <t>US National Science Foundation [ANT-0944018, ANT-f663]; Canadian Institute for Advanced Research</t>
  </si>
  <si>
    <t>US National Science Foundation(National Science Foundation (NSF)); Canadian Institute for Advanced Research(Canadian Institute for Advanced Research (CIFAR))</t>
  </si>
  <si>
    <t>For Antarctic data, we appreciate the support of the University of Wisconsin Madison Automatic Weather Station Program for the dataset, data display and information (US National Science Foundation grant Nos. ANT-0944018 and ANT-f663; Antarctic Meteorological Research Center, ftp://amrc.ssec.wisc.edu/pub/aws/). We thank the Australian Antarctic Division and Paulo Grigoni at ENEA for providing hourly temperature records from Australian and Italian Antarctic sites respectively. The manuscript was strengthened by the inclusion of glacier observations from Norway, gratefully received from Rianne Giesen (Institute for Marine and Atmospheric research Utrecht, Utrecht University, The Netherlands). NAO data were accessed from the National Climate Prediction Center, US National Oceanic and Atmospheric Administration (http://www.cpc.ncep.noaa.gov/data/teledoc/nao.shtml). Thanks also to the Canadian Institute for Advanced Research for postdoctoral fellowship support to L.M.W. Finally, comments received from Irina Rogozhina and an anonymous reviewer greatly improved the manuscript.</t>
  </si>
  <si>
    <t>10.3189/2015JoG14J116</t>
  </si>
  <si>
    <t>Green Accepted, Bronze</t>
  </si>
  <si>
    <t>WOS:000355778000012</t>
  </si>
  <si>
    <t>Van de Vijver, B; Kopalová, K; Kociolek, JP; Ector, L</t>
  </si>
  <si>
    <t>Van de Vijver, Bart; Kopalova, Katerina; Kociolek, J. Patrick; Ector, Luc</t>
  </si>
  <si>
    <t>Denticula jamesrossensis, a new freshwater diatom (Bacillariophyta) species from the Maritime Antarctic Region</t>
  </si>
  <si>
    <t>FOTTEA</t>
  </si>
  <si>
    <t>Denticula; Maritime Antarctic Region; morphology; new species</t>
  </si>
  <si>
    <t>JAMES-ROSS-ISLAND; SOUTH SHETLAND ISLANDS; GENUS MUELLERIA BACILLARIOPHYTA; LIVINGSTON ISLAND; REVISION; PENINSULA; LAKES; WEST</t>
  </si>
  <si>
    <t>During a survey of the freshwater diatom flora of James Ross Island (northern Weddell Sea) in the Maritime Antarctic Region, an unknown Denticula taxon was found in some lakes of Clearwater Mesa. The taxon showed some similarities with D. rainierensis Sovereign and D. subtilis GRUNOW but based on detailed light (LM) and scanning electron microscopy (SEM) the species showed sufficient morphological differences to separate it as a new species: Denticula jamesrossensis sp. nov. The new taxon is characterized, and distinguished from other species of the genus, by a typical constriction in the middle of the valve and a very high number of striae (up to 60 in 10 mu m). So far, the new taxon has only been found on James Ross Island where it occurs in alkaline lakes with high specific conductance values.</t>
  </si>
  <si>
    <t>[Van de Vijver, Bart] Bot Garden Meise, Dept Bryophyta &amp; Thallophyta, B-1860 Meise, Belgium; [Van de Vijver, Bart] Univ Antwerp, Dept Biol, ECOBE, B-2610 Antwerp, Belgium; [Kopalova, Katerina] Charles Univ Prague, Fac Sci, Dept Ecol, CR-12844 Prague 2, Czech Republic; [Kociolek, J. Patrick] Univ Colorado, Museum Nat Hist, Boulder, CO 80309 USA; [Kociolek, J. Patrick] Univ Colorado, Dept Ecol &amp; Evolutionary Biol, Boulder, CO 80309 USA; [Ector, Luc] Luxembourg Inst Sci &amp; Technol, Dept Environm Res &amp; Innovat ERIN, L-4422 Belvaux, Luxembourg</t>
  </si>
  <si>
    <t>University of Antwerp; Charles University Prague; University of Colorado System; University of Colorado Boulder; University of Colorado System; University of Colorado Boulder; Luxembourg Institute of Science &amp; Technology</t>
  </si>
  <si>
    <t>Van de Vijver, B (corresponding author), Bot Garden Meise, Dept Bryophyta &amp; Thallophyta, Nieuwelaan 38, B-1860 Meise, Belgium.</t>
  </si>
  <si>
    <t>vandevijver@br.fgov.be</t>
  </si>
  <si>
    <t>; Kopalova, Katerina/M-6207-2017</t>
  </si>
  <si>
    <t>Ector, Luc/0000-0002-4573-9445; Kopalova, Katerina/0000-0002-7905-4268</t>
  </si>
  <si>
    <t>project KONTAKT ME 945 [LM2010009]; project GAUK [394211]; BELSPO CCAMBIO project; EU Synthesys grant; project Czech Polar [LM2010009]</t>
  </si>
  <si>
    <t>project KONTAKT ME 945; project GAUK; BELSPO CCAMBIO project; EU Synthesys grant; project Czech Polar</t>
  </si>
  <si>
    <t>This work was supported by the projects KONTAKT ME 945, Czech Polar LM2010009 and GAUK 394211. The authors would also like to thank the members of expeditions to the Czech Antarctic Station J.G. Mendel for providing the samples. LINDA NEDBALOVA and Daniel NYVLT are thanked for their information on the Clearwater Mesa sample. This study was further supported by the BELSPO CCAMBIO project and by a EU Synthesys grant to BVDV to visit the National History Museum in London, UK. Alex Ball, the staff of the IAC laboratory are thanked for their help with the scanning electron microscopy.</t>
  </si>
  <si>
    <t>CZECH PHYCOLOGICAL SOC</t>
  </si>
  <si>
    <t>PRAHA 2</t>
  </si>
  <si>
    <t>BENATSKA 2,, PRAHA 2, CZ-128 01, CZECH REPUBLIC</t>
  </si>
  <si>
    <t>1802-5439</t>
  </si>
  <si>
    <t>Fottea</t>
  </si>
  <si>
    <t>10.5507/fot.2015.009</t>
  </si>
  <si>
    <t>Plant Sciences</t>
  </si>
  <si>
    <t>CI4CM</t>
  </si>
  <si>
    <t>WOS:000354694300009</t>
  </si>
  <si>
    <t>Dong, YC; Chen, FS; Wang, Y; Su, XF; Wang, W</t>
  </si>
  <si>
    <t>Du, X; Fan, D; Le, J; Lv, Y; Yao, J; Bao, W; Wang, L</t>
  </si>
  <si>
    <t>Dong, Yucui; Chen, Fansheng; Wang, Yun; Su, Xiaofeng; Wang, Wei</t>
  </si>
  <si>
    <t>A Limb Atmospheric Radiance Inversion Method based on a Sun-synchronous Orbit Satellite</t>
  </si>
  <si>
    <t>SELECTED PAPERS FROM CONFERENCES OF THE PHOTOELECTRONIC TECHNOLOGY COMMITTEE OF THE CHINESE SOCIETY OF ASTRONAUTICS 2014, PT II</t>
  </si>
  <si>
    <t>Proceedings of SPIE</t>
  </si>
  <si>
    <t>2nd International Seminar on High-Power Laser Interaction with Matter and Application / International Seminar on Space Surveillance Technology / 2nd Symposium on Combustion Diagnostics</t>
  </si>
  <si>
    <t>OCT 19-24, 2014</t>
  </si>
  <si>
    <t>Suzhou, PEOPLES R CHINA</t>
  </si>
  <si>
    <t>limb observations; radiance inversion; remote sensing; target detection</t>
  </si>
  <si>
    <t>It is always affected by the influence of limb atmosphere when the space-based remote sensing systems detect spatial targets using limb observation mode. In this paper, the characteristics of the limb atmosphere and the impact of limb atmosphere to target observation are theoretical modeled. Based on the model, we propose an algorithm to compute the vertical structure of atmosphere radiance through the image of limb atmosphere as well as the star image. Realization of atmosphere radiance under similar situation can then be computed based on inversion algorithm proposed in the paper. The stellar images of different areas including areas over Antarctic and Equator are captured by in-orbit space borne camera. The method of how to inverse from the gray image to atmosphere limb radiance in engineering applications is described in detail and statistical analysis of the result of inversion to limb atmosphere radiance is conducted whose trend is consistent with simulation result of MODTRAN which increases at lower altitude to a peak value then drop to zero slowly while there are two peaks in the statistical radiance distribution curves illustrating the polar light over Antarctic.</t>
  </si>
  <si>
    <t>[Dong, Yucui; Chen, Fansheng; Wang, Yun; Su, Xiaofeng; Wang, Wei] Chinese Acad Sci, Shanghai Inst Tech Phys, Shanghai 200083, Peoples R China; [Dong, Yucui; Su, Xiaofeng; Wang, Wei] Univ Chinese Acad Sci, Beijing 100049, Peoples R China</t>
  </si>
  <si>
    <t>Shanghai Institute of Technical Physics, CAS; Chinese Academy of Sciences; Chinese Academy of Sciences; University of Chinese Academy of Sciences, CAS</t>
  </si>
  <si>
    <t>Dong, YC (corresponding author), Chinese Acad Sci, Shanghai Inst Tech Phys, Shanghai 200083, Peoples R China.</t>
  </si>
  <si>
    <t>chen, shuai/GXG-9235-2022; WANG, YU RU/HOH-6896-2023</t>
  </si>
  <si>
    <t>SPIE-INT SOC OPTICAL ENGINEERING</t>
  </si>
  <si>
    <t>BELLINGHAM</t>
  </si>
  <si>
    <t>1000 20TH ST, PO BOX 10, BELLINGHAM, WA 98227-0010 USA</t>
  </si>
  <si>
    <t>0277-786X</t>
  </si>
  <si>
    <t>978-1-62841-653-4</t>
  </si>
  <si>
    <t>PROC SPIE</t>
  </si>
  <si>
    <t>95222C</t>
  </si>
  <si>
    <t>10.1117/12.2180861</t>
  </si>
  <si>
    <t>Engineering, Electrical &amp; Electronic; Optics; Imaging Science &amp; Photographic Technology</t>
  </si>
  <si>
    <t>Engineering; Optics; Imaging Science &amp; Photographic Technology</t>
  </si>
  <si>
    <t>BC6QA</t>
  </si>
  <si>
    <t>WOS:000354371100081</t>
  </si>
  <si>
    <t>Schortemeyer, M; Evans, JR; Bruhn, D; Bergstrom, DM; Ball, MC</t>
  </si>
  <si>
    <t>Schortemeyer, Marcus; Evans, John R.; Bruhn, Dan; Bergstrom, Dana M.; Ball, Marilyn C.</t>
  </si>
  <si>
    <t>Temperature responses of photosynthesis and respiration in a sub-Antarctic megaherb from Heard Island</t>
  </si>
  <si>
    <t>FUNCTIONAL PLANT BIOLOGY</t>
  </si>
  <si>
    <t>acclimation; climate change; Kerguelen cabbage; Pringlea antiscorbutica; nitrogen; warming</t>
  </si>
  <si>
    <t>ELEVATED CARBON-DIOXIDE; SOUTHERN-OCEAN ISLANDS; PRINGLEA-ANTISCORBUTICA; C-4 PLANTS; LEAF-AREA; LIMITED PHOTOSYNTHESIS; ELECTRON-TRANSPORT; GROWTH TEMPERATURE; QUANTUM YIELD; GAS-EXCHANGE</t>
  </si>
  <si>
    <t>Understanding the response of sub-Antarctic plants to a warming climate requires an understanding of the relationship of carbon gain and loss to temperature. In a field study on Heard Island, we investigated the responses of photosynthesis and respiration of the sub-Antarctic megaherb Pringlea antiscorbutica R. Br. to temperature. This was done by instantaneously manipulating leaf temperature in a gas exchange cuvette on plants adapted to natural temperature variation along an altitudinal gradient. There was little altitudinal variation in the temperature response of photosynthesis. Photosynthesis was much less responsive to temperature than electron transport, suggesting that Rubisco activity was generally the rate-limiting process. The temperature response of leaf respiration rates was greater in cold-grown (high altitude) plants compared with warm-grown (low altitude) plants. This thermal acclimation would enable plants to maintain a positive carbon budget over a greater temperature range.</t>
  </si>
  <si>
    <t>[Schortemeyer, Marcus; Evans, John R.; Bruhn, Dan; Ball, Marilyn C.] Australian Natl Univ, Plant Sci Div, Res Sch Biol, Canberra, ACT 0200, Australia; [Bergstrom, Dana M.] Australian Antarctic Div, Dept Environm, Kingston, Tas 7050, Australia</t>
  </si>
  <si>
    <t>Australian National University; Australian Antarctic Division</t>
  </si>
  <si>
    <t>Ball, MC (corresponding author), Australian Natl Univ, Plant Sci Div, Res Sch Biol, GPO Box 4, Canberra, ACT 0200, Australia.</t>
  </si>
  <si>
    <t>marilyn.ball@anu.edu.au</t>
  </si>
  <si>
    <t>Ball, Marilyn/D-1180-2009; Bergstrom, Dana/AAC-2837-2022; Evans, John Richard/C-8424-2009</t>
  </si>
  <si>
    <t>Ball, Marilyn/0000-0001-9170-940X; Bergstrom, Dana/0000-0001-8484-8954; Evans, John Richard/0000-0003-1379-3532; Bruhn, Dan/0000-0002-9811-9194</t>
  </si>
  <si>
    <t>Australian Antarctic Science Grant [2380]; Australian Research Council Discovery Grant [DP0452526]; Australian Research Council [DP0452526] Funding Source: Australian Research Council</t>
  </si>
  <si>
    <t>Australian Antarctic Science Grant; Australian Research Council Discovery Grant(Australian Research Council); Australian Research Council(Australian Research Council)</t>
  </si>
  <si>
    <t>We thank the Australian Antarctic Division for providing transport to and infrastructure on Heard Island. Johanna Turnbull, Chris Stevenson and Kate Kiefer greatly assisted with the data collection on Heard Island. Jack Egerton assisted with the fluorescence experiment. We also thank Jim Cane of the Royal Tasmanian Botanical Gardens for supplying plants and seeds of P. antiscorbutica. This project was supported by an Australian Antarctic Science Grant (2380) to MS and an Australian Research Council Discovery Grant (DP0452526) to MCB.</t>
  </si>
  <si>
    <t>CSIRO PUBLISHING</t>
  </si>
  <si>
    <t>CLAYTON</t>
  </si>
  <si>
    <t>UNIPARK, BLDG 1, LEVEL 1, 195 WELLINGTON RD, LOCKED BAG 10, CLAYTON, VIC 3168, AUSTRALIA</t>
  </si>
  <si>
    <t>1445-4408</t>
  </si>
  <si>
    <t>1445-4416</t>
  </si>
  <si>
    <t>FUNCT PLANT BIOL</t>
  </si>
  <si>
    <t>Funct. Plant Biol.</t>
  </si>
  <si>
    <t>10.1071/FP14134</t>
  </si>
  <si>
    <t>CI2FK</t>
  </si>
  <si>
    <t>WOS:000354560500006</t>
  </si>
  <si>
    <t>Dugan, HA; Doran, PT; Wagner, B; Kenig, F; Fritsen, CH; Arcone, SA; Kuhn, E; Ostrom, NE; Warnock, JP; Murray, AE</t>
  </si>
  <si>
    <t>Dugan, H. A.; Doran, P. T.; Wagner, B.; Kenig, F.; Fritsen, C. H.; Arcone, S. A.; Kuhn, E.; Ostrom, N. E.; Warnock, J. P.; Murray, A. E.</t>
  </si>
  <si>
    <t>Stratigraphy of Lake Vida, Antarctica: hydrologic implications of 27 m of ice</t>
  </si>
  <si>
    <t>CRYOSPHERE</t>
  </si>
  <si>
    <t>MCMURDO DRY VALLEYS; SOUTHERN VICTORIA LAND; TAYLOR VALLEY; ISOTOPE GEOCHEMISTRY; UNIVERSITY VALLEY; GROUND ICE; HOARE; FRYXELL; DEPOSITS; QUARTZ</t>
  </si>
  <si>
    <t>Lake Vida, located in Victoria Valley, is one of the largest lakes in the McMurdo dry valleys and is known to contain hypersaline liquid brine sealed below 16 m of freshwater ice. For the first time, Lake Vida was drilled to a depth of 27 m. Below 21 m the ice is marked by well-sorted sand layers up to 20 cm thick within a matrix of salty ice. From ice chemistry, isotopic composition of delta O-18 and delta H-2, and ground penetrating radar profiles, we conclude that the entire 27 m of ice formed from surface runoff and the sediment layers represent the accumulation of surface deposits. Radiocarbon and optically stimulated luminescence dating limit the maximum age of the lower ice to 6300 C-14 yr BP. As the ice cover ablated downwards during periods of low surface inflow, progressive accumulation of sediment layers insulated and preserved the ice and brine beneath, analogous to the processes that preserve shallow ground ice. The repetition of these sediment layers reveals hydrologic variability in Victoria Valley during the mid-to late Holocene. Lake Vida is an exemplar site for understanding the preservation of subsurface brine, ice, and sediment in a cold desert environment.</t>
  </si>
  <si>
    <t>[Dugan, H. A.; Doran, P. T.; Kenig, F.] Univ Illinois, Dept Earth &amp; Environm Sci, Chicago, IL 60607 USA; [Dugan, H. A.] Univ Wisconsin, Ctr Limnol, Madison, WI 53706 USA; [Wagner, B.] Univ Cologne, Inst Geol &amp; Mineral, D-50931 Cologne, Germany; [Fritsen, C. H.; Kuhn, E.; Murray, A. E.] Univ Nevada, Desert Res Inst, Div Earth &amp; Ecosyst Sci, Reno, NV 89506 USA; [Arcone, S. A.] US Army, Cold Reg Res &amp; Engn Lab, Hanover, NH 03755 USA; [Ostrom, N. E.] Michigan State Univ, Dept Zool, E Lansing, MI 48824 USA; [Warnock, J. P.] No Illinois Univ, Dept Geol &amp; Environm Geosci, De Kalb, IL USA</t>
  </si>
  <si>
    <t>University of Illinois System; University of Illinois Chicago; University of Illinois Chicago Hospital; University of Wisconsin System; University of Wisconsin Madison; University of Cologne; Nevada System of Higher Education (NSHE); Desert Research Institute NSHE; University of Nevada Reno; United States Department of Defense; United States Army; U.S. Army Corps of Engineers; U.S. Army Engineer Research &amp; Development Center (ERDC); Cold Regions Research &amp; Engineering Laboratory (CRREL); Michigan State University; Northern Illinois University</t>
  </si>
  <si>
    <t>Dugan, HA (corresponding author), Univ Illinois, Dept Earth &amp; Environm Sci, Chicago, IL 60607 USA.</t>
  </si>
  <si>
    <t>hilarydugan@gmail.com</t>
  </si>
  <si>
    <t>Kenig, Fabien/A-4961-2008; Wagner, Bernd/J-4682-2012</t>
  </si>
  <si>
    <t>Wagner, Bernd/0000-0002-1369-7893; Dugan, Hilary/0000-0003-4674-1149; Kenig, Fabien/0000-0003-4868-5232</t>
  </si>
  <si>
    <t>National Science Foundation [0739698, 0739681]; NASA [NNX10AN23H]; Natural Sciences and Engineering Research Council of Canada; University of Illinois at Chicago; Desert Research Institute Division of Earth and Ecosystem Sciences; Fulbright CAPES-Brazil [2163-08-8]; NASA [128494, NNX10AN23H] Funding Source: Federal RePORTER</t>
  </si>
  <si>
    <t>National Science Foundation(National Science Foundation (NSF)); NASA(National Aeronautics &amp; Space Administration (NASA)); Natural Sciences and Engineering Research Council of Canada(Natural Sciences and Engineering Research Council of Canada (NSERC)CGIAR); University of Illinois at Chicago; Desert Research Institute Division of Earth and Ecosystem Sciences; Fulbright CAPES-Brazil; NASA(National Aeronautics &amp; Space Administration (NASA))</t>
  </si>
  <si>
    <t>This research was supported by National Science Foundation grants 0739698 and 0739681 and NASA grant NNX10AN23H. We would like to thank field team members Peter Glenday, Jay Kyne, Seth Young, and Brian Glazer and the RPSC Field Safety and Training Program, the United States Antarctic Program, and PHI helicopters. Graduate student funding to H. Dugan was assisted by the Natural Sciences and Engineering Research Council of Canada and the University of Illinois at Chicago. Graduate student funding to E. Kuhn was supported by the Desert Research Institute Division of Earth and Ecosystem Sciences and the Fulbright CAPES-Brazil grant 2163-08-8. Two anonymous reviewers significantly improved this paper.</t>
  </si>
  <si>
    <t>1994-0416</t>
  </si>
  <si>
    <t>1994-0424</t>
  </si>
  <si>
    <t>Cryosphere</t>
  </si>
  <si>
    <t>10.5194/tc-9-439-2015</t>
  </si>
  <si>
    <t>CH2TU</t>
  </si>
  <si>
    <t>WOS:000353878400002</t>
  </si>
  <si>
    <t>Zunz, V; Goosse, H</t>
  </si>
  <si>
    <t>Zunz, V.; Goosse, H.</t>
  </si>
  <si>
    <t>Influence of freshwater input on the skill of decadal forecast of sea ice in the Southern Ocean</t>
  </si>
  <si>
    <t>OZONE DEPLETION; SYSTEM MODEL; TRENDS; VARIABILITY; ASSIMILATION; IMPACT; DRIVEN; EXTENT; CYCLE</t>
  </si>
  <si>
    <t>Recent studies have investigated the potential link between the freshwater input derived from the melting of the Antarctic ice sheet and the observed recent increase in sea ice extent in the Southern Ocean. In this study, we assess the impact of an additional freshwater flux on the trend in sea ice extent and concentration in simulations with data assimilation, spanning the period 1850-2009, as well as in retrospective forecasts (hindcasts) initialised in 1980. In the simulations with data assimilation, the inclusion of an additional freshwater flux that follows an autoregressive process improves the reconstruction of the trend in ice extent and concentration between 1980 and 2009. This is linked to a better efficiency of the data assimilation procedure but can also be due to a better representation of the freshwater cycle in the Southern Ocean. The results of the hindcast simulations show that an adequate initial state, reconstructed thanks to the data assimilation procedure including an additional freshwater flux, can lead to an increase in the sea ice extent spanning several decades that is in agreement with satellite observations. In our hindcast simulations, an increase in sea ice extent is obtained even in the absence of any major change in the freshwater input over the last decades. Therefore, while the additional freshwater flux appears to play a key role in the reconstruction of the evolution of the sea ice in the simulation with data assimilation, it does not seem to be required in the hindcast simulations. The present work thus provides encouraging results for sea ice predictions in the Southern Ocean, as in our simulation the positive trend in ice extent over the last 30 years is largely determined by the state of the system in the late 1970s.</t>
  </si>
  <si>
    <t>[Zunz, V.; Goosse, H.] Catholic Univ Louvain, Earth &amp; Life Inst, Georges Lemaitre Ctr Earth &amp; Climate Res, Louvain La Neuve, Belgium</t>
  </si>
  <si>
    <t>Universite Catholique Louvain</t>
  </si>
  <si>
    <t>Zunz, V (corresponding author), Catholic Univ Louvain, Earth &amp; Life Inst, Georges Lemaitre Ctr Earth &amp; Climate Res, Louvain La Neuve, Belgium.</t>
  </si>
  <si>
    <t>violette.zunz@uclouvain.be</t>
  </si>
  <si>
    <t>Belgian Federal Science Policy (Research Programme on Science for a Sustainable Development); Fond de la Recherche Scientifique de Belgique (FRS-FNRS)</t>
  </si>
  <si>
    <t>Belgian Federal Science Policy (Research Programme on Science for a Sustainable Development); Fond de la Recherche Scientifique de Belgique (FRS-FNRS)(Fonds de la Recherche Scientifique - FNRS)</t>
  </si>
  <si>
    <t>The authors warmly thank Antoine Barthelemy for his careful reading and helpful comments on the paper. V. Zunz is Research Fellow with the Fonds pour la formation a la Recherche dans l'Industrie et dans l'Agronomie (FRIA-Belgium). H. Goosse is Senior Research Associate with the Fonds National de la Recherche Scientifique (F.R.S. - FNRS-Belgium). This work is supported by the Belgian Federal Science Policy (Research Programme on Science for a Sustainable Development). Computational resources have been provided by the supercomputing facilities of the Universite catholique de Louvain (CISM/UCL) and the Consortium des Equipements de Calcul Intensif en Federation Wallonie Bruxelles (CECI) funded by the Fond de la Recherche Scientifique de Belgique (FRS-FNRS).</t>
  </si>
  <si>
    <t>10.5194/tc-9-541-2015</t>
  </si>
  <si>
    <t>WOS:000353878400009</t>
  </si>
  <si>
    <t>Wilkens, N; Behrens, J; Kleiner, T; Rippin, D; Rückamp, M; Humbert, A</t>
  </si>
  <si>
    <t>Wilkens, N.; Behrens, J.; Kleiner, T.; Rippin, D.; Rueckamp, M.; Humbert, A.</t>
  </si>
  <si>
    <t>Thermal structure and basal sliding parametrisation at Pine Island Glacier - a 3-D full-Stokes model study</t>
  </si>
  <si>
    <t>ANTARCTIC ICE-SHEET; WEST ANTARCTICA; GROUNDING LINES; BED ROUGHNESS; SPECTRAL ROUGHNESS; EAST ANTARCTICA; HIGHER-ORDER; SENSITIVITY; SATELLITE; DYNAMICS</t>
  </si>
  <si>
    <t>Pine Island Glacier is one of the fastest changing glaciers of the Antarctic Ice Sheet and therefore of scientific interest. The glacier holds enough ice to raise the global sea level significantly (similar to 0.5 m) when fully melted. The question addressed by numerous modelling studies of the glacier focuses on whether the observed changes are a start of an uncontrolled and accelerating retreat. The movement of the glacier is, in the fast-flowing areas, dominated by basal motion. In modelling studies the parametrisation of the basal motion is therefore crucial. Inversion methods are commonly applied to reproduce the complex surface flow structure of Pine Island Glacier by using information of the observed surface velocity field to constrain, among other things, basal sliding. We introduce two different approaches of combining a physical parameter, the basal roughness, with basal sliding parametrisations. This way basal sliding is again connected closer to its original formulation. We show that the basal roughness is an important and helpful parameter to consider and that many features of the flow structure can be reproduced with these approaches.</t>
  </si>
  <si>
    <t>[Wilkens, N.] Univ Hamburg, Inst Geophys, Hamburg, Germany; [Wilkens, N.; Kleiner, T.; Rueckamp, M.; Humbert, A.] Helmholtz Ctr Polar &amp; Marine Res, Alfred Wegener Inst, Bremerhaven, Germany; [Behrens, J.] Univ Hamburg, Numer Methods Geosci, Hamburg, Germany; [Rippin, D.] Univ York, Dept Environm, Heslington, England; [Humbert, A.] Univ Bremen, Dept Geosci, D-28359 Bremen, Germany</t>
  </si>
  <si>
    <t>University of Hamburg; Helmholtz Association; Alfred Wegener Institute, Helmholtz Centre for Polar &amp; Marine Research; University of Hamburg; University of York - UK; University of Bremen</t>
  </si>
  <si>
    <t>Wilkens, N (corresponding author), Univ Hamburg, Inst Geophys, Hamburg, Germany.</t>
  </si>
  <si>
    <t>nina.wilkens@zmaw.de</t>
  </si>
  <si>
    <t>Kleiner, Thomas/F-6821-2015; Behrens, Jorn/A-1863-2013</t>
  </si>
  <si>
    <t>Kleiner, Thomas/0000-0001-7825-5765; Humbert, Angelika/0000-0002-0244-8760; Rippin, David Manish/0000-0001-7757-9880; Ruckamp, Martin/0000-0003-2512-7238; Behrens, Jorn/0000-0001-9836-8716</t>
  </si>
  <si>
    <t>Cluster of Excellence CliSAP, University of Hamburg - German Science Foundation (DFG) [EXC177]</t>
  </si>
  <si>
    <t>Cluster of Excellence CliSAP, University of Hamburg - German Science Foundation (DFG)</t>
  </si>
  <si>
    <t>This work was supported through the Cluster of Excellence CliSAP (EXC177), University of Hamburg, funded by the German Science Foundation (DFG). We would like to thank Anne Le Brocq for providing the compiled data set for the geometry of Pine Island Glacier. We thank Stephen Cornford, an anonymous referee and the editor, Olivier Gagliardini, for their very helpful suggestions which improved the manuscript.</t>
  </si>
  <si>
    <t>10.5194/tc-9-675-2015</t>
  </si>
  <si>
    <t>WOS:000353878400018</t>
  </si>
  <si>
    <t>Altnau, S; Schlosser, E; Isaksson, E; Divine, D</t>
  </si>
  <si>
    <t>Altnau, S.; Schlosser, E.; Isaksson, E.; Divine, D.</t>
  </si>
  <si>
    <t>Climatic signals from 76 shallow firn cores in Dronning Maud Land, East Antarctica</t>
  </si>
  <si>
    <t>SURFACE MASS-BALANCE; 3 ICE CORES; PAST 2 KYR; ACCUMULATION RATES; SNOW ACCUMULATION; ISOTOPIC COMPOSITION; SPATIAL VARIATION; NEUMAYER STATION; VARIABILITY; TRENDS</t>
  </si>
  <si>
    <t>The spatial and temporal distribution of surface mass balance (SMB) and delta O-18 were investigated in the first comprehensive study of a set of 76 firn cores retrieved by various expeditions during the past 3 decades in Dronning Maud Land, East Antarctica. The large number of cores was used to calculate stacked records of SMB and delta O-18, which considerably increased the signal-to-noise ratio compared to earlier studies and facilitated the detection of climatic signals. Considerable differences between cores from the interior plateau and the coastal cores were found. The delta O-18 of both the plateau and the ice shelf cores exhibit a slight positive trend over the second half of the 20th century. In the corresponding period, the SMB has a negative trend in the ice shelf cores, but increases on the plateau. Comparison with meteorological data from Neumayer Station revealed that for the ice shelf regions, atmospheric dynamic effects are more important than thermodynamics while on the plateau; the temporal variations of SMB and delta O-18 occur mostly in parallel, and thus can be explained by thermodynamic effects. The Southern Annular Mode (SAM) has exhibited a positive trend since the mid-1960s, which is assumed to lead to a cooling of East Antarctica. This is not confirmed by the firn core data in our data set. Changes in the atmospheric circulation that result in a changed seasonal distribution of precipitation/accumulation could partly explain the observed features in the ice shelf cores.</t>
  </si>
  <si>
    <t>[Altnau, S.; Schlosser, E.] Univ Innsbruck, Ctr Climate &amp; Cryosphere, Inst Meteorol &amp; Geophys, A-6020 Innsbruck, Austria; [Altnau, S.] Deutsch Wetterdienst DWD, D-63067 Offenbach, Germany; [Schlosser, E.] Austrian Polar Res Inst, Vienna, Austria; [Isaksson, E.; Divine, D.] Fram Ctr, Norwegian Polar Inst, N-9296 Tromso, Norway</t>
  </si>
  <si>
    <t>University of Innsbruck; Deutscher Wetterdienst; Norwegian Polar Institute</t>
  </si>
  <si>
    <t>Altnau, S (corresponding author), Univ Innsbruck, Ctr Climate &amp; Cryosphere, Inst Meteorol &amp; Geophys, A-6020 Innsbruck, Austria.</t>
  </si>
  <si>
    <t>sebastian.altnau@dwd.de</t>
  </si>
  <si>
    <t>Austrian Science Fund (FWF) [V31-N10/P-24223]</t>
  </si>
  <si>
    <t>Austrian Science Fund (FWF)(Austrian Science Fund (FWF))</t>
  </si>
  <si>
    <t>We are grateful to all members of the various expeditions, who did the field work in Antarctica and the laboratory analyses. We thank Hans Oerter for reading draft copies of this paper and providing firn and ice core data from Alfred-Wegener Institute (AWI), Helmholtz Centre for Polar and Marine Research at www.pangaea.de. Neumayer temperature data were kindly provided by Gert Konig-Langlo, AWI, Bremerhaven. Thanks are due to the British Antarctic Survey for the online - SAM index data. This study was funded by the Austrian Science Fund (FWF) (grants V31-N10/P-24223). This study is a contribution from Center for Ice, Climate and Ecosystems (ICE) at the Norwegian Polar Institute, Tromso.</t>
  </si>
  <si>
    <t>10.5194/tc-9-925-2015</t>
  </si>
  <si>
    <t>CI0QK</t>
  </si>
  <si>
    <t>gold, Green Submitted</t>
  </si>
  <si>
    <t>WOS:000354442400007</t>
  </si>
  <si>
    <t>Grimaldi, WW; Hall, RJ; White, DD; Wang, J; Massaro, M; Tompkins, DM</t>
  </si>
  <si>
    <t>Grimaldi, Wray W.; Hall, Richard J.; White, Daniel D.; Wang, Jing; Massaro, Melanie; Tompkins, Daniel M.</t>
  </si>
  <si>
    <t>First report of a feather loss condition in Adelie penguins (Pygoscelis adeliae) on Ross Island, Antarctica, and a preliminary investigation of its cause</t>
  </si>
  <si>
    <t>alopecia; astrovirus; blood differentials; electron microscopy; metagenomic; pathogen discovery; virus</t>
  </si>
  <si>
    <t>LOSS DISORDER; BASOPHILS; ORIGIN</t>
  </si>
  <si>
    <t>Since the mid-1980s, observations of marine animals with alopecia have been reported worldwide, although in most cases specific causes and consequences have not been elucidated. Adding to that list, an unprecedented feather loss condition affecting 1 in 1000 adult Adelie penguins was observed at the beginning of December 2011 at each of three colonies on Ross Island, Antarctica. Feather loss was again observed in 2012-13 and 2013-14. The condition was characterised by irregular patches of bare skin on various parts of the body well before the usual period of moult. Blood samples, plucked feathers and cloacal swabs were obtained to investigate the cause or causes of this abnormal loss of feathers. No ectoparasites were detected on physical inspection of any birds or by scanning electron microscopy of feathers removed from birds experiencing feather loss. Blood smears were negative for hemoparasites. There was statistical support for mild lymphocytosis and moderate basophilia from the results of white blood-cell differentials in penguins with feather loss compared with those with no feather loss. Blood samples were negative to a PCR diagnostic specific for beak and feather disease virus. Three new putative RNA viruses were detected by high-throughput sequencing of cloacal samples, showing similarity to rotaviruses, astroviruses and picornaviruses. Although the significance of these viruses is not known, extended investigation into this feather loss condition is needed.</t>
  </si>
  <si>
    <t>[Grimaldi, Wray W.] Univ Otago, Dept Zool, Dunedin 9054, New Zealand; [Hall, Richard J.; Wang, Jing] Inst Environm Sci &amp; Res, Upper Hutt 5018, New Zealand; [White, Daniel D.; Tompkins, Daniel M.] Auckland Mail Ctr, Landcare Res, Auckland 1142, New Zealand; [Massaro, Melanie] Charles Sturt Univ, Sch Environm Sci, Albury, NSW 2640, Australia</t>
  </si>
  <si>
    <t>University of Otago; Institute of Environmental Science &amp; Research (ESR) - New Zealand; Landcare Research - New Zealand; Charles Sturt University</t>
  </si>
  <si>
    <t>Grimaldi, WW (corresponding author), Univ Otago, Dept Zool, POB 56, Dunedin 9054, New Zealand.</t>
  </si>
  <si>
    <t>wray.grimaldi@postgrad.otago.ac.nz</t>
  </si>
  <si>
    <t>; Massaro, Melanie/P-4791-2017</t>
  </si>
  <si>
    <t>White, Daniel/0000-0002-8967-5201; Massaro, Melanie/0000-0001-9039-1268; Tompkins, Daniel/0000-0003-3209-8084</t>
  </si>
  <si>
    <t>New Zealand Ministry for Business, Innovation and Employment (Protecting the Ross Sea Ecosystem project) [C09X0510]; New Zealand Ministry of Science and Innovation [C01X1001]; University of Otago Postgraduate Scholarship; Otago Centre Electron Microscopy award; National Science Foundation [ANT 0944411]</t>
  </si>
  <si>
    <t>New Zealand Ministry for Business, Innovation and Employment (Protecting the Ross Sea Ecosystem project); New Zealand Ministry of Science and Innovation; University of Otago Postgraduate Scholarship; Otago Centre Electron Microscopy award; National Science Foundation(National Science Foundation (NSF))</t>
  </si>
  <si>
    <t>This work was funded by New Zealand Ministry for Business, Innovation and Employment (Protecting the Ross Sea Ecosystem project C09X0510), a New Zealand Ministry of Science and Innovation grant (C01X1001), a University of Otago Postgraduate Scholarship and an Otago Centre Electron Microscopy award (previous two to WG). The National Science Foundation (ANT 0944411) funded research at Cape Crozier with logistics supplied by the United States Antarctic Program. We thank Scott Jennings, Elizabeth Porzig, Annie Pollard, David Ainley (B-031, U.S.A P.) and Keven Drew (K122) (Landcare Research, Lincoln, NZ) for field assistance; Arvind Varsani (University of Canterbury, Christchurch, NZ) for the beak and feather disease virus work; and Liz Girven (University of Otago, Dunedin, NZ) for electron microscopy technical assistance. We also acknowledge New Zealand Genomics Limited for sequencing services, and the New Zealand E-Science Infrastructure for computing support. Capture and handling of Adelie penguins were conducted under Landcare Research Animal Ethics Permit 10/09/01 and the United States Antarctic Conservation Act permit 2010-002. Lastly, we are grateful to the editors and two anonymous reviewers for their constructive comments to improve this manuscript.</t>
  </si>
  <si>
    <t>10.1071/MU14068</t>
  </si>
  <si>
    <t>CH6WR</t>
  </si>
  <si>
    <t>WOS:000354177600011</t>
  </si>
  <si>
    <t>Jawak, SD; Luis, AJ</t>
  </si>
  <si>
    <t>Dwarakish, GS</t>
  </si>
  <si>
    <t>Jawak, S. D.; Luis, A. J.</t>
  </si>
  <si>
    <t>A Rapid Extraction of Water Body Features From Antarctic Coastal Oasis Using Very High-Resolution Satellite Remote Sensing Data</t>
  </si>
  <si>
    <t>INTERNATIONAL CONFERENCE ON WATER RESOURCES, COASTAL AND OCEAN ENGINEERING (ICWRCOE'15)</t>
  </si>
  <si>
    <t>Aquatic Procedia</t>
  </si>
  <si>
    <t>International Conference on Water Resources, Coastal and Ocean Engineering (ICWRCOE)</t>
  </si>
  <si>
    <t>MAR 11-14, 2015</t>
  </si>
  <si>
    <t>Natl Inst Technol Karnataka, Mangaluru, INDIA</t>
  </si>
  <si>
    <t>Natl Inst Technol Karnataka</t>
  </si>
  <si>
    <t>Waterbody extraction; WorldView-2; NDWI</t>
  </si>
  <si>
    <t>INDEX</t>
  </si>
  <si>
    <t>Antarctic coastal oases are essential sources of spatially distributed fresh water bodies. Mapping water bodies from remote places, such as polar regions, using traditional surveying method is a laborious and logistically expensive task. A rapid method for extracting and monitoring water bodies in Antarctic coastal oases has a tremendous application in remote sensing. This study discusses the design of a rapid and novel method to extract water body features in Antarctic coastal oasis environment from remotely-sensed images. We devised semiautomatic approach for extracting water body features based on a novel set of normalized difference water index (NDWI) by incorporating high-resolution WorldView-2 (WV-2) panchromatic and multispectral image data. This study highlights and compares the viability of state-of-the-art spectral processing water body extraction approaches with the newly designed NDWI approach. An extensive quantitative evaluation was carried out to test the newly designed NDWI approach for extracting water bodies on Larsemann Hills, eastern Antarctica. The results suggest that the modified NDWI approach render intermediate performance with bias error varying from similar to 1 to similar to 34 m(2) (least amount of misclassified pixels). We also analyzed the distinctive 8-band capability of WV-2 data coupled with semiautomatic extraction methods to compare their reliability in extracting the water body area. The results indicate that the use of the modified NDWI approach on 8-band WV-2 data can significantly improve the semiautomatic extraction of water body features, which can ultimately contribute to an enhanced perceptive of the Antarctic coastal oasis in the context of climate change. (C) 2015 Published by Elsevier B.V.</t>
  </si>
  <si>
    <t>[Jawak, S. D.; Luis, A. J.] Govt India, Minist Earth Sci, NCAOR, Polar Remote Sensing Dept,ESSO, Vasco Da Gama 403804, Goa, India</t>
  </si>
  <si>
    <t>Ministry of Earth Sciences (MoES) - India; National Centre for Polar and Ocean Research (NCPOR); Earth System Science Organization (ESSO)</t>
  </si>
  <si>
    <t>Jawak, SD (corresponding author), Govt India, Minist Earth Sci, NCAOR, Polar Remote Sensing Dept,ESSO, Vasco Da Gama 403804, Goa, India.</t>
  </si>
  <si>
    <t>shridhar.jawak@ncaor.gov.in</t>
  </si>
  <si>
    <t>Jawak, Shridhar/G-9678-2012</t>
  </si>
  <si>
    <t>Jawak, Shridhar/0000-0002-0648-3109; Luis, Dr Alvarinho J./0000-0002-3425-8048</t>
  </si>
  <si>
    <t>ELSEVIER SCIENCE BV</t>
  </si>
  <si>
    <t>AMSTERDAM</t>
  </si>
  <si>
    <t>SARA BURGERHARTSTRAAT 25, PO BOX 211, 1000 AE AMSTERDAM, NETHERLANDS</t>
  </si>
  <si>
    <t>2214-241X</t>
  </si>
  <si>
    <t>AQUAT PR</t>
  </si>
  <si>
    <t>10.1016/j.aqpro.2015.02.018</t>
  </si>
  <si>
    <t>Engineering, Ocean; Environmental Sciences; Water Resources</t>
  </si>
  <si>
    <t>Engineering; Environmental Sciences &amp; Ecology; Water Resources</t>
  </si>
  <si>
    <t>BC5PN</t>
  </si>
  <si>
    <t>WOS:000353455800017</t>
  </si>
  <si>
    <t>Jawak, SD; Raut, DA; Luis, AJ</t>
  </si>
  <si>
    <t>Jawak, S. D.; Raut, D. A.; Luis, A. J.</t>
  </si>
  <si>
    <t>Iterative Spectral Index Ratio Exploration for Object-based Image Analysis of Antarctic Coastal Oasis Using High Resolution Satellite Remote Sensing Data</t>
  </si>
  <si>
    <t>World Veiw-2; Spectral Index Ratio (SIR); Object Based Image Analysis (OBIA)</t>
  </si>
  <si>
    <t>MULTISPECTRAL IMAGERY; FOREST; IKONOS</t>
  </si>
  <si>
    <t>We introduce a new semi-automated approach by coupling spectral index ratios (SIR) and object-based image analysis (OBIA) to classify very high resolution WorldView 2 (WV 2) satellite image to extract land cover features using eCognition(C) software. This study aims to develop rule sets for object-based classification of WV-2 image to accurately delineate the boundaries of land cover features in the Larsemann Hills, eastern Antarctica. Multi-level segmentation process was applied to WV-2 image to generate different sizes of image objects representing different land cover features with respect to scale parameter. Several new SIRs were investigated and applied to objects at different segmentation levels to accurately classify land cover classes of landmass, man-made features, snow/ice, and water bodies. A specific attention was given to water body class to identify water areas in image level considering their different appearance on landmass and ice. The results illustrate that synergetic usage of newly developed SIRs and image segmentation in the OBIA can provide highly accurate identification of land cover classes with an overall classification accuracy of approximate to 98%. Furthermore, our results suggest that OBIA can contribute to powerful automatic and semiautomatic analysis for most remote sensing applications in coastal Antarctica, and synergetic use of pixel-based SIRs explores the rich geo-information of coastal areas. (C) 2015 Published by Elsevier B.V.</t>
  </si>
  <si>
    <t>[Jawak, S. D.] Govt India, Minist Earth Sci, Natl Ctr Antarctic &amp; Ocean Res, Polar Remote Sensing Dept,Earth Syst Sci Org, Vasco Da Gama 403804, Goa, India; [Raut, D. A.; Luis, A. J.] Ctr Environm Planning &amp; Technol CEPT Univ, Ahmadabad 380009, Gujarat, India</t>
  </si>
  <si>
    <t>Earth System Science Organization (ESSO); Ministry of Earth Sciences (MoES) - India; National Centre for Polar and Ocean Research (NCPOR); CEPT University</t>
  </si>
  <si>
    <t>Jawak, SD (corresponding author), Govt India, Minist Earth Sci, Natl Ctr Antarctic &amp; Ocean Res, Polar Remote Sensing Dept,Earth Syst Sci Org, Vasco Da Gama 403804, Goa, India.</t>
  </si>
  <si>
    <t>10.1016/j.aqpro.2015.02.022</t>
  </si>
  <si>
    <t>WOS:000353455800021</t>
  </si>
  <si>
    <t>Spectral information analysis for the semiautomatic derivation of shallow lake bathymetry using high-resolution multispectral imagery: A case study of Antarctic coastal oasis</t>
  </si>
  <si>
    <t>Bathymetry; WorldView-2; Antarctic</t>
  </si>
  <si>
    <t>WATER BATHYMETRY; SATELLITE; COVER; DEPTH</t>
  </si>
  <si>
    <t>Bathymetry is a technique of measuring depths to determine the topography of water bodies. The derivation of bathymetry from satellite imagery is one of the basic researches in remote sensing of the aquatic environment, which has several practical implications to the coastal environment and it's monitoring. The spectral band information provided by the multispectral (eight bands) Worldview-2 (WV-2) satellite improves the quality of coastal environmental products including bathymetry. This study provides a method for mapping of shallow lake bathymetry (depth) in Larsemann hills, eastern Antarctica, using digital WV-2 imagery. Out of various bathymetry determination models available for multispectral images, two most popular models-linear band and linear ratio model were used to estimate water depth of the shallow water bodies. These models were executed using various band combinations to study their specific role in bathymetry derivation. The derived depths were validated against the in-situ measurements and root mean square errors (RMSE) were computed. We quantify the error between in-situ measured and satellite-estimated lake depth values for lakes selected in this study. Our results indicate the high correlation (0.7 similar to 0.9) between estimated and in situ depth measurements, with RMSE ranging from 0.2 to 1 m. This study suggests that the coastal band in the WV-2 imagery could retrieve accurate bathymetry information compared to other bands. (C) 2015 The Authors. Published by Elsevier B.V.</t>
  </si>
  <si>
    <t>Earth System Science Organization (ESSO); Ministry of Earth Sciences (MoES) - India; National Centre for Polar and Ocean Research (NCPOR)</t>
  </si>
  <si>
    <t>10.1016/j.aqpro.2015.02.173</t>
  </si>
  <si>
    <t>WOS:000353455800172</t>
  </si>
  <si>
    <t>Huenerlage, K; Graeve, M; Buchholz, C; Buchholz, F</t>
  </si>
  <si>
    <t>Huenerlage, Kim; Graeve, Martin; Buchholz, Cornelia; Buchholz, Friedrich</t>
  </si>
  <si>
    <t>The other krill: overwintering physiology of adult Thysanoessa inermis (Euphausiacea) from the high-Arctic Kongsfjord</t>
  </si>
  <si>
    <t>AQUATIC BIOLOGY</t>
  </si>
  <si>
    <t>Starvation; Respiration; Excretion; Total lipid; Lipid classes; Fatty acids; Proteins</t>
  </si>
  <si>
    <t>ANTARCTIC KRILL; MEGANYCTIPHANES-NORVEGICA; NORTHERN KRILL; BARENTS SEA; ECOLOGICAL INVESTIGATIONS; ZOOPLANKTON COMMUNITY; CALANUS-FINMARCHICUS; SUPERBA DANA; FATTY-ACIDS; WATER DEPTH</t>
  </si>
  <si>
    <t>Polar environments like the high-Arctic Kongsfjord are characterized by pronounced seasonality leading to strong variations in primary production. Food sources are particularly scarce during winter. Herbivorous krill, such as the arcto-boreal Thysanoessa inermis, are key components in the ecosystem of Kongsfjord and strongly rely on phytoplankton as a food source. During the polar night such species must therefore be adapted to survive long periods without significant nutritional input. We investigated physiological mechanisms and the allocation of energy resources to try to explain how T. inermis manages to survive the Arctic winter. Adult specimens caught in late summer were kept under starvation conditions for 28 d. Changes in metabolic rates (respiration and excretion) and biochemical composition (protein, lipid and fatty acid analyses) were monitored. In contrast to the Antarctic krill Euphausia superba and the subtropical E. hanseni, the arcto-boreal species did not reduce metabolism but utilized lipid reserves for survival. Assessed from total lipid stores and energy demand, the potential survival period was estimated at 63 d without food uptake, which is not sufficient to survive the entire winter. Results were compared to specimens that overwintered in situ and were discussed in relation to other euphausiids. In conclusion, T. inermis is well adapted to survive the Arctic winter provided that alternative food sources are available, but has a different strategy to cope with starvation than krill species from other latitudes.</t>
  </si>
  <si>
    <t>[Huenerlage, Kim; Graeve, Martin; Buchholz, Cornelia; Buchholz, Friedrich] Alfred Wegener Inst, Helmholtz Ctr Polar &amp; Marine Res, D-27570 Bremerhaven, Germany</t>
  </si>
  <si>
    <t>Helmholtz Association; Alfred Wegener Institute, Helmholtz Centre for Polar &amp; Marine Research</t>
  </si>
  <si>
    <t>Huenerlage, K (corresponding author), Alfred Wegener Inst, Helmholtz Ctr Polar &amp; Marine Res, Handelshafen 12, D-27570 Bremerhaven, Germany.</t>
  </si>
  <si>
    <t>kim.huenerlage@awi.de</t>
  </si>
  <si>
    <t>Graeve, Martin/B-5751-2017</t>
  </si>
  <si>
    <t>Graeve, Martin/0000-0002-2294-1915; Buchholz, Cornelia/0000-0002-5055-1586; Huenerlage, Lara Kim/0000-0002-1997-4556</t>
  </si>
  <si>
    <t>French-German AWIPEV project [KOP 124, RIS ID 3451]</t>
  </si>
  <si>
    <t>French-German AWIPEV project</t>
  </si>
  <si>
    <t>We thank the captains of the Kings Bay AS workboat MS 'Teisten'. We are very grateful for the professional support by the AWIPEV station leaders and (logistic) engineers, Ny-Alesund, Spitsbergen. We thank the Department of Marine Zoology headed by Prof. Dr. Wilhelm Hagen (BreMarE-Centre for Research &amp; Education, University of Bremen, Germany) for allowing us to use their facilities for lipid extraction. We are grateful to Dieter Janssen for his help in lipid class analyses at the AWI laboratories, Bremerhaven. We thank Ruth Alheit for the final language edit as a native speaker. The data from the COSYNA data web portal were originally provided by Prof. Dr. Philipp Fischer (AWI), Dr. Gisbert Breitbach (HZG), Prof. Dr. Burkard Baschek (HZG) and Dr. Friedhelm Schroeder (HZG). This work was supported by the French-German AWIPEV project KOP 124, RIS ID 3451.</t>
  </si>
  <si>
    <t>INTER-RESEARCH</t>
  </si>
  <si>
    <t>OLDENDORF LUHE</t>
  </si>
  <si>
    <t>NORDBUNTE 23, D-21385 OLDENDORF LUHE, GERMANY</t>
  </si>
  <si>
    <t>1864-7790</t>
  </si>
  <si>
    <t>1864-7782</t>
  </si>
  <si>
    <t>AQUAT BIOL</t>
  </si>
  <si>
    <t>Aquat. Biol.</t>
  </si>
  <si>
    <t>10.3354/ab00622</t>
  </si>
  <si>
    <t>Marine &amp; Freshwater Biology</t>
  </si>
  <si>
    <t>CH3FK</t>
  </si>
  <si>
    <t>WOS:000353913500004</t>
  </si>
  <si>
    <t>Greenslade, P; Potapov, M</t>
  </si>
  <si>
    <t>Greenslade, Penelope; Potapov, Mikhail</t>
  </si>
  <si>
    <t>Biology, affinity and description of an unusual aquatic new genus and species of Isotomidae (Collembola) from high altitude lakes in Tasmania</t>
  </si>
  <si>
    <t>EUROPEAN JOURNAL OF ENTOMOLOGY</t>
  </si>
  <si>
    <t>Collembola; Isotomidae; Chionobora amila; new genus; new species; Antarctica; diatoms; refugia; adversity selection</t>
  </si>
  <si>
    <t>REFUGIA</t>
  </si>
  <si>
    <t>A new species of Isotomidae (Collembola) was collected from submerged stones on the edge of nine lakes on Tasmania's Central Highland Plateau. Because it did not comply fully with the characters of any existing genus, a new genus, Chionobora gen. n. is erected for it here. An Antarctic species, Desoria klovstadi (Carpenter), has characters which conform with the new genus so is formally transferred to the new genus here. The Antarctic Continent and Tasmania were last in proximity 60 million years b.p. so it is suggested both species are relicts persisting in probable ice-free refugia during glacial cycles. Gut contents of specimens of the new species exclusively contained diatoms in various stages of digestion and the species appears to graze on aquatic macrophytes, a feeding habit not recorded before for Collembola. We note the high numbers of endemic invertebrate taxa of restricted distributions in cold habitats of southern regions compared to warmer regions and stress their conservation values and threats to their populations.</t>
  </si>
  <si>
    <t>[Greenslade, Penelope] Federat Univ, Dept Environm Management, Sch Sci Informat Technol &amp; Engn, Ballarat, Vic 3353, Australia; [Greenslade, Penelope] Australian Natl Univ, Dept Bot &amp; Zool, Canberra, ACT 0200, Australia; [Greenslade, Penelope] S Australian Museum, Adelaide, SA 5000, Australia; [Potapov, Mikhail] Moscow State Pedag Univ, Dept Zool &amp; Ecol, Moscow 129164, Russia</t>
  </si>
  <si>
    <t>Federation University Australia; Australian National University; Moscow State University of Education</t>
  </si>
  <si>
    <t>Greenslade, P (corresponding author), Federat Univ, Dept Environm Management, Sch Sci Informat Technol &amp; Engn, Ballarat, Vic 3353, Australia.</t>
  </si>
  <si>
    <t>pgreenslade@federation.edu.au; mpnk-abroad@yandex.ru</t>
  </si>
  <si>
    <t>Potapov, Mikhail B./T-7534-2017; Potapov, Mikhail/AFK-6336-2022; Potapov, Mikhail/AAG-4607-2022</t>
  </si>
  <si>
    <t>Potapov, Mikhail/0000-0002-6111-3354; Potapov, Mikhail/0000-0002-6111-3354</t>
  </si>
  <si>
    <t>Ministry of Education and Science of the Russian Federation [6.632.2014/K]</t>
  </si>
  <si>
    <t>Ministry of Education and Science of the Russian Federation(Ministry of Education and Science, Russian Federation)</t>
  </si>
  <si>
    <t>Thanks are due to the staff of the Tasmanian Fisheries Authority who collected and supplied the specimens, to S. Chilcott and M. Driessen for supplying valuable background information, to I. Atazaheh for identifying and photographing the diatoms and to F. Frati for supplying specimens of D. klovstadi. M. Potapov received financial support from the Ministry of Education and Science of the Russian Federation (Project No. 6.632.2014/K).</t>
  </si>
  <si>
    <t>CZECH ACAD SCI, INST ENTOMOLOGY</t>
  </si>
  <si>
    <t>CESKE BUDEJOVICE</t>
  </si>
  <si>
    <t>BRANISOVSKA 31, CESKE BUDEJOVICE 370 05, CZECH REPUBLIC</t>
  </si>
  <si>
    <t>1210-5759</t>
  </si>
  <si>
    <t>1802-8829</t>
  </si>
  <si>
    <t>EUR J ENTOMOL</t>
  </si>
  <si>
    <t>Eur. J. Entomol.</t>
  </si>
  <si>
    <t>10.14411/eje.2015.032</t>
  </si>
  <si>
    <t>Entomology</t>
  </si>
  <si>
    <t>CG5BJ</t>
  </si>
  <si>
    <t>WOS:000353304300015</t>
  </si>
  <si>
    <t>Lawrence, ZD; Manney, GL; Minschwaner, K; Santee, ML; Lambert, A</t>
  </si>
  <si>
    <t>Lawrence, Z. D.; Manney, G. L.; Minschwaner, K.; Santee, M. L.; Lambert, A.</t>
  </si>
  <si>
    <t>Comparisons of polar processing diagnostics from 34 years of the ERA-Interim and MERRA reanalyses</t>
  </si>
  <si>
    <t>ARCTIC OZONE DEPLETION; METEOROLOGICAL ANALYSES; STRATOSPHERIC CLOUDS; WINTER; VORTEX; ASSIMILATION; CHEMISTRY; MODEL; DENITRIFICATION; EVENTS</t>
  </si>
  <si>
    <t>We present a comprehensive comparison of polar processing diagnostics derived from the National Aeronautics and Space Administration (NASA) Modern Era Retrospective-analysis for Research and Applications (MERRA) and the European Centre for Medium-Range Weather Forecasts (ECMWF) Interim Reanalysis (ERA-Interim). We use diagnostics that focus on meteorological conditions related to stratospheric chemical ozone loss based on temperatures, polar vortex dynamics, and air parcel trajectories to evaluate the effects these reanalyses might have on polar processing studies. Our results show that the agreement between MERRA and ERA-Interim changes significantly over the 34 years from 1979 to 2013 in both hemispheres and in many cases improves. By comparing our diagnostics during five time periods when an increasing number of higher-quality observations were brought into these reanalyses, we show how changes in the data assimilation systems (DAS) of MERRA and ERA-Interim affected their meteorological data. Many of our stratospheric temperature diagnostics show a convergence toward significantly better agreement, in both hemispheres, after 2001 when Aqua and GOES (Geostationary Operational Environmental Satellite) radiances were introduced into the DAS. Other diagnostics, such as the winter mean volume of air with temperatures below polar stratospheric cloud formation thresholds (V-PSC) and some diagnostics of polar vortex size and strength, do not show improved agreement between the two reanalyses in recent years when data inputs into the DAS were more comprehensive. The polar processing diagnostics calculated from MERRA and ERA-Interim agree much better than those calculated from earlier reanalysis data sets. We still, however, see fairly large differences in many of the diagnostics in years prior to 2002, raising the possibility that the choice of one reanalysis over another could significantly influence the results of polar processing studies. After 2002, we see overall good agreement among the diagnostics, which demonstrates that the ERA-Interim and MERRA reanalyses are equally appropriate choices for polar processing studies of recent Arctic and Antarctic winters.</t>
  </si>
  <si>
    <t>[Lawrence, Z. D.; Manney, G. L.; Minschwaner, K.] New Mexico Inst Min &amp; Technol, Socorro, NM 87801 USA; [Manney, G. L.] NorthWest Res Associates, Socorro, NM USA; [Santee, M. L.; Lambert, A.] CALTECH, Jet Prop Lab, Pasadena, CA USA</t>
  </si>
  <si>
    <t>New Mexico Institute of Mining Technology; NorthWest Research Associates; California Institute of Technology; National Aeronautics &amp; Space Administration (NASA); NASA Jet Propulsion Laboratory (JPL)</t>
  </si>
  <si>
    <t>Lawrence, ZD (corresponding author), New Mexico Inst Min &amp; Technol, Socorro, NM 87801 USA.</t>
  </si>
  <si>
    <t>zlawrenc@nmt.edu</t>
  </si>
  <si>
    <t>Lawrence, Zachary/X-6766-2019; Manney, Gloria/JED-7207-2023; Lambert, Alyn/I-8415-2014; Santee, MIchelle/R-5762-2019</t>
  </si>
  <si>
    <t>Lambert, Alyn/0000-0003-3182-1824; Lawrence, Zachary/0000-0003-0901-3839</t>
  </si>
  <si>
    <t>National Aeronautics and Space Administration</t>
  </si>
  <si>
    <t>National Aeronautics and Space Administration(National Aeronautics &amp; Space Administration (NASA))</t>
  </si>
  <si>
    <t>The authors would like to thank the personnel responsible for producing the ERA-Interim and MERRA reanalysis data sets. ERA-Interim data were made available by ECMWF, Shinfield Park, Reading, UK; MERRA data were provided by the GMAO, Greenbelt, Maryland, USA. Thanks to David Tan, Steven Pawson, and our reviewers, S. Chabrillat and C. Long, for their helpful comments and suggestions regarding this work; N. Livesey for help with setting up the trajectory code; and B. Knosp, W. Daffer, and the JPL Microwave Limb Sounder team for computing and data management support. Work at the Jet Propulsion Laboratory, California Institute of Technology, was done under contract with the National Aeronautics and Space Administration.</t>
  </si>
  <si>
    <t>10.5194/acp-15-3873-2015</t>
  </si>
  <si>
    <t>CG0LF</t>
  </si>
  <si>
    <t>WOS:000352957400015</t>
  </si>
  <si>
    <t>Dong, C; Bai, X; Sheng, H; Jiao, L; Zhou, H; Shao, Z</t>
  </si>
  <si>
    <t>Dong, C.; Bai, X.; Sheng, H.; Jiao, L.; Zhou, H.; Shao, Z.</t>
  </si>
  <si>
    <t>Distribution of PAHs and the PAH-degrading bacteria in the deep-sea sediments of the high-latitude Arctic Ocean</t>
  </si>
  <si>
    <t>POLYCYCLIC AROMATIC-HYDROCARBONS; MID-ATLANTIC RIDGE; GULF-OF-MEXICO; SP NOV.; MARINE BACTERIUM; CRUDE-OIL; PETROLEUM-HYDROCARBONS; MICROBIAL-POPULATIONS; SUBSURFACE SEDIMENTS; GEN. NOV.</t>
  </si>
  <si>
    <t>Polycyclic aromatic hydrocarbons (PAHs) are common organic pollutants that can be transferred long distances and tend to accumulate in marine sediments. However, less is known regarding the distribution of PAHs and their natural bioattenuation in the open sea, especially the Arctic Ocean. In this report, sediment samples were collected at four sites from the Chukchi Plateau to the Makarov Basin in the summer of 2010. PAH compositions and total concentrations were examined with GC-MS. The concentrations of 16 EPA-priority PAHs varied from 2.0 to 41.6 ng g(-1) dry weight and decreased with sediment depth and movement from the southern to the northern sites. Among the targeted PAHs, phenanthrene was relatively abundant in all sediments. The 16S rRNA gene of the total environmental DNA was analyzed with Illumina high-throughput sequencing (IHTS) to determine the diversity of bacteria involved in PAH degradation in situ. The potential degraders including Cycloclasticus, Pseudomonas, Halomonas, Pseudoalteromonas, Marinomonas, Bacillus, Dietzia, Colwellia, Acinetobacter, Alcanivorax, Salinisphaera and Shewanella, with Dietzia as the most abundant, occurred in all sediment samples. Meanwhile, enrichment with PAHs was initiated onboard and transferred to the laboratory for further enrichment and to obtain the degrading consortia. Most of the abovementioned bacteria in addition to Hahella, Oleispira, Oceanobacter and Hyphomonas occurred alternately as predominant members in the enrichment cultures from different sediments based on IHTS and PCR-DGGE analysis. To reconfirm their role in PAH degradation, 40 different bacteria were isolated and characterized, among which Cycloclasticus and Pseudomonas showed the best degradation capability under low temperatures. Taken together, PAHs and PAH-degrading bacteria were widespread in the deepsea sediments of the Arctic Ocean. We propose that bacteria of Cycloclasticus, Pseudomonas, Pseudoalteromonas, Halomonas, Marinomonas and Dietzia may play the most important role in PAH mineralization in situ.</t>
  </si>
  <si>
    <t>[Dong, C.; Bai, X.; Shao, Z.] SOA, State Key Lab Breeding Base Marine Genet Resource, Key Lab Marine Genet Resources Fujian Prov, Key Lab Marine Genet Resources,Inst Oceanog 3, Xiamen 361005, Fujian, Peoples R China; [Sheng, H.; Zhou, H.] Southern Med Univ, Sch Publ Hlth &amp; Trop Med, Dept Environm Hlth, Guangzhou 510515, Guangdong, Peoples R China; [Jiao, L.] State Ocean Adm, Inst Oceanog 3, Key Lab Global Change &amp; Marine Atmospher Chem, Xiamen 361005, Fujian, Peoples R China; [Bai, X.] Xiamen Univ, Life Sci Coll, Xiamen 361005, Fujian, Peoples R China</t>
  </si>
  <si>
    <t>Third Institute of Oceanography, Ministry of Natural Resources; Southern Medical University - China; Third Institute of Oceanography, Ministry of Natural Resources; Xiamen University</t>
  </si>
  <si>
    <t>Shao, Z (corresponding author), SOA, State Key Lab Breeding Base Marine Genet Resource, Key Lab Marine Genet Resources Fujian Prov, Key Lab Marine Genet Resources,Inst Oceanog 3, Xiamen 361005, Fujian, Peoples R China.</t>
  </si>
  <si>
    <t>shaozz@163.com</t>
  </si>
  <si>
    <t>Dong, Chunming/AAK-6040-2020</t>
  </si>
  <si>
    <t>/0000-0002-9458-9172</t>
  </si>
  <si>
    <t>National Natural Science Foundation of China [41206158, 41076105]; High-Tech Research and Development Program of China [2012AA092102]; China Polar Environment Investigation and Estimate Project; Public Welfare Project of SOA [201005032]</t>
  </si>
  <si>
    <t>National Natural Science Foundation of China(National Natural Science Foundation of China (NSFC)); High-Tech Research and Development Program of China(National High Technology Research and Development Program of China); China Polar Environment Investigation and Estimate Project; Public Welfare Project of SOA</t>
  </si>
  <si>
    <t>The authors greatly thank the whole team of the fourth Arctic Research Expedition of the Xuelong icebreaker and the Chinese Arctic and Antarctic Administration. This work was financially supported by the National Natural Science Foundation of China (41206158, 41076105), the High-Tech Research and Development Program of China (2012AA092102), the China Polar Environment Investigation and Estimate Project (2012-2015) and the Public Welfare Project of SOA (201005032).</t>
  </si>
  <si>
    <t>10.5194/bg-12-2163-2015</t>
  </si>
  <si>
    <t>CG0LP</t>
  </si>
  <si>
    <t>WOS:000352958400008</t>
  </si>
  <si>
    <t>Winterfeld, M; Goñi, MA; Just, J; Hefter, J; Mollenhauer, G</t>
  </si>
  <si>
    <t>Winterfeld, M.; Goni, M. A.; Just, J.; Hefter, J.; Mollenhauer, G.</t>
  </si>
  <si>
    <t>Characterization of particulate organic matter in the Lena River delta and adjacent nearshore zone, NE Siberia - Part 2: Lignin-derived phenol compositions</t>
  </si>
  <si>
    <t>TEMPORAL VARIABILITY; OXIDATION-PRODUCTS; FUNGAL DEGRADATION; COASTAL SEDIMENTS; SURFACE SEDIMENTS; POLYGONAL TUNDRA; EARLY DIAGENESIS; PLANT-TISSUES; CUO OXIDATION; ARCTIC-OCEAN</t>
  </si>
  <si>
    <t>The Lena River in central Siberia is one of the major pathways translocating terrestrial organic matter (OM) from its vast catchment area to the coastal zone of the Laptev Sea and the Arctic Ocean. The permafrost soils of its far south-stretching catchment, which store huge amounts of OM, will most likely respond differently to climate warming and remobilize previously frozen OM with distinct properties specific for the source vegetation and soil. To characterize the material discharged by the Lena River, we analyzed the lignin phenol composition in total suspended matter (TSM) from surface water collected in spring and summer, surface sediments from Buor Khaya Bay along with soils from the Lena Delta's first (Holocene) and third terraces (Pleistocene ice complex), and plant samples. Our results show that lignin-derived cinnamyl : vanillyl (C / V) and syringyl : vanillyl (S / V) ratios are &gt;0.14 and 0.25, respectively, in TSM and surface sediments, whereas in delta soils they are &gt;0.16 and &gt;0.51, respectively. These lignin compositions are consistent with significant inputs of organic matter from non-woody angiosperm sources mixed with organic matter derived from woody gymnosperm sources. We applied a simple linear mixing model based on the C / V and S / V ratios, and the results indicate the organic matter in delta TSM samples and Buor Khaya Bay surface sediments contain comparable contributions from gymnosperm material, which is primarily derived from the taiga forests south of the delta, and angiosperm material typical for tundra vegetation. Considering the small catchment area covered by tundra (similar to 12 %), the input is substantial and tundra-derived OM input is likely to increase in a warming Arctic. The similar and high acid to aldehyde ratios of vanillyl and syringyl (Ad / Al-V,Al- S) in Lena Delta summer TSM (&gt;0.7 and &gt;0.5, respectively) and Buor Khaya Bay surface sediments (&gt;1.0 and &gt;0.9, respectively) suggest that the OM is highly degraded and Lena River summer TSM could be a possible source of the surface sediments. The Ad / Al-V,Al- S ratios of the first and third delta terraces were generally lower (mean ratios &gt;0.4 and &gt;0.4, respectively) than summer TSM and surface sediments. This implies that TSM contains additional contributions from a more degraded OM source (southern catchment and/or finer more degraded particle size). Alternatively, OM degradation on land after permafrost thawing and subaqueously during transport and sedimentation could be considerable. Despite the high natural heterogeneity of OM stored in delta soils and exported by the Lena River, the catchment-characteristic vegetation is reflected by the lignin biomarker composition. Climate-warming-related changes in the Lena River catchment may be detectable in changing lignin biomarker composition and diagenetic alteration.</t>
  </si>
  <si>
    <t>[Winterfeld, M.; Hefter, J.; Mollenhauer, G.] Helmholtz Zentrum Polar &amp; Meeresforsch, Alfred Wegener Inst, D-27570 Bremerhaven, Germany; [Winterfeld, M.; Mollenhauer, G.] Univ Bremen, Dept Geosci, D-28359 Bremen, Germany; [Goni, M. A.] Oregon State Univ, Coll Earth Ocean &amp; Atmospher Sci, Corvallis, OR 97331 USA; [Just, J.] Univ Bremen, MARUM, Ctr Marine Environm Sci, D-28359 Bremen, Germany; [Just, J.] Univ Bremen, Dept Geosci, D-28359 Bremen, Germany</t>
  </si>
  <si>
    <t>Helmholtz Association; Alfred Wegener Institute, Helmholtz Centre for Polar &amp; Marine Research; University of Bremen; Oregon State University; University of Bremen; University of Bremen</t>
  </si>
  <si>
    <t>Winterfeld, M (corresponding author), Helmholtz Zentrum Polar &amp; Meeresforsch, Alfred Wegener Inst, Handelshafen 12, D-27570 Bremerhaven, Germany.</t>
  </si>
  <si>
    <t>maria.winterfeld@awi.de</t>
  </si>
  <si>
    <t>Mollenhauer, Gesine/AAD-8167-2019; Mollenhauer, Gesine/B-5190-2015; Winterfeld, Maria/C-8211-2017; Goni, Miguel/AAE-3737-2020; Just, Janna/I-1874-2015</t>
  </si>
  <si>
    <t>Mollenhauer, Gesine/0000-0001-5138-564X; Mollenhauer, Gesine/0000-0001-5138-564X; Hefter, Jens/0000-0002-5823-1966; Just, Janna/0000-0002-5257-604X</t>
  </si>
  <si>
    <t>Helmholtz Young Investigators program of the Helmholtz Society; Alfred Wegener Institute; German Academic Exchange Service (DAAD)</t>
  </si>
  <si>
    <t>Helmholtz Young Investigators program of the Helmholtz Society; Alfred Wegener Institute; German Academic Exchange Service (DAAD)(Deutscher Akademischer Austausch Dienst (DAAD))</t>
  </si>
  <si>
    <t>The Helmholtz Young Investigators program of the Helmholtz Society (GM), the Alfred Wegener Institute, and a fellowship from the German Academic Exchange Service (DAAD) to M. Winterfeld supported this study. We thank Waldemar Schneider from the Alfred Wegener Institute, Potsdam, Germany, and our Russian partners from the Tiksi Hydrobase, Lena Delta Reserve, and the Arctic and Antarctic Institute, St. Petersburg, Russian Federation, for logistical support in preparation and during the expeditions. We acknowledge the good collaboration with the crews of the vessels Puteyski 405 and PTS during fieldwork in 2009 and 2010 and the help and good company of all participants of the LENA DELTA expeditions 2009-2011. We thank Ralph Kreutz for taking samples in spring 2011. Lignin laboratory analysis was greatly supported and guided by Yvan Alleau (Oregon State University, Corvallis, USA). We thank Sebastian Wetterich and Lutz Schirrmeister (AWI Potsdam, Germany) for providing sediment samples from Kurungnakh Island and Ulrike Herzschuh, Juliane Klemm, and Romy Zibulski (AWI Potsdam, Germany) for identifying and providing vegetation samples from the Lena River catchment. We further thank Katja Hockun for assistance with processing the vegetation samples. Finally, we thank T. Tesi and the anonymous reviewer for their constructive comments.</t>
  </si>
  <si>
    <t>10.5194/bg-12-2261-2015</t>
  </si>
  <si>
    <t>WOS:000352958400014</t>
  </si>
  <si>
    <t>Kaiser, SSM</t>
  </si>
  <si>
    <t>Kaiser, S. S. M.</t>
  </si>
  <si>
    <t>A NEW SPECIES OF REGABELLATOR SIEBENALLER &amp; HESSLER, 1981 (ISOPODA, ASELLOTA, NANNONISCIDAE) FROM THE AMUNDSEN SEA SHELF (SOUTHERN OCEAN)</t>
  </si>
  <si>
    <t>CRUSTACEANA</t>
  </si>
  <si>
    <t>ABYSSAL DEPTHS; CRUSTACEANS; JAPAN</t>
  </si>
  <si>
    <t>Based on benthic material collected during the BIOPEARL (Biodiversity, Phylogeny, Evolution and Adaptive Radiation of Life in Antarctica) II expedition on board RRS James Clark Ross a new nannoniscid species, Regabellator brixorum sp. n., is described from the Pine Island Bay continental shelf, western Amundsen Sea (Antarctica). The new species most closely resembles Regabellator armatus (Hansen, 1916) but can be distinguished from this species by possessing ventral spines on pereonites 1-4, the shape of the cephalothorax anterior margin and the length of the pereonite 7 ventral spine. The genus Regabellator has been previously recorded from the North and South-eastern Atlantic and here exclusively from the deep sea (1946 m and below). The new species represents the first record of the genus Regabellator from the Antarctic continental shelf and thus greatly extends hitherto known latitudinal and bathymetric ranges for this genus.</t>
  </si>
  <si>
    <t>[Kaiser, S. S. M.] Natl Inst Water &amp; Atmospher Res Ltd, Wellington, New Zealand</t>
  </si>
  <si>
    <t>National Institute of Water &amp; Atmospheric Research (NIWA) - New Zealand</t>
  </si>
  <si>
    <t>Kaiser, SSM (corresponding author), German Ctr Marine Biodivers Res, DZMB, Senckenberg Meer,Sudstrand 44, D-26382 Wilhelmshaven, Germany.</t>
  </si>
  <si>
    <t>Stefanie.Kaiser@senckenberg.de</t>
  </si>
  <si>
    <t>Kaiser, Stefanie/0000-0003-2026-4663</t>
  </si>
  <si>
    <t>German Academic Exchange Service (DAAD)</t>
  </si>
  <si>
    <t>German Academic Exchange Service (DAAD)(Deutscher Akademischer Austausch Dienst (DAAD))</t>
  </si>
  <si>
    <t>I would like to thank the officers and crew of RRS James Clark Ross for their help on board. I'm grateful to Katrin Linse, David K. A. Barnes, Huw J. Griffiths and Chester J. Sands (British Antarctic Survey) for logistic support and their help sorting the samples. Thanks are also due to Chad Walters (USNM) and Jorgen Olesen (ZMUC) for making type material available, Debbie Yarrow (NOC) for scanning the illustrations and to Miranda Lowe (NHM) and Sadie Mills (NIWA) for sending the type material of the new species around the globe. Clemence Caulle (Universite d'Angers, France) is thanked for translating the abstract into French. Finally I thank Marina Malyutina and an anonymous referee for their valuable comments. Funding was provided by the German Academic Exchange Service (DAAD).</t>
  </si>
  <si>
    <t>0011-216X</t>
  </si>
  <si>
    <t>1568-5403</t>
  </si>
  <si>
    <t>Crustaceana</t>
  </si>
  <si>
    <t>10.1163/15685403-00003417</t>
  </si>
  <si>
    <t>CG6FI</t>
  </si>
  <si>
    <t>WOS:000353392200003</t>
  </si>
  <si>
    <t>Morozov, E; Kondrik, D; Fedorova, A; Pozdnyakov, D; Tang, DL; Pettersson, L</t>
  </si>
  <si>
    <t>Morozov, E.; Kondrik, D.; Fedorova, A.; Pozdnyakov, D.; Tang, D. L.; Pettersson, L.</t>
  </si>
  <si>
    <t>A spaceborne assessment of cyclone impacts on Barents Sea surface temperature and chlorophyll</t>
  </si>
  <si>
    <t>INTERNATIONAL JOURNAL OF REMOTE SENSING</t>
  </si>
  <si>
    <t>MARGINAL ICE-ZONE; TROPICAL CYCLONES; PHYTOPLANKTON BLOOMS; A CONCENTRATION; 2 TYPHOONS; INCREASE; COASTAL; VARIABILITY; MULTIYEAR; ALGORITHM</t>
  </si>
  <si>
    <t>A pilot satellite-based investigation of modulations exerted upon mixed-layer phytoplankton fields by cyclones was performed for the first time across a selected part of the Arctic Ocean, the Barents Sea (BS). Resorting to a synergistic approach, cyclones were first identified from NCEP/NC.R data for the summer period during 2003-2013, and their propagation throughout the BS was further surveyed. The above-water wind force was retrieved from QuikSCAT data. These data were further accompanied by ocean colour data from SeaWiFS and MODIS to examine the spatial and temporal distributions of surficial phytoplankton chlorophyll concentration (chl) dynamics along the trajectory of the cyclone's footprint across the sea. Sea surface temperature was retrieved from MODIS data. The specific trajectory of cyclone passage across the BS area, depression depth, and wind speed proved to be conjointly the main factors determining the sign, amplitude, and duration of modulations of phytoplankton chl. The spaceborne data obtained over more than a decade indicate that, on balance, the cyclone passage led to increase in chl within the cyclone footprint area. On average, this increase did not exceed 1-2 mu g l(-1), which is nevertheless appreciable given that the mean chl within the cyclone footprint rarely exceeded 1 mu g l(-1). However, chl enhancement within the footprint area lasted only within the range of a few days to a fortnight, with the footprint area generally accounting for about 14% of the BS area. During the vegetation season (April-August, rarely till mid-September), the number of cyclones prone to optical and infrared remote sensing was about 2-3. In light of the above, arguably the cyclones studied are hardly capable of boosting annual primary productivity in the BS. Moreover, it can be conjectured that the same conclusion can be drawn with respect to the pelagic Arctic tracts that are generally less productive and more extensively cloud-covered than the BS. However, this supposition requires further studies in order to advance our understanding of the actual role of cyclones in modulation of Arctic Ocean productivity and ecosystem functioning.</t>
  </si>
  <si>
    <t>[Morozov, E.; Kondrik, D.; Fedorova, A.; Pozdnyakov, D.] Nansen Int Environm &amp; Remote Sensing Ctr, St Petersburg, Russia; [Morozov, E.] Stockholm Univ, Dept Ecol Environm &amp; Plant Sci, S-10691 Stockholm, Sweden; [Kondrik, D.] Arctic &amp; Antarctic Res Inst, Dept Oceanol, St Petersburg 199226, Russia; [Fedorova, A.] St Petersburg State Univ, Inst Earth Sci, Dept Oceanol, St Petersburg 199034, Russia; [Pozdnyakov, D.; Pettersson, L.] Nansen Environm &amp; Remote Sensing Ctr, Bergen, Norway; [Tang, D. L.] Chinese Acad Sci, South China Inst Oceanol, State Key Lab Trop Oceanog, Guangzhou, Guangdong, Peoples R China</t>
  </si>
  <si>
    <t>Nansen Environmental &amp; Remote Sensing Center (NERSC); Stockholm University; Arctic &amp; Antarctic Research Institute; Saint Petersburg State University; Nansen Environmental &amp; Remote Sensing Center (NERSC); Chinese Academy of Sciences</t>
  </si>
  <si>
    <t>Morozov, E (corresponding author), Nansen Int Environm &amp; Remote Sensing Ctr, St Petersburg, Russia.</t>
  </si>
  <si>
    <t>evgeny@niersc.spb.ru</t>
  </si>
  <si>
    <t>Федорова, Арина/ABF-5890-2020; Morozov, Evgeny A/F-9030-2017; Pettersson, Lasse Herbert/AAM-9908-2020; Kondrik, Dmitry/W-2455-2019; Revina, Anastasiia/J-6432-2015</t>
  </si>
  <si>
    <t>Kondrik, Dmitry/0000-0002-4032-4662; Pettersson, Lasse/0000-0002-6005-7514; Revina, Anastasiia/0000-0001-8004-7228; Morozov, Eugene/0000-0002-0251-3454</t>
  </si>
  <si>
    <t>joint Russian-Chinese Project 'Investigation of factors driving changes in phytoplankton surficial fields as an aftermath of passage of hurricanes in tropical and polar regions' [12-05-91170-GammaPhiYP_a, 01201255442, NSFC-RFBR-41211120181]; Russian Foundation for Basic Research (RFBS); National Natural Science Foundation of China [NSFC 41430968]</t>
  </si>
  <si>
    <t>joint Russian-Chinese Project 'Investigation of factors driving changes in phytoplankton surficial fields as an aftermath of passage of hurricanes in tropical and polar regions'; Russian Foundation for Basic Research (RFBS); National Natural Science Foundation of China(National Natural Science Foundation of China (NSFC))</t>
  </si>
  <si>
    <t>The present study was initiated under a joint Russian-Chinese Project [12-05-91170-Gamma Phi YP_a, no 01201255442, NSFC-RFBR-41211120181], 'Investigation of factors driving changes in phytoplankton surficial fields as an aftermath of passage of hurricanes in tropical and polar regions' (1 January 2012 to 31 December 2013). The authors express their gratitude to the Russian Foundation for Basic Research (RFBS) and Key Programme of the National Natural Science Foundation of China (NSFC 41430968) for financial support.</t>
  </si>
  <si>
    <t>0143-1161</t>
  </si>
  <si>
    <t>1366-5901</t>
  </si>
  <si>
    <t>INT J REMOTE SENS</t>
  </si>
  <si>
    <t>Int. J. Remote Sens.</t>
  </si>
  <si>
    <t>10.1080/01431161.2015.1029098</t>
  </si>
  <si>
    <t>Remote Sensing; Imaging Science &amp; Photographic Technology</t>
  </si>
  <si>
    <t>CG8RB</t>
  </si>
  <si>
    <t>WOS:000353576900010</t>
  </si>
  <si>
    <t>Roberts, P</t>
  </si>
  <si>
    <t>Roberts, Peder</t>
  </si>
  <si>
    <t>Class and Colonialism in Antarctic Exploration, 1750-1920</t>
  </si>
  <si>
    <t>JOURNAL OF HISTORICAL GEOGRAPHY</t>
  </si>
  <si>
    <t>Book Review</t>
  </si>
  <si>
    <t>[Roberts, Peder] KTH Royal Inst Technol, Stockholm, Sweden</t>
  </si>
  <si>
    <t>Royal Institute of Technology</t>
  </si>
  <si>
    <t>Roberts, P (corresponding author), KTH Royal Inst Technol, Stockholm, Sweden.</t>
  </si>
  <si>
    <t>ACADEMIC PRESS LTD- ELSEVIER SCIENCE LTD</t>
  </si>
  <si>
    <t>24-28 OVAL RD, LONDON NW1 7DX, ENGLAND</t>
  </si>
  <si>
    <t>0305-7488</t>
  </si>
  <si>
    <t>J HIST GEOGR</t>
  </si>
  <si>
    <t>J. Hist. Geogr.</t>
  </si>
  <si>
    <t>10.1016/j.jhg.2014.08.022</t>
  </si>
  <si>
    <t>Geography; History Of Social Sciences</t>
  </si>
  <si>
    <t>Geography; Social Sciences - Other Topics</t>
  </si>
  <si>
    <t>CG2HS</t>
  </si>
  <si>
    <t>WOS:000353096100038</t>
  </si>
  <si>
    <t>Wang, YB; Gao, C; Zheng, Z; Liu, FM; Zang, JY; Miao, JL</t>
  </si>
  <si>
    <t>Wang, Yi Bin; Gao, Cong; Zheng, Zhou; Liu, Fang Ming; Zang, Jia Ye; Miao, Jin Lai</t>
  </si>
  <si>
    <t>Immobilization of Cold-Active Cellulase from Antarctic Bacterium and Its Use for Kelp Cellulose Ethanol Fermentation</t>
  </si>
  <si>
    <t>BIORESOURCES</t>
  </si>
  <si>
    <t>Cold-active cellulase; Antarctic bacteria; Cellulose ethanol fermentation; Immobilized enzyme; Kelp cellulose</t>
  </si>
  <si>
    <t>MARINE MACROALGAE; ADAPTED ENZYMES; HYDROLYSIS; BIOMASS; EXTREMOPHILES; CLONING; GENE</t>
  </si>
  <si>
    <t>Immobilization is an effective way to solve the problem associated with the application of cold-active cellulase in industrial processes. In this study, a cold-active cellulase from the Antarctic psychrophilic bacterium Pseudoalteromonas sp. NJ64 was obtained, immobilized, and analyzed for optimal immobilization conditions. Then it was used in kelp cellulose ethanol fermentation, achieving a higher purity level of kelp cellulose ethanol. The enzymatic activity of this cold-active cellulase was 49.7 U/mL. The optimal immobilization process conditions were as follows: sodium alginate, 30 g/L; calcium chloride, 5 g/L; glutaraldehyde, 0.4%; and cross-linking time, 5 h. Under these conditions, the activity recovery rate was 51.58%. The optimum reaction temperature was at 40 degrees C, the optimum initial pH was 9.0, and the relative enzyme activity was 58.37% after being recovered seven times. A higher purity level of kelp cellulose ethanol has reached (37.37%). Immobilized cold-active cellulase can effectively hydrolyze the cellulose of kelp residue, which is a valuable component of cellulose bio-ethanol production and will have broad implications in the development of the ethanol industry in China.</t>
  </si>
  <si>
    <t>[Wang, Yi Bin; Zheng, Zhou; Liu, Fang Ming; Zang, Jia Ye; Miao, Jin Lai] State Ocean Adm, Inst Oceanog 1, Qingdao 266061, Peoples R China; [Wang, Yi Bin; Gao, Cong; Zheng, Zhou; Liu, Fang Ming; Miao, Jin Lai] SOA, Key Lab Marine Bioact Subst, Qingdao 266061, Peoples R China; [Gao, Cong] Qingdao Univ Sci &amp; Technol, Coll Chem Engn, Qingdao 266042, Peoples R China</t>
  </si>
  <si>
    <t>First Institute of Oceanography, Ministry of Natural Resources; Qingdao University of Science &amp; Technology</t>
  </si>
  <si>
    <t>Miao, JL (corresponding author), State Ocean Adm, Inst Oceanog 1, Qingdao 266061, Peoples R China.</t>
  </si>
  <si>
    <t>miaojinlai@fio.org.cn</t>
  </si>
  <si>
    <t>Zheng, Zhou/JJD-0602-2023; Wang, Yibin/J-6584-2017</t>
  </si>
  <si>
    <t>Wang, Yibin/0000-0001-5278-7245</t>
  </si>
  <si>
    <t>National Natural Science Foundation of China [31200097, 31200272, 41376093]</t>
  </si>
  <si>
    <t>National Natural Science Foundation of China(National Natural Science Foundation of China (NSFC))</t>
  </si>
  <si>
    <t>This work was supported by the National Natural Science Foundation of China (No. 31200097, No. 31200272 and No. 41376093). The authors would like to thank MogoEdit Co. for providing language help.</t>
  </si>
  <si>
    <t>NORTH CAROLINA STATE UNIV DEPT WOOD &amp; PAPER SCI</t>
  </si>
  <si>
    <t>RALEIGH</t>
  </si>
  <si>
    <t>CAMPUS BOX 8005, RALEIGH, NC 27695-8005 USA</t>
  </si>
  <si>
    <t>1930-2126</t>
  </si>
  <si>
    <t>BioResources</t>
  </si>
  <si>
    <t>10.15376/biores.10.1.1757-1772</t>
  </si>
  <si>
    <t>Materials Science, Paper &amp; Wood</t>
  </si>
  <si>
    <t>Materials Science</t>
  </si>
  <si>
    <t>CE6IV</t>
  </si>
  <si>
    <t>gold</t>
  </si>
  <si>
    <t>WOS:000351941000140</t>
  </si>
  <si>
    <t>B</t>
  </si>
  <si>
    <t>Canesi, L</t>
  </si>
  <si>
    <t>Valacchi, G</t>
  </si>
  <si>
    <t>Canesi, Laura</t>
  </si>
  <si>
    <t>Pro-oxidant and antioxidant processes in aquatic invertebrates</t>
  </si>
  <si>
    <t>CELLULAR AND ENVIRONMENTAL STRESSORS IN BIOLOGY AND MEDICINE</t>
  </si>
  <si>
    <t>Annals of the New York Academy of Sciences-Series</t>
  </si>
  <si>
    <t>aquatic environment; oxidative stress; marine bivalves; adaptation; metallothioneins</t>
  </si>
  <si>
    <t>MESENCHYMAL STEM-CELLS; OXIDATIVE STRESS; LIPID-PEROXIDATION; MYTILUS-GALLOPROVINCIALIS; DIGESTIVE GLAND; ADAMUSSIUM-COLBECKI; HEXAVALENT CHROMIUM; SEASONAL-VARIATIONS; IMMUNE-RESPONSE; DEFENSE SYSTEMS</t>
  </si>
  <si>
    <t>Most aquatic organisms behave as conformerswith respect to environmental variables, including changes in O-2 availability. Aquatic species that show tolerance to hypoxia/anoxia or hyperoxia can be excellent models for investigating physiological and biochemical adaptations that deal with changing O-2 and consequent changes in metabolic rate and production of reactive oxygen species (ROS). Here, I summarize selected data on ROS production and antioxidant defenses in a model marine invertebrate, the bivalve Mytilus, under different environmental and physiological conditions. An example of other bivalves adapted to particular environments (the Antarctic Sea) is also reported. These studies contributed to the knowledge on pro-oxidant and antioxidant processes in aquatic invertebrates from comparative and environmental perspectives. A common role for metallothioneins in antioxidant protection in mammals and aquatic invertebrates is underlined in different conditions, from human disease to responses to environmental exposure to heavy metals.</t>
  </si>
  <si>
    <t>Univ Genoa, Dept Earth Environm &amp; Life Sci DISTAV, I-16132 Genoa, Italy</t>
  </si>
  <si>
    <t>University of Genoa</t>
  </si>
  <si>
    <t>Canesi, L (corresponding author), Univ Genoa, Dept Earth Environm &amp; Life Sci DISTAV, Corso Europa 26, I-16132 Genoa, Italy.</t>
  </si>
  <si>
    <t>Laura.Canesi@unige.it</t>
  </si>
  <si>
    <t>Canesi, Laura/0000-0003-2061-3819</t>
  </si>
  <si>
    <t>BLACKWELL SCIENCE PUBL</t>
  </si>
  <si>
    <t>OXFORD</t>
  </si>
  <si>
    <t>OSNEY MEAD, OXFORD OX2 0EL, ENGLAND</t>
  </si>
  <si>
    <t>ANN NY ACAD SCI</t>
  </si>
  <si>
    <t>Ann.NY Acad.Sci.</t>
  </si>
  <si>
    <t>10.1111/nyas.12560</t>
  </si>
  <si>
    <t>Cell Biology; Environmental Sciences</t>
  </si>
  <si>
    <t>Cell Biology; Environmental Sciences &amp; Ecology</t>
  </si>
  <si>
    <t>BC4ZX</t>
  </si>
  <si>
    <t>WOS:000353102100001</t>
  </si>
  <si>
    <t>Kehrt, C</t>
  </si>
  <si>
    <t>Kehrt, Christian</t>
  </si>
  <si>
    <t>Gondwana's Promises. German Geologists in Antarctica between Basic Science and Resource Exploration in the Late 1970s</t>
  </si>
  <si>
    <t>HISTORICAL SOCIAL RESEARCH-HISTORISCHE SOZIALFORSCHUNG</t>
  </si>
  <si>
    <t>Cold War history; environmental history; Antarctic Treaty System; earth governance; global environment</t>
  </si>
  <si>
    <t>COLD-WAR; GREENLAND</t>
  </si>
  <si>
    <t>Gondwanas Versprechen: Deutsche Geologen in der Antarktis zwischen Grundlagenforschung und Rohstoffsuche in den spaten 1970er Jahren. The 1970s was a crucial period of transition in polar science, when Antarctica, as the continent defined by and for science (Elzinga 1993), was intrinsically linked with economic interests and global environmental concerns. This shift towards a resource-oriented research agenda will be examined in the case of the Federal Republic of Germany and its GANOVEX (German Antarctic North Victoria Land Expedition) Expeditions. They started in 1979 and aimed to erase the last blank spots on the geological map of Antarctica and thus prove that Germany can attain consultative status in the Antarctic Treaty System (ATS). In this context, scientists played a key role in negotiating the possibilities and limits of resource exploration in the late 19705. I will discuss the so-called Gondwana hypothesis and its role in resource-driven research and argue that global geopolitical interests in new resource potentials motivated the geological mapping of Antarctica.</t>
  </si>
  <si>
    <t>Univ Fed Armed Forces Hamburg, Helmut Schmidt Univ, Lehrstuhl Neuere Sozial Wirtschafts &amp; Tech Geschi, D-22043 Hamburg, Germany</t>
  </si>
  <si>
    <t>Helmut Schmidt University</t>
  </si>
  <si>
    <t>Kehrt, C (corresponding author), Univ Fed Armed Forces Hamburg, Helmut Schmidt Univ, Lehrstuhl Neuere Sozial Wirtschafts &amp; Tech Geschi, Holstenhofweg 85, D-22043 Hamburg, Germany.</t>
  </si>
  <si>
    <t>kehrt@hsu-hh.de</t>
  </si>
  <si>
    <t>GESIS LEIBNIZ INST SOCIAL SCIENCES</t>
  </si>
  <si>
    <t>COLOGNE</t>
  </si>
  <si>
    <t>UNTER SACHSENHAUSEN 6-8, COLOGNE, D-50667, GERMANY</t>
  </si>
  <si>
    <t>0172-6404</t>
  </si>
  <si>
    <t>HIST SOC RES</t>
  </si>
  <si>
    <t>Hist. Soc. Res.</t>
  </si>
  <si>
    <t>SI</t>
  </si>
  <si>
    <t>History; History Of Social Sciences; Industrial Relations &amp; Labor; Social Sciences, Interdisciplinary</t>
  </si>
  <si>
    <t>History; Social Sciences - Other Topics; Business &amp; Economics</t>
  </si>
  <si>
    <t>CF4LK</t>
  </si>
  <si>
    <t>WOS:000352520400010</t>
  </si>
  <si>
    <t>Slemr, F; Angot, H; Dommergue, A; Magand, O; Barret, M; Weigelt, A; Ebinghaus, R; Brunke, EG; Pfaffhuber, KA; Edwards, G; Howard, D; Powell, J; Keywood, M; Wang, F</t>
  </si>
  <si>
    <t>Slemr, F.; Angot, H.; Dommergue, A.; Magand, O.; Barret, M.; Weigelt, A.; Ebinghaus, R.; Brunke, E. -G.; Pfaffhuber, K. A.; Edwards, G.; Howard, D.; Powell, J.; Keywood, M.; Wang, F.</t>
  </si>
  <si>
    <t>Comparison of mercury concentrations measured at several sites in the Southern Hemisphere</t>
  </si>
  <si>
    <t>REACTIVE GASEOUS MERCURY; MARINE BOUNDARY-LAYER; ATMOSPHERIC MERCURY; OXIDIZED MERCURY; COASTAL SITE; CAPE-POINT; MACE HEAD; SPECIATION; EMISSIONS; AFRICA</t>
  </si>
  <si>
    <t>Our knowledge of the distribution of mercury concentrations in air of the Southern Hemisphere was until recently based mostly on intermittent measurements made during ship cruises. In the last few years continuous mercury monitoring has commenced at several sites in the Southern Hemisphere, providing new and more refined information. In this paper we compare mercury measurements at several remote sites in the Southern Hemisphere made over a period of at least 1 year at each location. Averages of monthly medians show similar although small seasonal variations at both Cape Point and Amsterdam Island. A pronounced seasonal variation at Troll research station in Antarctica is due to frequent mercury depletion events in the austral spring. Due to large scatter and large standard deviations of monthly average median mercury concentrations at Cape Grim, no systematic seasonal variation could be found there. Nevertheless, the annual average mercury concentrations at all sites during the 2007-2013 period varied only between 0.85 and 1.05 ng m(-3). Part of this variability is likely due to systematic measurement uncertainties which we propose can be further reduced by improved calibration procedures. We conclude that mercury is much more uniformly distributed throughout the Southern Hemisphere than the distributions suggested by measurements made onboard ships. This finding implies that smaller trends can be detected in shorter time periods. We also report a change in the trend sign at Cape Point from decreasing mercury concentrations in 1996-2004 to increasing concentrations since 2007.</t>
  </si>
  <si>
    <t>[Slemr, F.] Max Planck Inst Chem, D-55128 Mainz, Germany; [Angot, H.; Dommergue, A.; Barret, M.] Univ Grenoble Alpes, LGGE, F-38041 Grenoble, France; [Dommergue, A.; Magand, O.; Barret, M.] CNRS, LGGE, F-38041 Grenoble, France; [Weigelt, A.; Ebinghaus, R.] Helmholtz Zentrum Geesthacht HZG, Inst Coastal Res, D-21502 Geesthacht, Germany; [Brunke, E. -G.] CSIR, South African Weather Serv, ZA-7599 Stellenbosch, South Africa; [Pfaffhuber, K. A.] Norwegian Inst Air Res NILU, N-2027 Kjeller, Norway; [Edwards, G.; Howard, D.] Macquarie Univ, Environm Sci, Sydney, NSW 2109, Australia; [Powell, J.; Keywood, M.] CSIRO Ocean &amp; Atmosphere Flagship Res, Aspendale, Vic, Australia; [Wang, F.] Univ Manitoba, Dept Geog &amp; Environm, Ctr Earth Observat Sci, Winnipeg, MB R3T 2N2, Canada</t>
  </si>
  <si>
    <t>Max Planck Society; Communaute Universite Grenoble Alpes; Universite Grenoble Alpes (UGA); Centre National de la Recherche Scientifique (CNRS); Communaute Universite Grenoble Alpes; Universite Grenoble Alpes (UGA); Helmholtz Association; Helmholtz-Zentrum Hereon; South African Weather Service (SAWS); Council for Scientific &amp; Industrial Research (CSIR) - South Africa; NILU; Macquarie University; Commonwealth Scientific &amp; Industrial Research Organisation (CSIRO); University of Manitoba</t>
  </si>
  <si>
    <t>Slemr, F (corresponding author), Max Planck Inst Chem, Hahn Meitner Weg 1, D-55128 Mainz, Germany.</t>
  </si>
  <si>
    <t>franz.slemr@mpic.de</t>
  </si>
  <si>
    <t>Pfaffhuber, Katrine Aspmo/G-9334-2017; dommergue, aurelien/HLP-6539-2023; Wang, Feiyue/E-4147-2012; Dommergue, Aurelien/A-2829-2009; keywood, melita/C-5139-2011</t>
  </si>
  <si>
    <t>dommergue, aurelien/0000-0002-8185-9604; Wang, Feiyue/0000-0001-5297-0859; Dommergue, Aurelien/0000-0002-8185-9604; keywood, melita/0000-0001-9953-6806</t>
  </si>
  <si>
    <t>French Polar Institute IPEV [1028]; Labex OSUG@2020 [ANR10 LABX56]; LEFE CNRS/INSU (program SAMOA); Australian Bureau of Meteorology in Australia; CSIRO; Cape Grim Science program student scholarship program; Norwegian Antarctic Research Expeditions (NARE) programme</t>
  </si>
  <si>
    <t>French Polar Institute IPEV; Labex OSUG@2020; LEFE CNRS/INSU (program SAMOA); Australian Bureau of Meteorology in Australia; CSIRO(Commonwealth Scientific &amp; Industrial Research Organisation (CSIRO)); Cape Grim Science program student scholarship program; Norwegian Antarctic Research Expeditions (NARE) programme</t>
  </si>
  <si>
    <t>This work contributes to European Community FP7 project Global Mercury Observation System (GMOS). For Amsterdam Island, logistical support and financial support were provided by French Polar Institute IPEV (program 1028, GMOStral). Financial support was also provided by a grant from Labex OSUG@2020 (ANR10 LABX56) and LEFE CNRS/INSU (program SAMOA). We deeply thank the overwintering staff: B. Bouillard, J. Chastain, E. Coz, A. Croguennoc, M. Le Dreau, and V. Lucaire. Aurelien Dommergue acknowledges the Institut Universitaire de France. The Australian Bureau of Meteorology in Australia and CSIRO are also thanked for their continuous support of Cape Grim station. We also sincerely thank the staff at Cape Grim, S. Cleland, J. Ward, N. Sommerville and S. Baley. We acknowledge the support of the Cape Grim Science program student scholarship program. For Troll, financial support to sustain measurements is given through the Norwegian Antarctic Research Expeditions (NARE) programme administered by the Norwegian Polar Institute (NPI). We are very grateful for the technical support offered by the overwintering NPI staff at Troll. The NILU field team, but especially Jan H. Wasseng, is thanked for annual maintenance of the equipment at the Troll station.</t>
  </si>
  <si>
    <t>10.5194/acp-15-3125-2015</t>
  </si>
  <si>
    <t>CE9IN</t>
  </si>
  <si>
    <t>Green Accepted, Green Submitted, gold</t>
  </si>
  <si>
    <t>WOS:000352157600010</t>
  </si>
  <si>
    <t>Stone, K; Tully, MB; Rhodes, SK; Schofield, R</t>
  </si>
  <si>
    <t>Stone, K.; Tully, M. B.; Rhodes, S. K.; Schofield, R.</t>
  </si>
  <si>
    <t>A new Dobson Umkehr ozone profile retrieval method optimising information content and resolution</t>
  </si>
  <si>
    <t>ABSORPTION CROSS-SECTIONS; DATABASE</t>
  </si>
  <si>
    <t>The standard Dobson Umkehr methodology to retrieve coarse-resolution ozone profiles used by the National Oceanographic and Atmospheric Administration uses designated solar zenith angles (SZAs). However, some information may be lost if measurements lie outside the designated SZA range (between 60A degrees and 90A degrees), or do not conform to the fitting technique. Also, while Umkehr measurements can be taken using multiple wavelength pairs (A, C and D), past retrieval methods have focused on a single pair (C). Here we present an Umkehr inversion method that uses measurements at all SZAs (termed operational) and all wavelength pairs. (Although, we caution direct comparison to other algorithms.) Information content for a Melbourne, Australia (38A degrees S, 145A degrees E) Umkehr measurement case study from 28 January 1994, with SZA range similar to that designated in previous algorithms is shown. When comparing the typical single wavelength pair with designated SZAs to the operational measurements, the total degrees of freedom (independent pieces of information) increases from 3.1 to 3.4, with the majority of the information gain originating from Umkehr layers 2 + 3 and 4 (10-20 km and 25-30 km respectively). In addition to this, using all available wavelength pairs increases the total degrees of freedom to 5.2, with the most significant increases in Umkehr layers 2 + 3 to 7 and 9+ (10-40 and 45-80 km). Investigating a case from 13 April 1970 where the measurements extend beyond the 90A degrees SZA range gives further information gain, with total degrees of freedom extending to 6.5. Similar increases are seen in the information content. Comparing the retrieved Melbourne Umkehr time series with ozonesondes shows excellent agreement in layers 2 + 3 and 4 (10-20 and 25-30 km) for both C and A + C + D-pairs. Retrievals in layers 5 and 6 (25-30 and 30-35 km) consistently show lower ozone partial column compared to ozonesondes. This is likely due to stray light effects that are not accounted for in the forward model, and under represented stratospheric aerosol.</t>
  </si>
  <si>
    <t>[Stone, K.; Schofield, R.] Univ Melbourne, Sch Earth Sci, Melbourne, Vic 3010, Australia; [Stone, K.; Schofield, R.] Univ New S Wales, ARC Ctr Excellence Climate Syst Sci, Sydney, NSW 2052, Australia; [Tully, M. B.; Rhodes, S. K.] Bur Meteorol, Melbourne, Vic 3001, Australia</t>
  </si>
  <si>
    <t>University of Melbourne; Melbourne Bioinformatics; University of New South Wales Sydney; ARC Centre of Excellence for Climate System Science; Bureau of Meteorology - Australia</t>
  </si>
  <si>
    <t>Stone, K (corresponding author), Univ Melbourne, Sch Earth Sci, Melbourne, Vic 3010, Australia.</t>
  </si>
  <si>
    <t>k.stone4@student.unimelb.edu.au</t>
  </si>
  <si>
    <t>Tully, Matthew/AAG-1730-2020; Schofield, Robyn/A-4062-2010</t>
  </si>
  <si>
    <t>Tully, Matthew/0000-0002-6153-5610; Schofield, Robyn/0000-0002-4230-717X</t>
  </si>
  <si>
    <t>Australian Research Council's Centre of Excellence for Climate System Science [CE110001028]; Australian Bureau of Meteorology; Australian Government's Australian Antarctic Science Grant Program [FoRCES 4012]; Commonwealth Department of the Environment [2011/16853]</t>
  </si>
  <si>
    <t>Australian Research Council's Centre of Excellence for Climate System Science(Australian Research Council); Australian Bureau of Meteorology; Australian Government's Australian Antarctic Science Grant Program(Australian Government); Commonwealth Department of the Environment</t>
  </si>
  <si>
    <t>This work was supported through funding by the Australian Research Council's Centre of Excellence for Climate System Science (CE110001028), the Australian Bureau of Meteorology, the Australian Government's Australian Antarctic Science Grant Program (FoRCES 4012), and the Commonwealth Department of the Environment (grant 2011/16853). The authors wish to thank all current and past observers at the Bureau of Meteorology and, previously, CSIRO, for taking the Umkehr observations on which this work is based. The authors are also grateful to S. Jacobs (Monash University) for the digitisation of the historical Melbourne Umkehr data.</t>
  </si>
  <si>
    <t>10.5194/amt-8-1043-2015</t>
  </si>
  <si>
    <t>CE9IT</t>
  </si>
  <si>
    <t>WOS:000352158300003</t>
  </si>
  <si>
    <t>Cauquoin, A; Landais, A; Raisbeck, GM; Jouzel, J; Bazin, L; Kageyama, M; Peterschmitt, JY; Werner, M; Bard, E</t>
  </si>
  <si>
    <t>Cauquoin, A.; Landais, A.; Raisbeck, G. M.; Jouzel, J.; Bazin, L.; Kageyama, M.; Peterschmitt, J. -Y.; Werner, M.; Bard, E.</t>
  </si>
  <si>
    <t>ASTER Team</t>
  </si>
  <si>
    <t>Comparing past accumulation rate reconstructions in East Antarctic ice cores using 10Be, water isotopes and CMIP5-PMIP3 models</t>
  </si>
  <si>
    <t>EPICA DOME-C; CHRONOLOGY AICC2012; CLIMATE VARIABILITY; AIR CONTENT; VOSTOK; TEMPERATURE; CALIBRATION; GREENLAND; DEUTERIUM; RECORD</t>
  </si>
  <si>
    <t>Ice cores are exceptional archives which allow us to reconstruct a wealth of climatic parameters as well as past atmospheric composition over the last 800 kyr in Antarctica. Inferring the variations in past accumulation rate in polar regions is essential both for documenting past climate and for ice core chronology. On the East Antarctic Plateau, the accumulation rate is so small that annual layers cannot be identified and accumulation rate is mainly deduced from the water isotopic composition assuming constant temporal relationships between temperature, water isotopic composition and accumulation rate. Such an assumption leads to large uncertainties on the reconstructed past accumulation rate. Here, we use high-resolution beryllium-10 (Be-10) as an alternative tool for inferring past accumulation rate for the EPICA Dome C ice core, in East Antarctica. We present a high-resolution Be-10 record covering a full climatic cycle over the period 269 to 355 ka from Marine Isotope Stage (MIS) 9 to 10, including a period warmer than pre-industrial (MIS 9.3 optimum). After correcting Be-10 for the estimated effect of the palaeomagnetic field, we deduce that the Be-10 reconstruction is in reasonably good agreement with EDC3 values for the full cycle except for the period warmer than present. For the latter, the accumulation is up to 13% larger (4.46 cm ie yr(-1) instead of 3.95). This result is in agreement with the studies suggesting an underestimation of the deuterium-based accumulation for the optimum of the Holocene (Parrenin et al. 2007a). Using the relationship between accumulation rate and surface temperature from the saturation vapour relationship, the Be-10-based accumulation rate reconstruction suggests that the temperature increase between the MIS 9.3 optimum and present day may be 2.4 K warmer than estimated by the water isotopes reconstruction. We compare these reconstructions to the available model results from CMIP5-PMIP3 for a glacial and an interglacial state, i.e. for the Last Glacial Maximum and pre-industrial climates. While 3 out of 7 models show relatively good agreement with the reconstructions of the accumulation-temperature relationships based on Be-10 and water isotopes, the other models either underestimate or overestimate it, resulting in a range of model results much larger than the range of the reconstructions. Indeed, the models can encounter some difficulties in simulating precipitation changes linked with temperature or water isotope content on the East Antarctic Plateau during glacial-interglacial transition and need to be improved in the future.</t>
  </si>
  <si>
    <t>[Cauquoin, A.; Landais, A.; Jouzel, J.; Bazin, L.; Kageyama, M.; Peterschmitt, J. -Y.] CEA Saclay Orme Merisiers, CEA CNRS UVSQ, Lab Sci Climat &amp; Environm LSCE IPSL, F-91191 Gif Sur Yvette, France; [Raisbeck, G. M.] Univ Paris 11, UMR CNRS 8609, CSNSM, F-91405 Orsay, France; [Werner, M.] Alfred Wegener Inst Polar &amp; Marine Res AWI, D-27570 Bremerhaven, Germany; [Bard, E.; ASTER Team] Aix Marseille Univ, CNRS IRD Coll France, UM CEREGE 34, F-13545 Aix En Provence, France</t>
  </si>
  <si>
    <t>Universite Paris Saclay; CEA; Centre National de la Recherche Scientifique (CNRS); Universite Paris Saclay; Helmholtz Association; Alfred Wegener Institute, Helmholtz Centre for Polar &amp; Marine Research; Universite PSL; College de France; Institut de Recherche pour le Developpement (IRD); Aix-Marseille Universite</t>
  </si>
  <si>
    <t>Cauquoin, A (corresponding author), CEA Saclay Orme Merisiers, CEA CNRS UVSQ, Lab Sci Climat &amp; Environm LSCE IPSL, F-91191 Gif Sur Yvette, France.</t>
  </si>
  <si>
    <t>alexandre.cauquoin@lmd.jussieu.fr</t>
  </si>
  <si>
    <t>Cauquoin, Alexandre/HCH-9930-2022; Cauquoin, Alexandre/N-4579-2015; Werner, Martin/C-8067-2014; Kageyama, Masa/F-2389-2010</t>
  </si>
  <si>
    <t>Cauquoin, Alexandre/0000-0002-4620-4696; Cauquoin, Alexandre/0000-0002-4620-4696; Werner, Martin/0000-0002-6473-0243; Kageyama, Masa/0000-0003-0822-5880; LANDAIS, Amaelle/0000-0002-5620-5465; Bazin, Lucie/0000-0003-4808-4090; Peterschmitt, Jean-Yves/0000-0003-3486-3157</t>
  </si>
  <si>
    <t>EC; French ANR project Dome A; ERC grant COMBINISO [306045]; INSU/CNRS; ANR through the Projets thematiques d'excellence programme for the Equipements d'Excellence ASTER-CEREGE action; IRD; CEA; European Research Council (ERC) [306045] Funding Source: European Research Council (ERC)</t>
  </si>
  <si>
    <t>EC(European Union (EU)European Commission Joint Research Centre); French ANR project Dome A(Agence Nationale de la Recherche (ANR)); ERC grant COMBINISO(European Research Council (ERC)); INSU/CNRS(Centre National de la Recherche Scientifique (CNRS)); ANR through the Projets thematiques d'excellence programme for the Equipements d'Excellence ASTER-CEREGE action(Agence Nationale de la Recherche (ANR)); IRD; CEA(French Atomic Energy Commission); European Research Council (ERC)(European Research Council (ERC)Spanish Government)</t>
  </si>
  <si>
    <t>We acknowledge F. Parrenin, L. Sime and one anonymous referee for their useful comments, which helped to improve this manuscript. This work is a contribution to the European Project for Ice Coring in Antarctica (EPICA), a joint European Science Foundation/European Commission (EC) scientific programme, funded by the EC and by national contributions from Belgium, Denmark, France, Germany, Italy, the Netherlands, Norway, Sweden, Switzerland and the UK. The main logistic support was provided by IPEV and PNRA. We acknowledge the World Climate Research Programme's Working Group on Coupled Modelling, which is responsible for CMIP and the Paleoclimate Modelling Intercomparison Project (PMIP). We thank the climate modelling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This work was funded by the French ANR project Dome A and through ERC grant COMBINISO (project no. 306045). The ASTER AMS national facility (CEREGE, Aix en Provence) is supported by the INSU/CNRS, and the ANR through the Projets thematiques d'excellence programme for the Equipements d'Excellence ASTER-CEREGE action, IRD, and CEA.</t>
  </si>
  <si>
    <t>10.5194/cp-11-355-2015</t>
  </si>
  <si>
    <t>CE9JJ</t>
  </si>
  <si>
    <t>WOS:000352159900001</t>
  </si>
  <si>
    <t>Radke, LC; Li, J; Douglas, G; Przeslawski, R; Nichol, S; Siwabessy, J; Huang, Z; Trafford, J; Watson, T; Whiteway, T</t>
  </si>
  <si>
    <t>Radke, Lynda C.; Li, Jin; Douglas, Grant; Przeslawski, Rachel; Nichol, Scott; Siwabessy, Justy; Huang, Zhi; Trafford, Janice; Watson, Tony; Whiteway, Tanya</t>
  </si>
  <si>
    <t>Characterising sediments of a tropical sediment- starved shelf using cluster analysis of physical and geochemical variables</t>
  </si>
  <si>
    <t>ENVIRONMENTAL CHEMISTRY</t>
  </si>
  <si>
    <t>ANOSIM; backscatter; carbonate banks; Commonwealth Marine Reserve; conceptual model; epifauna; marine; rare earth elements; subsurface seepage.</t>
  </si>
  <si>
    <t>ORGANIC-MATTER; MARINE-SEDIMENTS; BENTHIC BIODIVERSITY; CARBONIC-ACID; SEA; PHOSPHORUS; AUSTRALIA; DISSOCIATION; SURROGATES; REGRESSION</t>
  </si>
  <si>
    <t>Baseline information on habitats is required to manage Australia's northern tropical marine estate. This study aims to develop an improved understanding of seafloor environments of the Timor Sea. Clustering methods were applied to a large data set comprising physical and geochemical variables that describe organic matter (OM) reactivity, quantity and source, and geochemical processes. Arthropoda (infauna) were used to assess different groupings. Clusters based on physical and geochemical data discriminated arthropods better than geomorphic features. Major variations among clusters included grain size and a cross-shelf transition from authigenic-Mn-As enrichments (inner shelf) to authigenic-P enrichment (outer shelf). Groups comprising raised features had the highest reactive OM concentrations (e. g. low chlorin indices and C : N ratios, and high reaction rate coefficients) and benthic algal d 13 C signatures. Surface area-normalised OM concentrations higher than continental shelf norms were observed in association with: (i) low delta N-15, inferring Trichodesmium input; and (ii) pockmarks, which impart bottom-up controls on seabed chemistry and cause inconsistencies between bulk and pigment OM pools. Low Shannon-Wiener diversity occurred in association with low redox and porewater pH and published evidence for high energy. Highest beta-diversity was observed at euphotic depths. Geochemical data and clustering methods used here provide insight into ecosystem processes that likely influence biodiversity patterns in the region.</t>
  </si>
  <si>
    <t>[Radke, Lynda C.; Li, Jin; Przeslawski, Rachel; Nichol, Scott; Siwabessy, Justy; Huang, Zhi; Trafford, Janice; Watson, Tony; Whiteway, Tanya] Geosci Australia, Coastal Marine &amp; Climate Change Grp, Canberra, ACT 2601, Australia; [Douglas, Grant] CSIRO Land &amp; Water, Wembley, WA 6913, Australia</t>
  </si>
  <si>
    <t>Geoscience Australia; Commonwealth Scientific &amp; Industrial Research Organisation (CSIRO)</t>
  </si>
  <si>
    <t>Radke, LC (corresponding author), Geosci Australia, Coastal Marine &amp; Climate Change Grp, GPO Box 378, Canberra, ACT 2601, Australia.</t>
  </si>
  <si>
    <t>lynda.radke@ga.gov.au</t>
  </si>
  <si>
    <t>Douglas, Grant/A-5632-2008; Siwabessy, Justy/I-1818-2019; Przeslawski, Rachel/IRZ-9563-2023; Huang, Zhi/I-7367-2019</t>
  </si>
  <si>
    <t>Douglas, Grant/0000-0002-9398-164X; Siwabessy, Justy/0000-0002-8399-5909; Huang, Zhi/0000-0003-1760-062X; Li, Jin/0000-0001-9339-3349; Przeslawski, Rachel/0000-0003-0269-3755</t>
  </si>
  <si>
    <t>Australian Government's National Environmental Research Program (NERP)</t>
  </si>
  <si>
    <t>Australian Government's National Environmental Research Program (NERP)(Australian Government)</t>
  </si>
  <si>
    <t>This work was undertaken for the Marine Biodiversity Hub, a collaborative partnership supported through funding from the Australian Government's National Environmental Research Program (NERP) (and previously through the Commonwealth Environment Research Facility). NERP Marine Biodiversity Hub partners include the Institute for Marine and Antarctic Studies, University of Tasmania, CSIRO, GA, Australian Institute of Marine Science, Museum Victoria, Charles Darwin University and the University of Western Australia. Thanks to the crew of the R.V. Solander and Craig Wintle (GA) for field support. Laboratory analyses were undertaken at GA by Liz Webber, Bill Pappas, Abby Loiterton, Greg O'Connell, Matthew Brown, Junhong Chen and Billie Poignand, and at Environmental Isotopes Pty Ltd (Sydney) by Anita Andrew. Thanks also to Angus Ferguson for providing advice on Chl-a methods, Lachlan Hatch for calculating distances to the mainland in GIS and Bianca Reese and Theo Chiotis for drafting the figures. The manuscript was improved thanks to constructive reviews by Jodie Smith, Nic Bax, Jonathan Clarke and two anonymous reviewers. This manuscript is published with permission of the CEO, Geoscience Australia.</t>
  </si>
  <si>
    <t>1448-2517</t>
  </si>
  <si>
    <t>1449-8979</t>
  </si>
  <si>
    <t>ENVIRON CHEM</t>
  </si>
  <si>
    <t>Environ. Chem.</t>
  </si>
  <si>
    <t>10.1071/EN14126</t>
  </si>
  <si>
    <t>CE7EB</t>
  </si>
  <si>
    <t>WOS:000351999300013</t>
  </si>
  <si>
    <t>Bashmachnikov, I; Neves, F; Nascimento, A; Medeiros, J; Ambar, I; Dias, J; Carton, X</t>
  </si>
  <si>
    <t>Bashmachnikov, I.; Neves, F.; Nascimento, A.; Medeiros, J.; Ambar, I.; Dias, J.; Carton, X.</t>
  </si>
  <si>
    <t>Temperature-salinity distribution in the northeastern Atlantic from ship and Argo vertical casts</t>
  </si>
  <si>
    <t>OCEAN SCIENCE</t>
  </si>
  <si>
    <t>EASTERN NORTH-ATLANTIC; ANTARCTIC INTERMEDIATE WATER; AZORES CURRENT; PHYSICAL OCEANOGRAPHY; MEDITERRANEAN WATER; SATELLITE ALTIMETRY; CIRCULATION; OCEAN; VARIABILITY; EDDIES</t>
  </si>
  <si>
    <t>The present study defines new interpolation functions for hydrological data. These functions are applied to generate climatological maps of temperature-salinity distribution with a 25 m depth interval and a 30 km space interval (MEDTRANS data set). The data undergo rigorous initial data quality control, having passed several filtering procedures. The gridding is done on neutral density surfaces, which allows better representation of thermohaline fronts for the same gridding radius. The multi-pass Barnes optimum interpolation procedure with spatially variable size of the gridding window is used. The shape of the window accounts for the dominant along-isobath direction of water mass transport over steeply sloping topography. A local ratio of topographic to planetary beta-effects is used to define the shape of the window as a function of the relative importance of the topographic influence. The N / f ratio is applied to account for the baroclinic compensation decay of the topographic influence on water mass transport with the distance from the bottom. The gridded fields are available at the website of the Centre of Oceanography of the University of Lisbon (http://co.fc.ul.pt/en/data). The MEDTRANS climatology gives more details of the distribution of water characteristics in the subtropical northeastern Atlantic than other alternative climatologies and is able to reproduce a number of dynamic features described in the literature: the acceleration in the meanders of the Azores current; the cyclonic gyre in the Gulf of Cadiz; and the splitting and separation of the Mediterranean Water (MW) out-flow in two veins near the Gorringe and Galicia banks. Seasonal climatologies, computed for the warm (May-October) and cold (November-April) seasons, reveal stronger zonal extension of the upper ocean patterns during the warm season, as compared to the cold one.</t>
  </si>
  <si>
    <t>[Bashmachnikov, I.; Neves, F.; Nascimento, A.; Medeiros, J.; Ambar, I.; Dias, J.] Univ Lisbon, Fac Ciencias, Ctr Oceanog, MARE Marine &amp; Environm Sci Ctr, P-1749016 Lisbon, Portugal; [Bashmachnikov, I.; Ambar, I.; Dias, J.] Univ Lisbon, Fac Ciencias, DEGGE, P-1749016 Lisbon, Portugal; [Carton, X.] Univ Bretagne Occidentale, Lab Phys Oceans, UMR 6523, F-29200 Brest, France</t>
  </si>
  <si>
    <t>Universidade de Lisboa; Universidade de Lisboa; Universite de Bretagne Occidentale; Centre National de la Recherche Scientifique (CNRS); CNRS - National Institute for Earth Sciences &amp; Astronomy (INSU); Ifremer; Institut de Recherche pour le Developpement (IRD)</t>
  </si>
  <si>
    <t>Bashmachnikov, I (corresponding author), Univ Lisbon, Fac Ciencias, Ctr Oceanog, MARE Marine &amp; Environm Sci Ctr, Campo Grande, P-1749016 Lisbon, Portugal.</t>
  </si>
  <si>
    <t>igorb@fc.ul.pt</t>
  </si>
  <si>
    <t>Bashmachnikov, Igor/B-2879-2012; Dias, Joaquim/KEI-4013-2024; Neves, Filipe/B-3712-2012; Ambar, Isabel LSA/B-2334-2012; Medeiros, João Paulo S/B-1729-2012; carton, xavier j/A-1895-2016; Dias, Joaquim G. H./B-5173-2012</t>
  </si>
  <si>
    <t>Bashmachnikov, Igor/0000-0002-1257-4197; Dias, Joaquim G. H./0000-0002-1079-0881; ambar, isabel/0000-0003-2514-2753</t>
  </si>
  <si>
    <t>Portuguese Foundation for Science and Technology (FCT) [PTDC/MAR/117265/2010]; MARE - Marine and Environmental Sciences Centre of Oceanography of the University of Lisbon [CO-Pest-OE/MAR/UI0199/2011]; Foundation for Science and Technology (FCT) [C2008-UL-CO-3]; University of Lisbon (UL) [C2008-UL-CO-3]; Fundação para a Ciência e a Tecnologia [PTDC/MAR/117265/2010] Funding Source: FCT</t>
  </si>
  <si>
    <t>Portuguese Foundation for Science and Technology (FCT)(Fundacao para a Ciencia e a Tecnologia (FCT)); MARE - Marine and Environmental Sciences Centre of Oceanography of the University of Lisbon; Foundation for Science and Technology (FCT)(Fundacao para a Ciencia e a Tecnologia (FCT)); University of Lisbon (UL); Fundação para a Ciência e a Tecnologia(Fundacao para a Ciencia e a Tecnologia (FCT))</t>
  </si>
  <si>
    <t>The authors acknowledge the MEDTRANS scientific project (PTDC/MAR/117265/2010), sponsored by the Portuguese Foundation for Science and Technology (FCT) and the MARE - Marine and Environmental Sciences Centre of Oceanography of the University of Lisbon (CO-Pest-OE/MAR/UI0199/2011). I. Bashmachnikov also acknowledges contract C2008-UL-CO-3 of Ciencia 2008 between the Foundation for Science and Technology (FCT) and the University of Lisbon (UL).</t>
  </si>
  <si>
    <t>1812-0784</t>
  </si>
  <si>
    <t>OCEAN SCI</t>
  </si>
  <si>
    <t>Ocean Sci.</t>
  </si>
  <si>
    <t>10.5194/os-11-215-2015</t>
  </si>
  <si>
    <t>Meteorology &amp; Atmospheric Sciences; Oceanography</t>
  </si>
  <si>
    <t>CF3ZS</t>
  </si>
  <si>
    <t>gold, Green Submitted, Green Published</t>
  </si>
  <si>
    <t>WOS:000352488400001</t>
  </si>
  <si>
    <t>Fourquez, M; Obernosterer, I; Davies, DM; Trull, TW; Blain, S</t>
  </si>
  <si>
    <t>Fourquez, M.; Obernosterer, I.; Davies, D. M.; Trull, T. W.; Blain, S.</t>
  </si>
  <si>
    <t>Microbial iron uptake in the naturally fertilized waters in the vicinity of the Kerguelen Islands: phytoplankton-bacteria interactions</t>
  </si>
  <si>
    <t>SOUTHERN-OCEAN PHYTOPLANKTON; HETEROTROPHIC BACTERIA; MARINE-PHYTOPLANKTON; BIOGENIC IRON; CARBON; GROWTH; LIMITATION; NITROGEN; COASTAL; LIGHT</t>
  </si>
  <si>
    <t>Iron (Fe) uptake by the microbial community and the contribution of three different size fractions was determined during spring phytoplankton blooms in the naturally Fe-fertilized area off the Kerguelen Islands (KEOPS2). Total Fe uptake in surface waters was on average 34 +/- 6 pmol Fe L-1 d(-1), and microplankton (&gt;25 mu m size fraction; 40-69%) and pico-nanoplankton (0.8-25 mu m size fraction; 29-59 %) were the main contributors. The contribution of heterotrophic bacteria (0.2-0.8 mu m size fraction) to total Fe uptake was low at all stations (1-2 %). Iron uptake rates normalized to carbon biomass were highest for pico-nanoplankton above the Kerguelen Plateau and for microplankton in the downstream plume. We also investigated the potential competition between heterotrophic bacteria and phytoplankton for the access to Fe. Bacterial Fe uptake rates normalized to carbon biomass were highest in incubations with bacteria alone, and dropped in incubations containing other components of the microbial community Interestingly, the decrease in bacterial Fe uptake rate (up to 26-fold) was most pronounced in incubations containing pico-nanoplankton and bacteria, while the bacterial Fe uptake was only reduced by 2- to 8-fold in incubations containing the whole community (bacteria + pico-nanoplankton + microplankton). In Fe-fertilized waters, the bacterial Fe uptake rates normalized to carbon biomass were positively correlated with primary production. Taken together, these results suggest that heterotrophic bacteria are outcompeted by small-sized phytoplankton cells for the access to Fe during the spring bloom development, most likely due to the limitation by organic matter. We conclude that the Fe and carbon cycles are tightly coupled and driven by a complex interplay of competition and synergy between different members of the microbial community.</t>
  </si>
  <si>
    <t>[Fourquez, M.] Univ Tasmania, Inst Marine &amp; Antarctic Studies, Hobart, Tas 7001, Australia; [Fourquez, M.; Obernosterer, I.; Blain, S.] Univ Paris 06, Sorbonne Univ, Observ Oceanol, UMR 7621,Lab Oceanog Microbienne, F-66650 Banyuls Sur Mer, France; [Fourquez, M.; Obernosterer, I.; Blain, S.] CNRS, UMR 7621, Observ Oceanol, Lab Oceanog Microbienne, F-66650 Banyuls Sur Mer, France; [Davies, D. M.; Trull, T. W.] CSIRO Oceans &amp; Climate Flagship, Hobart, Tas 7001, Australia; [Davies, D. M.; Trull, T. W.] Antarctic Climate &amp; Ecosyst Cooperat Res Ctr, Hobart, Tas 7001, Australia</t>
  </si>
  <si>
    <t>University of Tasmania; Centre National de la Recherche Scientifique (CNRS); CNRS - National Institute for Earth Sciences &amp; Astronomy (INSU); Sorbonne Universite; Sorbonne Universite; Centre National de la Recherche Scientifique (CNRS); CNRS - National Institute for Earth Sciences &amp; Astronomy (INSU); Commonwealth Scientific &amp; Industrial Research Organisation (CSIRO); Antarctic Climate &amp; Ecosystems Cooperative Research Centre (ACE CRC)</t>
  </si>
  <si>
    <t>Fourquez, M (corresponding author), Univ Tasmania, Inst Marine &amp; Antarctic Studies, Hobart, Tas 7001, Australia.</t>
  </si>
  <si>
    <t>marion.fourquez@utas.edu.au</t>
  </si>
  <si>
    <t>Obernosterer, Ingrid/A-5434-2011; Trull, Tom W/B-7028-2014; blain, stephane/F-6917-2010</t>
  </si>
  <si>
    <t>Obernosterer, Ingrid/0000-0002-2530-8111; blain, stephane/0000-0002-5234-2446; Fourquez, Marion/0000-0001-5395-4877; Davies, Diana M./0000-0001-6304-3938</t>
  </si>
  <si>
    <t>French research programme of INSU-CNRS LEFE-CYBER (Les enveloppes fluides et l'environnement - Cycles biogeochimiques, environnement et ressources); French ANR (Agence Nationale de la Recherche) [ANR-10-BLAN-0614]; French CNES (Centre National d'Etudes Spatiales); French Polar Institute IPEV (Institut Polaire Paul-Emile Victor)</t>
  </si>
  <si>
    <t>French research programme of INSU-CNRS LEFE-CYBER (Les enveloppes fluides et l'environnement - Cycles biogeochimiques, environnement et ressources); French ANR (Agence Nationale de la Recherche)(Agence Nationale de la Recherche (ANR)); French CNES (Centre National d'Etudes Spatiales); French Polar Institute IPEV (Institut Polaire Paul-Emile Victor)</t>
  </si>
  <si>
    <t>We would like to thank the captain, Bernard Lassiette; the chief scientist, Bernard Queguiner; and the crew of R/V Marion-Dufresne II for assistance on board. We gratefully acknowledge Emmanuel Laurenceau-Cornec for making the satellite chlorophyll animation available and Laurent Besnard for his assistance in creating Fig. 1. We thank the two anonymous reviewers, who helped to improve a previous version of the manuscript. This work was supported by the French research programme of INSU-CNRS LEFE-CYBER (Les enveloppes fluides et l'environnement - Cycles biogeochimiques, environnement et ressources), the French ANR (Agence Nationale de la Recherche, SIMI-6 programme, ANR-10-BLAN-0614), the French CNES (Centre National d'Etudes Spatiales) and the French Polar Institute IPEV (Institut Polaire Paul-Emile Victor).</t>
  </si>
  <si>
    <t>10.5194/bg-12-1893-2015</t>
  </si>
  <si>
    <t>CE8RX</t>
  </si>
  <si>
    <t>Green Submitted, gold, Green Accepted</t>
  </si>
  <si>
    <t>WOS:000352112900018</t>
  </si>
  <si>
    <t>[Anonymous]</t>
  </si>
  <si>
    <t>LAYERING OF ANTARCTIC WATERS COULD PORTEND QUICK MELTING, SEA RISE</t>
  </si>
  <si>
    <t>BULLETIN OF THE AMERICAN METEOROLOGICAL SOCIETY</t>
  </si>
  <si>
    <t>News Item</t>
  </si>
  <si>
    <t>AMER METEOROLOGICAL SOC</t>
  </si>
  <si>
    <t>BOSTON</t>
  </si>
  <si>
    <t>45 BEACON ST, BOSTON, MA 02108-3693 USA</t>
  </si>
  <si>
    <t>0003-0007</t>
  </si>
  <si>
    <t>1520-0477</t>
  </si>
  <si>
    <t>B AM METEOROL SOC</t>
  </si>
  <si>
    <t>Bull. Amer. Meteorol. Soc.</t>
  </si>
  <si>
    <t>CE0FA</t>
  </si>
  <si>
    <t>WOS:000351478700005</t>
  </si>
  <si>
    <t>Vigouroux, C; Blumenstock, T; Coffey, M; Errera, Q; García, O; Jones, NB; Hannigan, JW; Hase, F; Liley, B; Mahieu, E; Mellqvist, J; Notholt, J; Palm, M; Persson, G; Schneider, M; Servais, C; Smale, D; Thölix, L; De Mazière, M</t>
  </si>
  <si>
    <t>Vigouroux, C.; Blumenstock, T.; Coffey, M.; Errera, Q.; Garcia, O.; Jones, N. B.; Hannigan, J. W.; Hase, F.; Liley, B.; Mahieu, E.; Mellqvist, J.; Notholt, J.; Palm, M.; Persson, G.; Schneider, M.; Servais, C.; Smale, D.; Tholix, L.; De Maziere, M.</t>
  </si>
  <si>
    <t>Trends of ozone total columns and vertical distribution from FTIR observations at eight NDACC stations around the globe</t>
  </si>
  <si>
    <t>TROPOSPHERIC OZONE; HIGH-RESOLUTION; DATA SET; SAGE II; RETRIEVAL; PROFILES; VARIABILITY; STRATOSPHERE; NETWORK</t>
  </si>
  <si>
    <t>Ground-based Fourier transform infrared (FTIR) measurements of solar absorption spectra can provide ozone total columns with a precision of 2% but also independent partial column amounts in about four vertical layers, one in the troposphere and three in the stratosphere up to about 45 km, with a precision of 5-6 %. We use eight of the Network for the Detection of Atmospheric Composition Change (NDACC) stations having a long-term time series of FTIR ozone measurements to study the total and vertical ozone trends and variability, namely, Ny-Alesund (79 degrees N), Thule (77 degrees N), Kiruna (68 degrees N), Harestua (60 degrees N), Jungfraujoch (47 degrees N), Izana (28 degrees N), Wollongong (34 degrees S) and Lauder (45 degrees S). The length of the FTIR time series varies by station but is typically from about 1995 to present. We applied to the monthly means of the ozone total and four partial columns a stepwise multiple regression model including the following proxies: solar cycle, quasi-biennial oscillation (QBO), El Nino-Southern Oscillation (ENSO), Arctic and Antarctic Oscillation (AO/AAO), tropopause pressure (TP), equivalent latitude (EL), Eliassen-Palm flux (EPF), and volume of polar stratospheric clouds (VPSC). At the Arctic stations, the trends are found mostly negative in the troposphere and lower stratosphere, very mixed in the middle stratosphere, positive in the upper stratosphere due to a large increase in the 1995-2003 period, and non-significant when considering the total columns. The trends for mid-latitude and subtropical stations are all non-significant, except at Lauder in the troposphere and upper stratosphere and at Wollongong for the total columns and the lower and middle stratospheric columns where they are found positive. At Jungfraujoch, the upper stratospheric trend is close to significance (+0.9 +/- 1.0% decade(-1)). Therefore, some signs of the onset of ozone mid-latitude recovery are observed only in the Southern Hemisphere, while a few more years seem to be needed to observe it at the northern mid-latitude station.</t>
  </si>
  <si>
    <t>[Vigouroux, C.; Errera, Q.; De Maziere, M.] Belgian Inst Space Aeron BIRA IASB, Dept Atmospher Composit, Brussels, Belgium; [Blumenstock, T.; Hase, F.] Karlsruhe Inst Technol, Inst Meteorol &amp; Climate Res IMK ASF, D-76021 Karlsruhe, Germany; [Coffey, M.; Hannigan, J. W.] Natl Ctr Atmospher Res, Atmospher Chem Div, Boulder, CO 80307 USA; [Garcia, O.; Schneider, M.] Agencia Estatal Meteorol AEMET, IARC, Santa Cruz De Tenerife, Spain; [Jones, N. B.] Univ Wollongong, Ctr Atmospher Chem, Wollongong, NSW, Australia; [Liley, B.; Smale, D.] Natl Inst Water &amp; Atmospher Res Ltd NIWA, Dept Atmosphere, Lauder, New Zealand; [Mahieu, E.; Servais, C.] Univ Liege ULg, Inst Astrophys &amp; Geophys, Liege, Belgium; [Mellqvist, J.; Persson, G.] Chalmers, Dept Earth &amp; Space Sci, S-41296 Gothenburg, Sweden; [Notholt, J.; Palm, M.] Univ Bremen, Inst Environm Phys, D-28359 Bremen, Germany; [Tholix, L.] FMI, Climate Res, Helsinki, Finland</t>
  </si>
  <si>
    <t>Helmholtz Association; Karlsruhe Institute of Technology; National Center Atmospheric Research (NCAR) - USA; Agencia Estatal de Meteorologia (AEMET); Centro de Investigacion Atmosferica de Izana (CIAI); University of Wollongong; University of Liege; Chalmers University of Technology; University of Bremen</t>
  </si>
  <si>
    <t>Vigouroux, C (corresponding author), Belgian Inst Space Aeron BIRA IASB, Dept Atmospher Composit, Brussels, Belgium.</t>
  </si>
  <si>
    <t>corinne.vigouroux@aeronomie.be</t>
  </si>
  <si>
    <t>Jones, Nicholas/AFU-3135-2022; García, Omaira/M-2896-2014; Schneider, Matthias/B-1441-2013; Jones, Nicholas B/G-5575-2011; Palm, Mathias/D-9173-2017; Thölix, Laura/F-3076-2015; Blumenstock, Thomas/K-2263-2012; Notholt, Justus/P-4520-2016; Mellqvist, Johan/B-3473-2016</t>
  </si>
  <si>
    <t>Jones, Nicholas/0000-0002-0111-2368; García, Omaira/0000-0002-8395-6440; Palm, Mathias/0000-0001-7191-6911; Blumenstock, Thomas/0000-0003-4005-900X; Errera, Quentin/0000-0002-4818-4879; Mahieu, Emmanuel/0000-0002-5251-0286; Notholt, Justus/0000-0002-3324-885X; Mellqvist, Johan/0000-0002-6578-9220; Liley, Ben/0000-0002-8844-7928; Hannigan, James/0000-0002-4269-1677</t>
  </si>
  <si>
    <t>National Science Foundation; National Aeronautics and Space Administration; NSF Office of Polar Programs; Danish Meteorological Institute; F.R.S. - FNRS; Federation Wallonie-Bruxelles; International Foundation High Altitude Research Stations Jungfraujoch and Gornergrat (HFSJG, Bern); Meteoswiss; New Zealand's Ministry of Business, Innovation and Employment; EU; ESA PRODEX project A3C; AGACC-II project within the Science for a Sustainable Development research program - Belgian Science Policy Office</t>
  </si>
  <si>
    <t>National Science Foundation(National Science Foundation (NSF)); National Aeronautics and Space Administration(National Aeronautics &amp; Space Administration (NASA)); NSF Office of Polar Programs(National Science Foundation (NSF)); Danish Meteorological Institute; F.R.S. - FNRS(Fonds de la Recherche Scientifique - FNRS); Federation Wallonie-Bruxelles; International Foundation High Altitude Research Stations Jungfraujoch and Gornergrat (HFSJG, Bern); Meteoswiss; New Zealand's Ministry of Business, Innovation and Employment(New Zealand Ministry of Business, Innovation and Employment (MBIE)); EU(European Union (EU)); ESA PRODEX project A3C; AGACC-II project within the Science for a Sustainable Development research program - Belgian Science Policy Office</t>
  </si>
  <si>
    <t>The National Center for Atmospheric Research is supported by the National Science Foundation. The observation program at Thule, Greenland, is supported under contract by the National Aeronautics and Space Administration and the site is also supported by the NSF Office of Polar Programs. We wish to thank the Danish Meteorological Institute for support at Thule. We would like to thank U. Raffalski and P. Volger for technical support at IRF Kiruna. The University of Liege team acknowledges the support of the F.R.S. - FNRS, the Federation Wallonie-Bruxelles, the International Foundation High Altitude Research Stations Jungfraujoch and Gornergrat (HFSJG, Bern) and Meteoswiss. The NIWA Lauder MIR-FTIR project is core-funded through New Zealand's Ministry of Business, Innovation and Employment. We are grateful to the many colleagues having contributed to FTIR data acquisition at the various sites. We wish to thank S. Godin-Beekmann and M. Pastel (LATMOS) for useful discussions on equivalent latitude proxy, and R. Kivi (KMI) for discussion on ozonesonde trends in the Arctic. This study has been supported by the EU FP7 project NORS, the ESA PRODEX project A3C, as well as the AGACC-II project within the Science for a Sustainable Development research program funded by the Belgian Science Policy Office.</t>
  </si>
  <si>
    <t>10.5194/acp-15-2915-2015</t>
  </si>
  <si>
    <t>CD3NW</t>
  </si>
  <si>
    <t>WOS:000350986500001</t>
  </si>
  <si>
    <t>Xu, GJ; Gao, Y</t>
  </si>
  <si>
    <t>Xu, Guojie; Gao, Yuan</t>
  </si>
  <si>
    <t>Characterization of marine aerosols and precipitation through shipboard observations on the transect between 31°N-32°S in the West Pacific</t>
  </si>
  <si>
    <t>ATMOSPHERIC POLLUTION RESEARCH</t>
  </si>
  <si>
    <t>Water-soluble species; trace elements; size distribution; iron solubility</t>
  </si>
  <si>
    <t>SOLUBLE DICARBOXYLIC-ACIDS; BOUNDARY-LAYER; SOUTHERN-OCEAN; CHEMICAL CHARACTERISTICS; SIZE DISTRIBUTIONS; ATMOSPHERIC SULFUR; TRACE-METALS; YELLOW SEA; DUST STORM; CHINA</t>
  </si>
  <si>
    <t>To characterize the chemical composition, size distributions, and fractional Fe solubility of atmospheric particles over Asian marginal seas, South Indian Ocean and Australian coast, selected water-soluble inorganic and organic species in aerosols and precipitation, trace metals and soluble Fe in aerosols were analyzed by multi-instruments. Results showed that sea salt and non-sea-salt sulfate (nss-SO42-) were the main components in aerosols. Over Asian marginal seas, Cl- and Na+ were the dominant ions in precipitation, accounting for similar to 72% of the total ions. Both SO42- and NO3- accounted for similar to 26% of the total anions, controlling the acidity of the precipitation. Non-sea-salt Ca2+ (nss-Ca2+) accounted for 6.9% of the total cations, dominating the neutralizing component in rainwater. Observed methane sulfonate (MSA) concentrations and MSA/nss-SO42- increased southward. The concentrations of sea salt were affected by wind speeds, which was mainly accumulated in particle size &gt; 10 mu m. Particle size distributions of nss-SO42- and NH4+ mainly peaked in the fine mode, while NO3- was mainly accumulated in the coarse mode. Oxalate presented a bimodal size distribution pattern in both fine and coarse modes. Based on the air mass back trajectories, enrichment factors and Fe/Al, V/Al ratios, aerosol samples collected over Asian marginal seas could be affected by both long-range transported dust and anthropogenic emissions. Good relationship was found between total dissolved iron and nss-SO42-, indicating that acid processing during long-range transport could play an important role in fractional iron solubility in aerosols. The inverse relationship between atmospheric total Fe and fractional Fe solubility fitted in the global-scale trend. This study implicates that dust and acidic air pollutants from continental sources can interact and affect iron solubility in aerosols in the marine atmosphere. However, due to the small size of samples in this study, more investigations need to be conducted in future.</t>
  </si>
  <si>
    <t>[Xu, Guojie; Gao, Yuan] Rutgers State Univ, Dept Earth &amp; Environm Sci, Newark, NJ 07102 USA</t>
  </si>
  <si>
    <t>Rutgers University System; Rutgers University Newark; Rutgers University New Brunswick</t>
  </si>
  <si>
    <t>Gao, Y (corresponding author), Rutgers State Univ, Dept Earth &amp; Environm Sci, Newark, NJ 07102 USA.</t>
  </si>
  <si>
    <t>yuangaoh@andromeda.rutgers.edu</t>
  </si>
  <si>
    <t>Xu, Guojie/E-8772-2012</t>
  </si>
  <si>
    <t>US National Science Foundation [0944589]</t>
  </si>
  <si>
    <t>US National Science Foundation(National Science Foundation (NSF))</t>
  </si>
  <si>
    <t>This research was sponsored by the US National Science Foundation Award 0944589 to YG. We thank the Chinese Arctic and Antarctic Administration and Polar Research Institute of China for logistic support for shipboard sampling. We thank Jiexia Zhang for help with sample collection during the cruise. We are grateful to Liqi Chen, Qi Lin, Wei Li, Hongmei Lin, Dawn Semplea, James Anderson and Shun Yu for assistance with sampling preparation and sample analysis. We gratefully acknowledge the US National Oceanic and Atmospheric Administration's Air Resources Laboratory for providing the HYSPLIT transport and dispersion model. This work would not have become possible without the dedication of the crew of the Chinese icebreaker, Xue Long.</t>
  </si>
  <si>
    <t>TURKISH NATL COMMITTEE AIR POLLUTION RES &amp; CONTROL-TUNCAP</t>
  </si>
  <si>
    <t>BUCA</t>
  </si>
  <si>
    <t>DOKUZ EYLUL UNIV, DEPT ENVIRONMENTAL ENGINEERING, TINAZTEPE CAMPUS, BUCA, IZMIR 35160, TURKEY</t>
  </si>
  <si>
    <t>1309-1042</t>
  </si>
  <si>
    <t>ATMOS POLLUT RES</t>
  </si>
  <si>
    <t>Atmos. Pollut. Res.</t>
  </si>
  <si>
    <t>10.5094/APR.2015.018</t>
  </si>
  <si>
    <t>Environmental Sciences</t>
  </si>
  <si>
    <t>CE1AJ</t>
  </si>
  <si>
    <t>WOS:000351543300018</t>
  </si>
  <si>
    <t>Lavery, TJ; Roudnew, B; Mitchell, JG</t>
  </si>
  <si>
    <t>Lavery, Trish J.; Roudnew, Ben; Mitchell, James G.</t>
  </si>
  <si>
    <t>Nitrogen transport from sea to land by a threatened and declining population of Australian sea lions (Neophoca cinerea) on Kangaroo Island, South Australia</t>
  </si>
  <si>
    <t>AUSTRALIAN MAMMALOGY</t>
  </si>
  <si>
    <t>allochthonous nutrients; coastal ecology; landscape ecology; ocean nutrient cycling; tropic dynamics</t>
  </si>
  <si>
    <t>WHALES BALAENOPTERA-ACUTOROSTRATA; KRILL EUPHAUSIA-SUPERBA; TERRESTRIAL ECOSYSTEMS; ALLOCHTHONOUS INPUT; ANTARCTIC KRILL; FOOD WEBS; COMMUNITIES; SEABIRDS; MARINE; OCEAN</t>
  </si>
  <si>
    <t>Australian sea lions consume prey in highly productive foraging grounds and defaecate nutrients on land. The resident population of 1100 Australian sea lions contributes 3800 (+/- 80) kg N year(-1) into Seal Bay Conservation Park, Kangaroo Island, South Australia. If this population were to decline in abundance the nitrogen availability and coastal productivity of Kangaroo Island may be reduced.</t>
  </si>
  <si>
    <t>[Lavery, Trish J.; Roudnew, Ben; Mitchell, James G.] Flinders Univ S Australia, Sch Biol Sci, Adelaide, SA 5001, Australia</t>
  </si>
  <si>
    <t>Flinders University South Australia</t>
  </si>
  <si>
    <t>Lavery, TJ (corresponding author), Flinders Univ S Australia, Sch Biol Sci, GPO Box 2100, Adelaide, SA 5001, Australia.</t>
  </si>
  <si>
    <t>trishlavery@hotmail.com</t>
  </si>
  <si>
    <t>Mitchell, Jim/0000-0002-8445-0935</t>
  </si>
  <si>
    <t>0310-0049</t>
  </si>
  <si>
    <t>1836-7402</t>
  </si>
  <si>
    <t>AUST MAMMAL</t>
  </si>
  <si>
    <t>Aust. Mammal.</t>
  </si>
  <si>
    <t>10.1071/AM12029</t>
  </si>
  <si>
    <t>CD8XG</t>
  </si>
  <si>
    <t>WOS:000351379200011</t>
  </si>
  <si>
    <t>Dehairs, F; Fripiat, F; Cavagna, AJ; Trull, TW; Fernandez, C; Davies, D; Roukaerts, A; Batista, DF; Planchon, F; Elskens, M</t>
  </si>
  <si>
    <t>Dehairs, F.; Fripiat, F.; Cavagna, A. -J.; Trull, T. W.; Fernandez, C.; Davies, D.; Roukaerts, A.; Batista, D. Fonseca; Planchon, F.; Elskens, M.</t>
  </si>
  <si>
    <t>Nitrogen cycling in the Southern Ocean Kerguelen Plateau area: evidence for significant surface nitrification from nitrate isotopic compositions</t>
  </si>
  <si>
    <t>NATURAL IRON FERTILIZATION; MARINE NITRIFYING BACTERIA; OXYGEN ISOTOPES; FRACTIONATION; NITRITE; AMMONIUM; CARBON; REMINERALIZATION; ASSIMILATION; CIRCULATION</t>
  </si>
  <si>
    <t>This paper presents whole water column data for nitrate N, O isotopic composition for the Kerguelen Plateau area and the basin extending east of Heard Island, aiming at understanding the N-cycling in this naturally iron fertilized area that is characterized by large re-current phytoplankton blooms. The KEOPS 2 expedition (October-November 2011) took place in spring season and complements knowledge gathered during an earlier summer expedition to the same area (KEOPS 1, February-March 2005). As noted by others a remarkable condition of the system is the moderate consumption of nitrate over the season (nitrate remains &gt;20 mu M) while silicic acid becomes depleted, suggesting significant recycling of nitrogen. Nitrate isotopic signatures in the upper water column do mimic this condition, with surprising overlap of spring and summer regressions of delta O-18(NO3) vs. delta N-15(NO3) isotopic compositions. These regressions obey rather closely the (18)epsilon/(15)epsilon discrimination expected for nitrate uptake ((18)epsilon/(15)epsilon = 1), but regression slopes as large as 1.6 were observed for the mixed layer above the Kerguelen Plateau. A preliminarily mass balance calculation for the early bloom period points toward significant nitrification occurring in the mixed layer and which may be equivalent to up to 47% of nitrate uptake above the Kerguelen Plateau. A further finding concerns deep ocean low delta O-18(NO3) values (&lt;2%) underlying high chlorophyll waters at the Polar Front Zone and which cannot be explained by remineralization and nitrification of the local particulate nitrogen flux, which is too small in magnitude. However, the studied area is characterized by a complex recirculation pattern that would keep deep waters in the area and could impose a seasonally integrated signature of surface water processes on the deep waters.</t>
  </si>
  <si>
    <t>[Dehairs, F.; Fripiat, F.; Cavagna, A. -J.; Roukaerts, A.; Batista, D. Fonseca; Elskens, M.] Vrije Univ Brussel, Analyt Environm &amp; Geochem, Earth Syst Sci Res Grp, Brussels, Belgium; [Trull, T. W.; Davies, D.] CSIRO Marine &amp; Atmospher Res, Hobart, Tas, Australia; [Trull, T. W.; Davies, D.] Antarctic Climate &amp; Ecosyst Cooperat Res Ctr, Hobart, Tas, Australia; [Trull, T. W.] Univ Tasmania, Inst Marine &amp; Antarct Studies, Hobart, Tas, Australia; [Fernandez, C.] Univ Paris 06, Sorbonne Univ, Lab Oceanog Microbienne, Obser Oceanol,UMR7621, F-66650 Banyuls Sur Mer, France; [Fernandez, C.] Univ Concepcion, COPAS SurAustral Program, Dept Oceanog, Concepcion, Chile; [Fernandez, C.] Univ Concepcion, Interdisciplinary Ctr Aquaculture Res INCAR, Concepcion, Chile; [Planchon, F.] Univ Bretagne Occidentale, Inst Europeen Mer, Lab Sci Environm Marin LEMAR, Brest, France</t>
  </si>
  <si>
    <t>Vrije Universiteit Brussel; Commonwealth Scientific &amp; Industrial Research Organisation (CSIRO); Antarctic Climate &amp; Ecosystems Cooperative Research Centre (ACE CRC); University of Tasmania; Sorbonne Universite; Centre National de la Recherche Scientifique (CNRS); CNRS - National Institute for Earth Sciences &amp; Astronomy (INSU); Universidad de Concepcion; Universidad de Concepcion; Centre National de la Recherche Scientifique (CNRS); Ifremer; Institut de Recherche pour le Developpement (IRD); Universite de Bretagne Occidentale</t>
  </si>
  <si>
    <t>Dehairs, F (corresponding author), Vrije Univ Brussel, Analyt Environm &amp; Geochem, Earth Syst Sci Res Grp, Brussels, Belgium.</t>
  </si>
  <si>
    <t>fdehairs@vub.ac.be</t>
  </si>
  <si>
    <t>Frederic, Planchon A.M./A-8651-2010; Fripiat, François/ABB-8918-2021; Trull, Tom W/B-7028-2014</t>
  </si>
  <si>
    <t>Davies, Diana M./0000-0001-6304-3938; Fonseca Pereira Batista, Debany/0000-0002-0785-5269; Fripiat, Francois/0000-0002-2591-6301; /0000-0002-8492-5881; Elskens, Marc/0000-0002-8862-9422; Planchon, Frederic/0000-0003-1288-9698</t>
  </si>
  <si>
    <t>French Research programme of INSU-CNRS LEFE-CYBER the French ANR (SIMI-6 programme) [ANR-10-BLAN-0614]; French CNES (Centre National d'Etudes Spatiales); French Polar Institute IPEV (Institut Polaire Paul-Emile Victor); Belgian Science Policy (BELSPO) [SD/CA/05A]; Flanders Research Foundation (FWO) [G071512N]; Vrije Universiteit Brussel, Strategic Research Plan); Antarctic Climate and Ecosystem Cooperative Research Center (ACE-CRC, Hobart, Australia); Fondap [15110027 Incar]</t>
  </si>
  <si>
    <t>French Research programme of INSU-CNRS LEFE-CYBER the French ANR (SIMI-6 programme)(Agence Nationale de la Recherche (ANR)); French CNES (Centre National d'Etudes Spatiales); French Polar Institute IPEV (Institut Polaire Paul-Emile Victor); Belgian Science Policy (BELSPO)(Belgian Federal Science Policy Office); Flanders Research Foundation (FWO)(FWO); Vrije Universiteit Brussel, Strategic Research Plan); Antarctic Climate and Ecosystem Cooperative Research Center (ACE-CRC, Hobart, Australia)(Australian GovernmentDepartment of Industry, Innovation and ScienceCooperative Research Centres (CRC) Programme); Fondap</t>
  </si>
  <si>
    <t>We thank the Captain and the crew of R/V Marion Dufresne as well as KEOPS 2 Chief scientists B. Queguiner and S. Blain for their assistance and help during the cruise. We are grateful to the Institut Paul Emile Victor (IPEV) for having granted us access to the Marion Dufresne facilities. This work was supported by the French Research programme of INSU-CNRS LEFE-CYBER the French ANR (SIMI-6 programme, ANR-10-BLAN-0614), the French CNES (Centre National d'Etudes Spatiales) and the French Polar Institute IPEV (Institut Polaire Paul-Emile Victor). The research was conducted with grants from Belgian Science Policy (BELSPO, grant SD/CA/05A); Flanders Research Foundation (FWO; grant G071512N); Vrije Universiteit Brussel, Strategic Research Plan); the Antarctic Climate and Ecosystem Cooperative Research Center (ACE-CRC, Hobart, Australia). The altimeter and colour/temperature products for the Kerguelen area were produced by Ssalto/Duacs and CLS with support from Cnes. F. Fripiat is Post-Doc at FWO, Flanders Research Foundation; C. Fernandez was partially supported by Fondap 15110027 Incar. We acknowledge the help of Natacha Brion, Leen Rymenans and Michael Korntheuer during nitrate and nitrate isotope analyses and thank the two anonymous reviewers for their constructive comments and criticisms.</t>
  </si>
  <si>
    <t>10.5194/bg-12-1459-2015</t>
  </si>
  <si>
    <t>CD3OK</t>
  </si>
  <si>
    <t>Green Published, Green Accepted, Green Submitted, gold</t>
  </si>
  <si>
    <t>WOS:000350987900012</t>
  </si>
  <si>
    <t>Makra, L</t>
  </si>
  <si>
    <t>Wexler, P</t>
  </si>
  <si>
    <t>Makra, Laszlo</t>
  </si>
  <si>
    <t>Anthropogenic Air Pollution in Ancient Times</t>
  </si>
  <si>
    <t>HISTORY OF TOXICOLOGY AND ENVIRONMENTAL HEALTH: TOXICOLOGY IN ANTIQUITY, VOL II</t>
  </si>
  <si>
    <t>GREENLAND SNOWS; ANTARCTIC ICE; LATE 1960S; LEAD; CADMIUM; ROMAN</t>
  </si>
  <si>
    <t>Univ Szeged, Dept Climatol &amp; Landscape Ecol, Szeged, Hungary</t>
  </si>
  <si>
    <t>Szeged University</t>
  </si>
  <si>
    <t>Makra, L (corresponding author), Univ Szeged, Dept Climatol &amp; Landscape Ecol, Szeged, Hungary.</t>
  </si>
  <si>
    <t>Makra, Laszlo/A-6120-2008</t>
  </si>
  <si>
    <t>Makra, Laszlo/0000-0001-7424-8963</t>
  </si>
  <si>
    <t>ACADEMIC PRESS LTD-ELSEVIER SCIENCE LTD</t>
  </si>
  <si>
    <t>24-28 OVAL ROAD, LONDON NW1 7DX, ENGLAND</t>
  </si>
  <si>
    <t>978-0-12-801634-3; 978-0-12-801506-3</t>
  </si>
  <si>
    <t>10.1016/B978-0-12-801506-3.00003-0</t>
  </si>
  <si>
    <t>History &amp; Philosophy Of Science; Toxicology</t>
  </si>
  <si>
    <t>Book Citation Index – Social Sciences &amp; Humanities (BKCI-SSH); Book Citation Index – Science (BKCI-S)</t>
  </si>
  <si>
    <t>History &amp; Philosophy of Science; Toxicology</t>
  </si>
  <si>
    <t>BC3BP</t>
  </si>
  <si>
    <t>WOS:000351516100005</t>
  </si>
  <si>
    <t>Hoshino, E; Gardner, C; Jennings, S; Hartmann, K</t>
  </si>
  <si>
    <t>Hoshino, Eriko; Gardner, Caleb; Jennings, Sarah; Hartmann, Klaas</t>
  </si>
  <si>
    <t>Examining the Long-Run Relationship between the Prices of Imported Abalone in Japan</t>
  </si>
  <si>
    <t>MARINE RESOURCE ECONOMICS</t>
  </si>
  <si>
    <t>Abalone; aquaculture; cointegration; import; Japan; fishery; structural break</t>
  </si>
  <si>
    <t>UNIT-ROOT TESTS; MARKET INTEGRATION; COINTEGRATING RANK; DEMAND SYSTEM; UNKNOWN TIME; FISH; SALMON; LEVEL; COMPETITION; STATISTICS</t>
  </si>
  <si>
    <t>The rapid increase in production and trade of farmed abalone products is a presumed threat to wild abalone producing industries due to downward pressure on price. This article explores the long-run relationship and price dynamics of Australian wild-harvested abalone and other abalone imported into the Japanese market within a cointegration framework. Market integration is identified among fresh abalone products from six countries, with fairly stable relative prices, suggesting that Japanese consumers have a low level of product differentiation on the basis of origin. Consumers in the Japanese market are likely to willingly substitute between wild and farmed import product, placing continued pressure on price for Australian wild-harvested abalone suppliers into this market. A challenge for producers of wild-harvested product is the development of marketing strategies to build product differentiation and greater demand for wild products.</t>
  </si>
  <si>
    <t>[Hoshino, Eriko; Gardner, Caleb; Hartmann, Klaas] Univ Tasmania, Inst Marine &amp; Antarctic Studies, Hobart, Tas 7001, Australia; [Hoshino, Eriko; Jennings, Sarah] Univ Tasmania, Tasmanian Sch Business &amp; Econ, Hobart, Tas 7001, Australia</t>
  </si>
  <si>
    <t>University of Tasmania; University of Tasmania</t>
  </si>
  <si>
    <t>Hoshino, E (corresponding author), Univ Tasmania, Inst Marine &amp; Antarctic Studies, Private Bag 49, Hobart, Tas 7001, Australia.</t>
  </si>
  <si>
    <t>eriko.hoshino@utas.edu.au; caleb.gardner@utas.edu.au; sarah.jennings@utas.edu.au; klaas.hartmann@utas.edu.au</t>
  </si>
  <si>
    <t>Hartmann, Klaas/B-3991-2008; Jennings, Sarah M/J-7888-2014; Hoshino, Eriko/N-7557-2013; Gardner, Caleb/I-7086-2013</t>
  </si>
  <si>
    <t>Hoshino, Eriko/0000-0001-7110-4251; Gardner, Caleb/0000-0003-0324-4337</t>
  </si>
  <si>
    <t>Australian Seafood CRC; Abalone Council Australia Ltd.</t>
  </si>
  <si>
    <t>Australian Seafood CRC(Australian GovernmentDepartment of Industry, Innovation and ScienceCooperative Research Centres (CRC) Programme); Abalone Council Australia Ltd.</t>
  </si>
  <si>
    <t>We acknowledge the support of the Australian Seafood CRC and Abalone Council Australia Ltd.</t>
  </si>
  <si>
    <t>UNIV CHICAGO PRESS</t>
  </si>
  <si>
    <t>CHICAGO</t>
  </si>
  <si>
    <t>1427 E 60TH ST, CHICAGO, IL 60637-2954 USA</t>
  </si>
  <si>
    <t>0738-1360</t>
  </si>
  <si>
    <t>2334-5985</t>
  </si>
  <si>
    <t>MAR RESOUR ECON</t>
  </si>
  <si>
    <t>Mar. Resour. Econ.</t>
  </si>
  <si>
    <t>10.1086/679973</t>
  </si>
  <si>
    <t>Economics; Environmental Studies; Fisheries</t>
  </si>
  <si>
    <t>Business &amp; Economics; Environmental Sciences &amp; Ecology; Fisheries</t>
  </si>
  <si>
    <t>CD5GQ</t>
  </si>
  <si>
    <t>WOS:000351116400004</t>
  </si>
  <si>
    <t>Nehyba, S; Nyvlt, D</t>
  </si>
  <si>
    <t>Nehyba, Slavomir; Nyvlt, Daniel</t>
  </si>
  <si>
    <t>Bottomsets of the lava-fed delta of James Ross Island Volcanic Group, Ulu Peninsula, James Ross Island, Antarctica</t>
  </si>
  <si>
    <t>Antarctica; James Ross Island; lava-fed delta; lithofacies; Pliocene</t>
  </si>
  <si>
    <t>DENSITY TURBIDITY CURRENTS; DEPOSITIONAL PROCESSES; FAN-DELTA; GLACIOMARINE SEDIMENTATION; GLACIAL SEQUENCES; PYROCLASTIC FLOW; SE KOREA; BASIN; MIOCENE; SEDIMENTOLOGY</t>
  </si>
  <si>
    <t>Sedimentological study of the three geographically separated outcrops of bottomsets of a single lava-fed delta (Pliocene) in the James Ross Island (Antarctica) allows recognition of six lithofacies. Deposits of traction currents, deposits of volcaniclastic debris flows and products of such flows transformations (both low-and high-density turbidity currents) and glacigenic deposits (subaqueous debris flows and traction/turbidity currents) were all recognised. Existence of submarine proglacial environment formed prior to formation of volcaniclastic deposits partly covering the subaqueous slopes of volcano is supposed. The principal role of mass flow processes was recognised and explained by relative steep slopes of the lava-fed delta. The distribution of lithofacies significantly differs in the individual outcrops. These variations in sedimentary succession and also in thickness of volcaniclastic deposits of bottomsets of the single lava fed delta suggest principal role of local conditions and paleogeography for development and preservation of this part of delta depositional system. Moreover proximal and distal setting can be followed and direct vs. more distant relation to over-riding lava-fed delta supposed. The sedimentary succession terminated by foresets of hyaloclastite breccia.</t>
  </si>
  <si>
    <t>[Nehyba, Slavomir] Masaryk Univ, Fac Sci, Inst Geol Sci, CS-61137 Brno, Czech Republic; [Nyvlt, Daniel] Masaryk Univ, Fac Sci, Dept Geog, CS-61137 Brno, Czech Republic; [Nyvlt, Daniel] Brno Branch, Czech Geol Survey, Brno 65869, Czech Republic</t>
  </si>
  <si>
    <t>Masaryk University Brno; Masaryk University Brno; Czech Geological Survey</t>
  </si>
  <si>
    <t>Nehyba, S (corresponding author), Masaryk Univ, Fac Sci, Inst Geol Sci, Kotlarska 2, CS-61137 Brno, Czech Republic.</t>
  </si>
  <si>
    <t>slavek@sci.muni.cz; daniel.nyvlt@seznam.cz</t>
  </si>
  <si>
    <t>Nyvlt, Daniel/J-6504-2019</t>
  </si>
  <si>
    <t>Nyvlt, Daniel/0000-0002-6876-490X</t>
  </si>
  <si>
    <t>project Employment of Best Young Scientists for International Cooperation Empowerment; European Social Fund; [CZ.1.07/2.3.00/30.0037]</t>
  </si>
  <si>
    <t>project Employment of Best Young Scientists for International Cooperation Empowerment; European Social Fund(European Social Fund (ESF));</t>
  </si>
  <si>
    <t>The authors acknowledge the possibility to use J.G. Mendel Station infrastructure during the Czech Antarctic Expedition in austral summer of 2013 and are very grateful to all their members for their support and company. Authors are obliged to thank M.A. Bitner for the identifications of the fossils. DN work on this paper has been supported by the project Employment of Best Young Scientists for International Cooperation Empowerment (CZ. 1.07/2.3.00/30.0037) co-financed from European Social Fund and the state budget of the Czech Republic. Fruitful reviewer comments by Professor John L. Smellie helped us to improve the paper significantly.</t>
  </si>
  <si>
    <t>POLISH ACAD SCIENCES</t>
  </si>
  <si>
    <t>PL DEFILAD 1, WARSZAWA, 00000, POLAND</t>
  </si>
  <si>
    <t>10.1515/popore-2015-0002</t>
  </si>
  <si>
    <t>CE5EF</t>
  </si>
  <si>
    <t>WOS:000351852600001</t>
  </si>
  <si>
    <t>Hara, U</t>
  </si>
  <si>
    <t>Hara, Urszula</t>
  </si>
  <si>
    <t>Bryozoan internal moulds from the La Meseta Formation (Eocene) of Seymour Island, Antarctic Peninsula</t>
  </si>
  <si>
    <t>Antarctica; Seymour Island; La Meseta Formation; Eocene; Bryozoans</t>
  </si>
  <si>
    <t>STRATA</t>
  </si>
  <si>
    <t>The loose, small zooecia of the cheilostome bryozoans have been discovered in the lowermost part of the LaMeseta Formation on Seymour (Marambio) Island. They systematically include the representatives of Beanidae Canu et Bassler, Catenicellidae Busk, Savignyellidae Levinsen, and Calwelliidae MacGillivray. The bryozoan assemblage is comprised of separate, small-sized internal moulds dominated by distinct, boat-shaped zooecia belonging to Beania, scarce, unizooidal internodes tentatively included into a ditaxiporine catenicellid ?Vasignyella, and representative of the family Savignyellidae. A few branched segments composed of multiserial zooecia arranged back to back were tentatively incorporated into?Malakosaria. Beania, marks the oldest fossil record, whereas representatives of Savignyellidae along with ditaxiporine catenicellid and ?Malakosaria are for the first time reported from Antarctica. The relationship between the taxonomic composition, colony growth-patterns represented by membraniporiform/petraliform, catenicelliform and cellariform, along with associated biota and sedimentary structures of the LaMeseta Formation implies nearshore environment, with considerable wave action, and warm climatic conditions.</t>
  </si>
  <si>
    <t>Panstwowy Inst Badawczy, Panstwowy Inst Geol, PL-00975 Warsaw, Poland</t>
  </si>
  <si>
    <t>Polish Geological Institute - National Research Institute</t>
  </si>
  <si>
    <t>Hara, U (corresponding author), Panstwowy Inst Badawczy, Panstwowy Inst Geol, Ul Rakowiecka 4, PL-00975 Warsaw, Poland.</t>
  </si>
  <si>
    <t>urszula.hara@pgi.gov.pl</t>
  </si>
  <si>
    <t>Polish Geological Institute-Research National Institute [61.2908.1303.00.0]</t>
  </si>
  <si>
    <t>Polish Geological Institute-Research National Institute</t>
  </si>
  <si>
    <t>Many thanks are given to Professor Dr A. Gazdzicki (Institute of Paleobiology), for his constructive remarks and the encouragement to study the Seymour Island bryozoans. I am grateful to Dr J. Blaszyk (Institute of Paleobiology) and to Mr. L. Giro (Polish Geological Institute-National Research Institute) for their kind assistance during the SEM sessions. This work benefited from the discussions of Professor Dr P. Braga (University of Padova), Dr D. Gordon (NIWA) and to Mr. H. De Blauwe (Dudzele) concerning the taxonomy of this fauna. The author is greatly indebted for the critical remarks of Professor Dr A. Rosso (University of Catania) and one anonymous reviewer. Sincere thanks are donated to Mrs. M. Spencer Jones (NHM, London) for very kind loan of some catenicellid specimens from the collections of C.W. Thomson, as well as from the Zoology Department of NHM, London. The graphic illustrations were kindly assisted by Mrs. B. Giblewska (Polish Geological Institute-National Research Institute). Research was partly supported by the Polish Geological Institute-Research National Institute in 2013 by an internal project numbered 61.2908.1303.00.0.</t>
  </si>
  <si>
    <t>10.1515/popore-2015-0003</t>
  </si>
  <si>
    <t>WOS:000351852600002</t>
  </si>
  <si>
    <t>Cheah, YK; Lee, LH; Chieng, CYC; Wong, VLCM</t>
  </si>
  <si>
    <t>Cheah, Yoke-Kqueen; Lee, Learn-Han; Chieng, Cheng-Yun Catherine; Wong, Vui-Ling Clemente Michael</t>
  </si>
  <si>
    <t>Isolation, identification and screening of Actinobacteria in volcanic soil of Deception Island (the Antarctic) for antimicrobial metabolites</t>
  </si>
  <si>
    <t>Antarctic; Actinobacteria; secondary metabolites; 16S; diffusion assay; selective isolation media</t>
  </si>
  <si>
    <t>GORDONIA-TERRAE; SP-NOV.; GENUS; ASSAY</t>
  </si>
  <si>
    <t>This project aimed to isolate and characterize volcanic soil Actinobacteria from Deception Island, Antarctic. A total of twenty-four Actinobacteria strains were isolated using four different isolation media (Starch casein agar, R2 agar, Actinomycete isolation agar, Streptomyces agar) and characterized basing on 16S rRNA gene sequences. Tests for secondary metabolites were performed using well diffusion method to detect antimicrobial activities against eight different pathogens, namely Staphyloccocus aureus ATCC 33591, Bacillus megaterium, Enterobacter cloacae, Klebsiella oxytoca, S. enterica serotype Enteritidis, S. enterica serotype Paratyphi ATCC 9150, S. enterica serotype Typhimurium ATCC 14028 and Vibrio cholerae. Antimicrobial properties were detected against Salmonella paratyphi A and Salmonella typhimurium at the concentration of 0.3092 +/- 0.08 g/ml. The bioactive strains were identified as Gordonia terrae, Leifsonia soli and Terrabacter lapilli. Results from this study showed that the soil of Deception Island is likely a good source of isolation for Actinobacteria. The volcanic soil Actinobacteria are potentially rich source for discovery of antimicrobial compounds.</t>
  </si>
  <si>
    <t>[Cheah, Yoke-Kqueen; Lee, Learn-Han; Chieng, Cheng-Yun Catherine] Univ Putra Malaysia, Fac Med &amp; Hlth Sci, Dept Biomed Sci, Upm Serdang 43400, Selangor Darul, Malaysia; [Wong, Vui-Ling Clemente Michael] Univ Malaysia Sabah, Biotechnol Res Inst, Kota Kinabalu 88999, Sabah, Malaysia</t>
  </si>
  <si>
    <t>Universiti Putra Malaysia; Universiti Malaysia Sabah</t>
  </si>
  <si>
    <t>Cheah, YK (corresponding author), Univ Putra Malaysia, Fac Med &amp; Hlth Sci, Dept Biomed Sci, Upm Serdang 43400, Selangor Darul, Malaysia.</t>
  </si>
  <si>
    <t>ykcheah@medic.upm.edu.my</t>
  </si>
  <si>
    <t>Lee, Learn-Han/I-5331-2015; Wong, Clemente Michael Vui Ling/M-8372-2013; lee, lee/KHW-4323-2024</t>
  </si>
  <si>
    <t>Lee, Learn-Han/0000-0002-8589-7456; Wong, Clemente Michael Vui Ling/0000-0003-3431-8896; Chieng, Catherine/0000-0001-8414-9969; Cheah, Yoke Kqueen/0000-0001-9258-3749</t>
  </si>
  <si>
    <t>Malaysia Antarctic Research Program, Academy of Sciences Malaysia and Universiti Putra Malaysia Research Universiti Grant Scheme [05-01-11-1219RU]</t>
  </si>
  <si>
    <t>Malaysia Antarctic Research Program, Academy of Sciences Malaysia and Universiti Putra Malaysia Research Universiti Grant Scheme</t>
  </si>
  <si>
    <t>This work was supported by Malaysia Antarctic Research Program, Academy of Sciences Malaysia and Universiti Putra Malaysia Research Universiti Grant Scheme (05-01-11-1219RU).</t>
  </si>
  <si>
    <t>10.1515/popore-2015-0001</t>
  </si>
  <si>
    <t>WOS:000351852600004</t>
  </si>
  <si>
    <t>Schofield, R; Avallone, LM; Kalnajs, LE; Hertzog, A; Wohltmann, I; Rex, M</t>
  </si>
  <si>
    <t>Schofield, R.; Avallone, L. M.; Kalnajs, L. E.; Hertzog, A.; Wohltmann, I.; Rex, M.</t>
  </si>
  <si>
    <t>First quasi-Lagrangian in situ measurements of Antarctic Polar springtime ozone: observed ozone loss rates from the Concordiasi long-duration balloon campaign</t>
  </si>
  <si>
    <t>SOUTHERN-HEMISPHERE; MATCH TECHNIQUE; CLIMATE-CHANGE; HOLE; DEPLETION</t>
  </si>
  <si>
    <t>We present ozone measurements made using state-of-the-art ultraviolet photometers onboard three long-duration stratospheric balloons launched as part of the Concordiasi campaign in austral spring 2010. Ozone loss rates calculated by matching air parcels sampled at different times and places during the polar spring are in agreement with rates previously derived from ozonesonde measurements, for the vortex average, ranging between 2 and 7 ppbv per sunlit hour or between 25 and 110 ppbv per day. However, the geographical coverage of these long-duration stratospheric balloon platforms provides new insights into the temporal and spatial patterns of ozone loss over Antarctica. Very large ozone loss rates of up to 230 ppbv per day (16 ppbv per sunlit hour) are observed for air masses that are downwind of the Antarctic Peninsula and/or over the East Antarctic region. The ozone loss rate maximum downstream of the Antarctic Peninsula region is consistent with high PSC occurrence from CALIPSO and large ClO abundances from MLS satellite observations for 12-22 September 2010, and with a chemical box model simulation using JPL 2011 kinetics with full chlorine activation.</t>
  </si>
  <si>
    <t>[Schofield, R.] Univ Melbourne, Sch Earth Sci, Melbourne, Vic, Australia; [Schofield, R.] Univ New S Wales, ARC Ctr Excellence Climate Syst Sci, Sydney, NSW 2052, Australia; [Avallone, L. M.; Kalnajs, L. E.] Univ Colorado, Lab Atmospher &amp; Space Phys, Boulder, CO 80309 USA; [Avallone, L. M.] Natl Sci Fdn, Washington, DC 20550 USA; [Hertzog, A.] Meteorol Dynam Lab, Palaiseau, France; [Wohltmann, I.; Rex, M.] Alfred Wegener Inst, Potsdam, Germany</t>
  </si>
  <si>
    <t>University of Melbourne; Melbourne Bioinformatics; University of New South Wales Sydney; ARC Centre of Excellence for Climate System Science; University of Colorado System; University of Colorado Boulder; National Science Foundation (NSF); Sorbonne Universite; Helmholtz Association; Alfred Wegener Institute, Helmholtz Centre for Polar &amp; Marine Research</t>
  </si>
  <si>
    <t>Schofield, R (corresponding author), Univ Melbourne, Sch Earth Sci, Melbourne, Vic, Australia.</t>
  </si>
  <si>
    <t>robyn.schofield@unimelb.edu.au; linnea.avallone@colorado.edu</t>
  </si>
  <si>
    <t>Rex, Markus/A-6054-2009; Schofield, Robyn/A-4062-2010; Wohltmann, Ingo/C-1301-2010</t>
  </si>
  <si>
    <t>Rex, Markus/0000-0001-7847-8221; Schofield, Robyn/0000-0002-4230-717X; Wohltmann, Ingo/0000-0003-4606-6788</t>
  </si>
  <si>
    <t>Meteo-France; CNES; CNRS/INSU; NSF; NCAR; University of Wyoming; Purdue University; University of Colorado; Alfred Wegener Institute; Met Office; ECMWF; Institut Polaire Francais Paul Emile Victor (IPEV); Programma Nazionale di Ricerche in Antartide (PNRA); United States Antarctic Program (USAP); British Antarctic Survey (BAS); Baseline Surface Radiation Network (BSRN) measurements at Concordia; European Union (EU) WaVES [MIF1-CT-2006-039646]; Australian Antarctic Science Grant [FoRCES 4012]; Australian Research Councils Centre of Excellence [CE110001028]; US National Science Foundation [ANT-0839017]</t>
  </si>
  <si>
    <t>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Institut Polaire Francais Paul Emile Victor (IPEV); Programma Nazionale di Ricerche in Antartide (PNRA); United States Antarctic Program (USAP); British Antarctic Survey (BAS); Baseline Surface Radiation Network (BSRN) measurements at Concordia; European Union (EU) WaVES(European Union (EU)Marie Curie Actions); Australian Antarctic Science Grant; Australian Research Councils Centre of Excellence(Australian Research Council); US National Science Foundation(National Science Foundation (NSF))</t>
  </si>
  <si>
    <t>Concordiasi is an international project, currently supported by the following agencies: Meteo-France, CNES, CNRS/INSU, NSF, NCAR, University of Wyoming, Purdue University, University of Colorado, the Alfred Wegener Institute, the Met Office, and ECMWF. Concordiasi also benefits from logistic or financial support of operational polar agencies Institut Polaire Francais Paul Emile Victor (IPEV), Programma Nazionale di Ricerche in Antartide (PNRA), the United States Antarctic Program (USAP) and British Antarctic Survey (BAS), and from Baseline Surface Radiation Network (BSRN) measurements at Concordia. Concordiasi is part of The Observing System Research and Predictability Experiment-International Polar Year (THORPEX-IPY) cluster within the International Polar Year effort. The Concordiasi website can be found at www.cnrm.meteo.fr/concordiasi/. The PSC mask data from the CALIPSO instrument were obtained from the NASA Langley Research Center Atmospheric Science Data Center. The Microwave Limb Sounder ClO data were obtained from Nathaniel Livesey. The authors thank ECMWF for providing ERA-Interim data via special project DERESI. RS received funding support for this work from the European Union (EU) WaVES (MIF1-CT-2006-039646) project, Australian Antarctic Science Grant (FoRCES 4012) and the Australian Research Councils Centre of Excellence (CE110001028) scheme. LMA and LEK acknowledge support from the US National Science Foundation under grant ANT-0839017.</t>
  </si>
  <si>
    <t>10.5194/acp-15-2463-2015</t>
  </si>
  <si>
    <t>CC7PE</t>
  </si>
  <si>
    <t>WOS:000350559700013</t>
  </si>
  <si>
    <t>Kern, S; Khvorostovsky, K; Skourup, H; Rinne, E; Parsakhoo, ZS; Djepa, V; Wadhams, P; Sandven, S</t>
  </si>
  <si>
    <t>Kern, S.; Khvorostovsky, K.; Skourup, H.; Rinne, E.; Parsakhoo, Z. S.; Djepa, V.; Wadhams, P.; Sandven, S.</t>
  </si>
  <si>
    <t>The impact of snow depth, snow density and ice density on sea ice thickness retrieval from satellite radar altimetry: results from the ESA-CCI Sea Ice ECV Project Round Robin Exercise</t>
  </si>
  <si>
    <t>AIRBORNE LASER ALTIMETRY; AMSR-E; FRAM STRAIT; FREEBOARD; CLASSIFICATION; ALGORITHM; ACCURACY; IMAGERY; VOLUME; OCEAN</t>
  </si>
  <si>
    <t>We assess different methods and input parameters, namely snow depth, snow density and ice density, used in freeboard-to-thickness conversion of Arctic sea ice. This conversion is an important part of sea ice thickness retrieval from spaceborne altimetry. A data base is created comprising sea ice freeboard derived from satellite radar altimetry between 1993 and 2012 and co-locate observations of total (sea ice + snow) and sea ice freeboard from the Operation Ice Bridge (OIB) and CryoSat Validation Experiment (CryoVEx) airborne campaigns, of sea ice draft from moored and submarine upward looking sonar (ULS), and of snow depth from OIB campaigns, Advanced Microwave Scanning Radiometer (AMSR-E) and the Warren climatology (Warren et al., 1999). We compare the different data sets in spatiotemporal scales where satellite radar altimetry yields meaningful results. An inter-comparison of the snow depth data sets emphasizes the limited usefulness of Warren climatology snow depth for freeboard-to-thickness conversion under current Arctic Ocean conditions reported in other studies. We test different freeboard-to-thickness and freeboard-to-draft conversion approaches. The mean observed ULS sea ice draft agrees with the mean sea ice draft derived from radar altimetry within the uncertainty bounds of the data sets involved. However, none of the approaches are able to reproduce the seasonal cycle in sea ice draft observed by moored ULS. A sensitivity analysis of the freeboard-to-thickness conversion suggests that sea ice density is as important as snow depth.</t>
  </si>
  <si>
    <t>[Kern, S.; Parsakhoo, Z. S.] Univ Hamburg, Ctr Climate Syst Anal &amp; Predict CliSAP, Hamburg, Germany; [Khvorostovsky, K.; Sandven, S.] Nansen Environm &amp; Remote Sensing Ctr NERSC, Bergen, Norway; [Skourup, H.] Danish Tech Univ Space, Copenhagen, Denmark; [Rinne, E.] Finnish Meteorol Inst FMI, Helsinki, Finland; [Djepa, V.; Wadhams, P.] Univ Cambridge, Cambridge, England</t>
  </si>
  <si>
    <t>University of Hamburg; Nansen Environmental &amp; Remote Sensing Center (NERSC); Technical University of Denmark; Finnish Meteorological Institute; University of Cambridge</t>
  </si>
  <si>
    <t>Kern, S (corresponding author), Univ Hamburg, Ctr Climate Syst Anal &amp; Predict CliSAP, Hamburg, Germany.</t>
  </si>
  <si>
    <t>stefan.kern@zmaw.de</t>
  </si>
  <si>
    <t>Skourup, Henriette/A-7950-2015; Khvorostovsky, Kirill/ABD-7783-2020</t>
  </si>
  <si>
    <t>Skourup, Henriette/0000-0002-4468-8033; Kern, Stefan/0000-0001-7281-3746; Sandven, Stein/0000-0002-8023-5779; Rinne, Eero/0000-0002-4796-3387</t>
  </si>
  <si>
    <t>ESA/ESRIN (sea ice CCI); Center of Excellence for Climate System Analysis and Prediction (CliSAP), University of Hamburg, Germany; Research Council of Norway [207584]; International Space Science Institute (ISSI), Bern, Switzerland [245]</t>
  </si>
  <si>
    <t>ESA/ESRIN (sea ice CCI); Center of Excellence for Climate System Analysis and Prediction (CliSAP), University of Hamburg, Germany; Research Council of Norway(Research Council of Norway); International Space Science Institute (ISSI), Bern, Switzerland</t>
  </si>
  <si>
    <t>This work was funded by ESA/ESRIN (sea ice CCI). S. Kern acknowledges support from the Center of Excellence for Climate System Analysis and Prediction (CliSAP), University of Hamburg, Germany. This work is also supported by the Research Council of Norway under contract no. 207584 (ArcticSIV). We are grateful to numerous data providers for the present study, namely, National Snow and Ice Data Centre (NSIDC) for OIB data, AMSR-E snow depth, SSM/I and AMSR-E sea ice concentrations, and the US submarine ULS data; Woods Hole Oceanographic Institute for BGEP ULS data; ESA for re-processed ERS-1/2 and Envisat ASAR data. The authors are grateful to all the teams in the field, in the air and in the ship for providing all these valuable observations. S. Kern acknowledges support from the International Space Science Institute (ISSI), Bern, Switzerland, under project no. 245: Heil, P. and Kern, S. Towards an Integrated Retrieval of Antarctic Sea Ice Volume. We thank three anonymous reviewers and our editor Julienne Stroeve for their efforts to improve the paper.</t>
  </si>
  <si>
    <t>10.5194/tc-9-37-2015</t>
  </si>
  <si>
    <t>CC7NR</t>
  </si>
  <si>
    <t>WOS:000350555400004</t>
  </si>
  <si>
    <t>Shu, Q; Song, Z; Qiao, F</t>
  </si>
  <si>
    <t>Shu, Q.; Song, Z.; Qiao, F.</t>
  </si>
  <si>
    <t>Assessment of sea ice simulations in the CMIP5 models</t>
  </si>
  <si>
    <t>THICKNESS; PROJECTIONS; TRENDS; EXTENT</t>
  </si>
  <si>
    <t>The historical simulations of sea ice during 1979 to 2005 by the Coupled Model Intercomparison Project Phase 5 (CMIP5) are compared with satellite observations, Global Ice-Ocean Modeling and Assimilation System (GIOMAS) output data and Pan-Arctic Ice Ocean Modeling and Assimilation System (PIOMAS) output data in this study. Forty-nine models, almost all of the CMIP5 climate models and earth system models with historical simulation, are used. For the Antarctic, multi-model ensemble mean (MME) results can give good climatology of sea ice extent (SIE), but the linear trend is incorrect. The linear trend of satellite-observed Antarctic SIE is 1.29 (+/- 0.57) x 10(5) km(2) decade(-1); only about 1/7 CMIP5 models show increasing trends, and the linear trend of CMIP5 MME is negative with the value of 3.36 (+/- 0.15) x 10(5) km(2) decade(-1). For the Arctic, both climatology and linear trend are better reproduced. Sea ice volume (SIV) is also evaluated in this study, and this is a first attempt to evaluate the SIV in all CMIP5 models. Compared with the GIOMAS and PIOMAS data, the SIV values in both the Antarctic and the Arctic are too small, especially for the Antarctic in spring and winter. The GIOMAS Antarctic SIV in September is 19.1 x 10(3) km(3), while the corresponding Antarctic SIV of CMIP5 MME is 13.0 x 10(3) km(3) (almost 32% less). The Arctic SIV of CMIP5 in April is 27.1 x 10(3) km(3), which is also less than that from PIOMAS SIV (29.5 x 10(3) km(3)). This means that the sea ice thickness simulated in CMIP5 is too thin, although the SIE is fairly well simulated.</t>
  </si>
  <si>
    <t>[Shu, Q.; Song, Z.; Qiao, F.] State Ocean Adm, Inst Oceanog 1, Qingdao 266061, Peoples R China; [Shu, Q.; Song, Z.; Qiao, F.] SOA, Key Lab Marine Sci &amp; Numer Modeling, Qingdao 266061, Peoples R China</t>
  </si>
  <si>
    <t>First Institute of Oceanography, Ministry of Natural Resources</t>
  </si>
  <si>
    <t>Qiao, F (corresponding author), State Ocean Adm, Inst Oceanog 1, Qingdao 266061, Peoples R China.</t>
  </si>
  <si>
    <t>qiaofl@fio.org.cn</t>
  </si>
  <si>
    <t>Song, Zhenya/F-9819-2013; Song, Zhenya/AAC-2044-2019</t>
  </si>
  <si>
    <t>Song, Zhenya/0000-0002-8098-5529; Song, Zhenya/0000-0002-8098-5529; SHU, Qi/0000-0003-4781-571X</t>
  </si>
  <si>
    <t>National Basic Research Program of China (973 Program) [2010CB950500]; National Natural Science Foundation of China [41406027, 41306206]; Project of Comprehensive Evaluation of Polar Areas on Global and Regional Climate Changes [CHINARE2014-04-04, CHINARE2014-04-01, CHINARE2014-01-01]; Polar Strategic Research Foundation of China [20120103]</t>
  </si>
  <si>
    <t>National Basic Research Program of China (973 Program)(National Basic Research Program of China); National Natural Science Foundation of China(National Natural Science Foundation of China (NSFC)); Project of Comprehensive Evaluation of Polar Areas on Global and Regional Climate Changes; Polar Strategic Research Foundation of China</t>
  </si>
  <si>
    <t>Satellite-observed sea ice concentration data are provided by http://nsidc.org/data/seaice/, sea ice extent are from ftp://sidads.colorado.edu/DATASETS/NOAA/G02135/, GIOMAS sea ice date are downloaded from http://psc.apl.washington.edu/zhang/Global_seaice/index.html, and PIOMAS sea ice date are from http://psc.apl.washington.edu/wordpress/research/projects/arctic-sea-ice-volume-anomaly/. CMIP5 sea ice simulations are downloaded from http://pcmdi9.llnl.gov/esgf-web-fe/. The authors thank the above-listed data providers. This work is supported by the National Basic Research Program of China (973 Program) under Grant 2010CB950500, National Natural Science Foundation of China (Grant Numbers 41406027 and 41306206), the Project of Comprehensive Evaluation of Polar Areas on Global and Regional Climate Changes (CHINARE2014-04-04, CHINARE2014-04-01, and CHINARE2014-01-01), and Polar Strategic Research Foundation of China (20120103).</t>
  </si>
  <si>
    <t>10.5194/tc-9-399-2015</t>
  </si>
  <si>
    <t>WOS:000350555400028</t>
  </si>
  <si>
    <t>Orlov, AM; Orlova, SY; Volkov, AA; Pelenev, DV</t>
  </si>
  <si>
    <t>Orlov, Alexei M.; Orlova, Svetlana Y.; Volkov, Alexander A.; Pelenev, Dmitry V.</t>
  </si>
  <si>
    <t>First record of humpback anglerfish (Melanocetus johnsonii) (Melanocetidae) in Antarctic waters</t>
  </si>
  <si>
    <t>Melanocetus sp.; new record; taxonomy; distribution; Ross Sea; Antarctic</t>
  </si>
  <si>
    <t>The first record of the humpback anglerfish (Melanocetus johnsonii) in Antarctic waters (Ross Sea) is documented. Species identification is confirmed by the structure of the escal bulb and analysis of the mitochondrial cytochrome oxidase subunit I (COI) gene. This record extends the known range of M. johnsonii by more than 1000 nm to the south. The taxonomic status of Melanocetus species in Antarctic waters is discussed.</t>
  </si>
  <si>
    <t>[Orlov, Alexei M.] Russian Fed Res Inst Fisheries &amp; Oceanog, Lab Sea Fishes, Russian Far East, Moscow 107140, Russia; [Orlov, Alexei M.] Russian Acad Sci, Lab Ecol Lower Vertebrates, AN Severtsov Inst Ecol &amp; Evolut, Moscow 119071, Russia; [Orlova, Svetlana Y.; Volkov, Alexander A.] Russian Fed Res Inst Fisheries &amp; Oceanog, Mol Genet Lab, Moscow 107140, Russia; [Pelenev, Dmitry V.] Russian Fed Res Inst Fisheries &amp; Oceanog, Ctr Int Fisheries Cooperat, Lab Pacific Ocean Basin, Moscow 107140, Russia</t>
  </si>
  <si>
    <t>Research lnstitute of Fisheries &amp; Oceanography; Russian Academy of Sciences; Saratov Scientific Center of the Russian Academy of Sciences; Severtsov Institute of Ecology &amp; Evolution; Research lnstitute of Fisheries &amp; Oceanography; Research lnstitute of Fisheries &amp; Oceanography</t>
  </si>
  <si>
    <t>Orlov, AM (corresponding author), 17 V Krasnoselskaya St, Moscow 107140, Russia.</t>
  </si>
  <si>
    <t>orlov@vniro.ru</t>
  </si>
  <si>
    <t>Orlov, Alexei M./E-2036-2012; Volkov, Alexander A/C-8405-2014</t>
  </si>
  <si>
    <t>Orlov, Alexei M./0000-0002-0877-2553; Volkov, Alexander A/0000-0002-4305-8726; Orlova, Svetlana/0000-0002-6574-8381</t>
  </si>
  <si>
    <t>POLAR RES-SWEDEN</t>
  </si>
  <si>
    <t>10.3402/polar.v34.25356</t>
  </si>
  <si>
    <t>CD1AH</t>
  </si>
  <si>
    <t>WOS:000350805500001</t>
  </si>
  <si>
    <t>Dorokhov, V; Yushkov, V; Makshtas, A; Ivlev, G; Tereb, N; Savinykh, V; Shepelev, D; Nakajima, H; McElroy, CT; Tarasick, D; Goutail, F; Pommereau, JP; Pazmino, A</t>
  </si>
  <si>
    <t>Dorokhov, V.; Yushkov, V.; Makshtas, A.; Ivlev, G.; Tereb, N.; Savinykh, V.; Shepelev, D.; Nakajima, H.; McElroy, C. T.; Tarasick, D.; Goutail, F.; Pommereau, J. -P.; Pazmino, A.</t>
  </si>
  <si>
    <t>Brewer, SAOZ and Ozonesonde Observations in Siberia</t>
  </si>
  <si>
    <t>ATMOSPHERE-OCEAN</t>
  </si>
  <si>
    <t>climate change; chemistry; stratosphere; polar; Arctic; observation</t>
  </si>
  <si>
    <t>WINTER</t>
  </si>
  <si>
    <t>Regular ground-based measurements of total ozone are available over the full Russian territory using M-124 filter ozonometers, Brewer spectrophotometers, and Systeme d'Analyse par Observation Zenithale (SAOZ) spectrometers in the Arctic region where these observations are essential for evaluating ozone loss in winter. Daily measurements are performed by three Brewer spectrophotometers; these are located in Kislovodsk (43.7 degrees N, 42.7 degrees E), Obninsk (55.1 degrees N, 36.6 degrees E), and Tomsk (56.5 degrees N, 85.1 degrees E). Two SAOZ spectrometers are deployed at the Arctic Circle in Salekhard (66.5 degrees N, 66.7 degrees E) and Zhigansk (66.8 degrees N, 123.4 degrees E). In addition, regular winter-spring ozonesonde soundings are carried out in Salekhard. Altogether, they have provided the unique measurements over the eastern Arctic required for characterizing ozone loss during each winter and will also monitor the anticipated ozone recovery following the reduction of chlorine and bromine ozone-depleting substances in the atmosphere.</t>
  </si>
  <si>
    <t>[Dorokhov, V.; Yushkov, V.] Cent Aerol Observ, Dolgoprudnyi, Russia; [Makshtas, A.] Arctic &amp; Antarctic Res Inst, St Petersburg 199226, Russia; [Ivlev, G.] VE Zuev Inst Atmospher Opt, Tomsk, Russia; [Tereb, N.] Inst Expt Meteorol, Obninsk, Russia; [Savinykh, V.] AM Obukhov Inst Atmospher Phys, Kislovodsk, Russia; [Shepelev, D.] Chukotka UGMS, Pevek, Russia; [Nakajima, H.] Natl Inst Environm Studies, Tsukuba, Ibaraki, Japan; [McElroy, C. T.] York Univ, Toronto, ON M3J 2R7, Canada; [Tarasick, D.] Environm Canada, Toronto, ON, Canada; [Goutail, F.; Pommereau, J. -P.; Pazmino, A.] CNRS, LATMOS, Guyancourt, France</t>
  </si>
  <si>
    <t>Arctic &amp; Antarctic Research Institute; Zuev Institute of Atmospheric Optics, Siberian Branch of the Russian Academy of Sciences; Russian Academy of Sciences; Obukhov Institute of Atmospheric Physics of Russian Academy of Sciences; National Institute for Environmental Studies - Japan; York University - Canada; Environment &amp; Climate Change Canada; Sorbonne Universite; Centre National de la Recherche Scientifique (CNRS); Universite Paris Saclay</t>
  </si>
  <si>
    <t>Dorokhov, V (corresponding author), Cent Aerol Observ, Dolgoprudnyi, Russia.</t>
  </si>
  <si>
    <t>vdor@starlink.ru</t>
  </si>
  <si>
    <t>Nakajima, Hideaki/M-8845-2019; Tarasick, David Walter/IYS-7006-2023; Yushkov, Vladimir/AAA-6508-2019</t>
  </si>
  <si>
    <t>Nakajima, Hideaki/0000-0002-2742-1230; Tarasick, David Walter/0000-0001-9869-0692;</t>
  </si>
  <si>
    <t>Centre national d'etudes spatiales (CNES); CNRS/INSU within the NDACC programme; Federal Service for Hydrometeorology and Environmental Monitoring (Roshydromet), Russia; NIES, Japan; Alfred Wegener Institute for Polar and Marine Research, Research Unit Potsdam, Potsdam, Germany; Central Aerological Observatory in Dolgoprudny near Moscow</t>
  </si>
  <si>
    <t>Centre national d'etudes spatiales (CNES)(Centre National D'etudes Spatiales); CNRS/INSU within the NDACC programme; Federal Service for Hydrometeorology and Environmental Monitoring (Roshydromet), Russia; NIES, Japan; Alfred Wegener Institute for Polar and Marine Research, Research Unit Potsdam, Potsdam, Germany; Central Aerological Observatory in Dolgoprudny near Moscow</t>
  </si>
  <si>
    <t>The authors thank Tatyana Popova and Vladimir Balashov from the Salekhard aerological station who operated the SAOZ spectrometer and ozonesonde launches from 1997 to 2012, Vasily Lyulkin from the Zhigansk aerological station who operated the SAOZ V-1024, and the staff of Droplet Measurement Technologies, Boulder, Colorado, USA for discussions and help with operating the new ECC ozonesonde 2Z-V7. This work was partly supported by the Centre national d'etudes spatiales (CNES) and CNRS/INSU within the NDACC programme; the Federal Service for Hydrometeorology and Environmental Monitoring (Roshydromet), Russia; NIES, Japan; the Alfred Wegener Institute for Polar and Marine Research, Research Unit Potsdam, Potsdam, Germany; and the Central Aerological Observatory in Dolgoprudny near Moscow. We would like acknowledge the World Ozone and Ultraviolet Radiation Data Centre (WOUDC) for the distribution of the Brewer spectrophotometer total column ozone data; the NDACC for the distribution of the SAOZ total ozone and nitrogen dioxide datasets and the Salekhard ozone profile data.</t>
  </si>
  <si>
    <t>CMOS-SCMO</t>
  </si>
  <si>
    <t>OTTAWA</t>
  </si>
  <si>
    <t>BOX 3211, STATION D, OTTAWA, ON K1P 6H7, CANADA</t>
  </si>
  <si>
    <t>0705-5900</t>
  </si>
  <si>
    <t>1480-9214</t>
  </si>
  <si>
    <t>ATMOS OCEAN</t>
  </si>
  <si>
    <t>Atmos.-Ocean</t>
  </si>
  <si>
    <t>10.1080/07055900.2013.830078</t>
  </si>
  <si>
    <t>CC4ER</t>
  </si>
  <si>
    <t>WOS:000350304200003</t>
  </si>
  <si>
    <t>Tully, MB; Klekociuk, AR; Rhodes, SK</t>
  </si>
  <si>
    <t>Tully, M. B.; Klekociuk, A. R.; Rhodes, S. K.</t>
  </si>
  <si>
    <t>Trends and Variability in Total Ozone from a Mid-Latitude Southern Hemisphere Site: The Melbourne Dobson Record 1978-2012</t>
  </si>
  <si>
    <t>Article; Proceedings Paper</t>
  </si>
  <si>
    <t>22nd Quadrennial Ozone Symposium (QOS)</t>
  </si>
  <si>
    <t>AUG, 2012</t>
  </si>
  <si>
    <t>Toronto, CANADA</t>
  </si>
  <si>
    <t>chemistry; intraseasonal variability; mid-latitudes; stratosphere; southern hemisphere; observation; ozone; Dobson</t>
  </si>
  <si>
    <t>QUASI-BIENNIAL OSCILLATION; LOWER STRATOSPHERIC TEMPERATURE; PLANETARY-WAVES; COLUMN OZONE; INTERANNUAL VARIABILITY; ATMOSPHERIC DYNAMICS; EXTRATROPICAL OZONE; SEASONAL-VARIATION; SATELLITE DATA; CHEMISTRY</t>
  </si>
  <si>
    <t>The Australian Bureau of Meteorology maintains a number of long-running Dobson measurement programs, among the few in southern hemisphere mid-latitudes. Data from the Melbourne site (the Melbourne/Airport World Ozone and Ultraviolet Radiation Data Centre (WOUDC) station was originally located at Aspendale, then moved to the city centre, and finally to Melbourne Airport) from 1978 to 2012 have recently been reviewed and re-evaluated. These data are analyzed using multi-linear regression and also by application of an 11-year running mean. Satellite data from the Merged Ozone Dataset are also used for comparison with the Dobson results. We show that the Quasi-Biennial Oscillation (QBO) plays a major role in winter and spring once phase is taken into account by month. We also show that the three so-called classical proxies (QBO, solar cycle, and Equivalent Effective Stratospheric Chlorine (EESC)) alone are able to give a good fit to ozone for Melbourne and, more generally, the southern mid-latitudes for most months of the year, in contrast with the case in the northern hemisphere where dynamical variation plays a much more important role. Correspondingly, the smoothed Melbourne Dobson time series shows a high correlation to EESC.</t>
  </si>
  <si>
    <t>[Tully, M. B.; Rhodes, S. K.] Bur Meteorol, Melbourne, Vic, Australia; [Klekociuk, A. R.] Australian Antarctic Div, Kingston, Tas, Australia</t>
  </si>
  <si>
    <t>Bureau of Meteorology - Australia; Australian Antarctic Division</t>
  </si>
  <si>
    <t>Tully, MB (corresponding author), Bur Meteorol, Melbourne, Vic, Australia.</t>
  </si>
  <si>
    <t>M.Tully@bom.gov.au</t>
  </si>
  <si>
    <t>Tully, Matthew/AAG-1730-2020; Klekociuk, Andrew/A-4498-2015</t>
  </si>
  <si>
    <t>Tully, Matthew/0000-0002-6153-5610; Klekociuk, Andrew/0000-0003-3335-0034</t>
  </si>
  <si>
    <t>Australian Antarctic Science programme [737, 4012]</t>
  </si>
  <si>
    <t>Australian Antarctic Science programme</t>
  </si>
  <si>
    <t>Part of this work was performed under Projects 737 and 4012 of the Australian Antarctic Science programme. The authors would like to thank NASA Goddard Space Flight Center for producing and making available the Merged Ozone Dataset as well as all the many observers from both the Bureau of Meteorology and the Commonwealth Scientific and Industrial Research Organization (CSIRO) who made Dobson observations from 1978 to 2012.</t>
  </si>
  <si>
    <t>10.1080/07055900.2013.869192</t>
  </si>
  <si>
    <t>Science Citation Index Expanded (SCI-EXPANDED); Conference Proceedings Citation Index - Science (CPCI-S)</t>
  </si>
  <si>
    <t>WOS:000350304200008</t>
  </si>
  <si>
    <t>Elsaesser, C; Wagenbach, D; Levin, I; Stanzick, A; Christl, M; Wallner, A; Kipfstuhl, S; Seierstad, IK; Wershofen, H; Dibb, J</t>
  </si>
  <si>
    <t>Elsaesser, C.; Wagenbach, D.; Levin, I.; Stanzick, A.; Christl, M.; Wallner, A.; Kipfstuhl, S.; Seierstad, I. K.; Wershofen, H.; Dibb, J.</t>
  </si>
  <si>
    <t>Simulating ice core 10Be on the glacial-interglacial timescale</t>
  </si>
  <si>
    <t>COSMOGENIC NUCLIDE PRODUCTION; GEOMAGNETIC-FIELD INTENSITY; DRONNING MAUD LAND; SOLAR-ACTIVITY; SURFACE AIR; CENTRAL GREENLAND; ANTARCTIC ICE; CARBON-CYCLE; BERYLLIUM 10; RECENT FIRN</t>
  </si>
  <si>
    <t>Be-10 ice core measurements are an important tool for paleoclimate research, e.g., allowing for the reconstruction of past solar activity or changes in the geomagnetic dipole field. However, especially on multi-millennial timescales, the share of production and climate-induced variations of respective Be-10 ice core records is still up for debate. Here we present the first quantitative climatological model of the Be-10 ice concentration up to the glacial-interglacial timescale. The model approach is composed of (i) a coarse resolution global atmospheric transport model and (ii) a local Be-10 air-firn transfer model. Extensive global-scale observational data of short-lived radionuclides as well as new polar Be-10 snow-pit measurements are used for model calibration and validation. Being specifically configured for Be-10 in polar ice, this tool thus allows for a straightforward investigation of production-and non-production-related modulation of this nuclide. We find that the polar Be-10 ice concentration does not immediately record the globally mixed cosmogenic production signal. Using geomagnetic modulation and revised Greenland snow accumulation rate changes as model input, we simulate the observed Greenland Summit (GRIP and GISP2) Be-10 ice core records over the last 75 kyr (on the GICC05modelext timescale). We show that our basic model is capable of reproducing the largest portion of the observed Be-10 changes. However, model-measurement differences exhibit multimillennial trends (differences up to 87% in case of normalized to the Holocene records) which call for closer investigation. Focusing on the (12-37) b2k (before the year AD2000) period, mean model-measurement differences of 30% cannot be attributed to production changes. However, unconsidered climate-induced changes could likely explain the model-measurement mismatch. In fact, the Be-10 ice concentration is very sensitive to snow accumulation changes. Here the reconstructed Greenland Summit (GRIP) snow accumulation rate record would require revision of +28% to solely account for the (12-37) b2k model-measurement differences.</t>
  </si>
  <si>
    <t>[Elsaesser, C.; Wagenbach, D.; Levin, I.; Stanzick, A.] Heidelberg Univ, Inst Umweltphys, D-69120 Heidelberg, Germany; [Christl, M.] Swiss Fed Inst Technol, Lab Ion Beam Phys, CH-8093 Zurich, Switzerland; [Wallner, A.] Univ Vienna, Vienna Environm Res Accelerator, A-1090 Vienna, Austria; [Kipfstuhl, S.] Alfred Wegener Inst Polar &amp; Marine Res, D-27570 Bremerhaven, Germany; [Seierstad, I. K.] Univ Copenhagen, Ctr Ice &amp; Climate, DK-2100 Copenhagen, Denmark; [Wershofen, H.] Phys Tech Bundesanstalt, D-38116 Braunschweig, Germany; [Dibb, J.] Univ New Hampshire, Inst Study Earth Oceans &amp; Space, Durham, NH 03824 USA</t>
  </si>
  <si>
    <t>Ruprecht Karls University Heidelberg; Swiss Federal Institutes of Technology Domain; ETH Zurich; University of Vienna; Helmholtz Association; Alfred Wegener Institute, Helmholtz Centre for Polar &amp; Marine Research; University of Copenhagen; Physikalisch-Technische Bundesanstalt (PTB); University System Of New Hampshire; University of New Hampshire</t>
  </si>
  <si>
    <t>Elsaesser, C (corresponding author), Heidelberg Univ, Inst Umweltphys, Neuenheimer Feld 229, D-69120 Heidelberg, Germany.</t>
  </si>
  <si>
    <t>christoph.elsaesser@iup.uni-heidelberg.de</t>
  </si>
  <si>
    <t>Christl, Marcus/J-4769-2016; Wallner, Anton/G-1480-2011</t>
  </si>
  <si>
    <t>Christl, Marcus/0000-0002-3131-6652; Wallner, Anton/0000-0003-2804-3670</t>
  </si>
  <si>
    <t>German Science Foundation (DFG) [DFG LE 1198/4-1]</t>
  </si>
  <si>
    <t>German Science Foundation (DFG)(German Research Foundation (DFG))</t>
  </si>
  <si>
    <t>The authors would like to thank the Preparatory Commission for the Comprehensive nuclear-Test-Ban Treaty Organisation (CTBTO) for providing limited vDEC access to unique global atmospheric 7Be measurements. The views expressed within this publication are those of the authors and do not necessarily reflect the view of CTBTO Preparatory Commission. Special thanks go to Carlo Laj (LSCE, Gif-sur-Yvette) for providing the GLOPIS-75 geomagnetic reconstruction data as well as Margareta Hansson (Stockholm University) for JASE snow-pit samples. The work was partly funded by the German Science Foundation (DFG) within research grant DFG LE 1198/4-1.</t>
  </si>
  <si>
    <t>10.5194/cp-11-115-2015</t>
  </si>
  <si>
    <t>CC7PL</t>
  </si>
  <si>
    <t>WOS:000350560400001</t>
  </si>
  <si>
    <t>Cande, SC; Patriat, P</t>
  </si>
  <si>
    <t>Cande, Steven C.; Patriat, Philippe</t>
  </si>
  <si>
    <t>The anticorrelated velocities of Africa and India in the Late Cretaceous and early Cenozoic</t>
  </si>
  <si>
    <t>GEOPHYSICAL JOURNAL INTERNATIONAL</t>
  </si>
  <si>
    <t>Plate motions; Kinematics of crustal and mantle deformation; Indian Ocean</t>
  </si>
  <si>
    <t>TECTONIC EVOLUTION; FINITE ROTATIONS; MANTLE PLUMES; NUBIA-SOMALIA; FLOOD BASALTS; PLATE; OCEAN; MOTION; BOUNDARY; RIDGE</t>
  </si>
  <si>
    <t>We present a revised interpretation of magnetic anomalies and fracture zones on the Southwest Indian Ridge (SWIR; Africa-Antarctica) and the Southeast Indian Ridge (SEIR; Capricorn-Antarctica) and use them to calculate 2-plate finite rotations for anomalies 34 to 20 (84 to 43 Ma). Central Indian Ridge (CIR; Capricorn-Africa) rotations are calculated by summing the SWIR and SEIR rotations. These rotations provide a high-resolution record of changes in the motion of India and Africa at the time of the onset of the Reunion plume head. An analysis of the relative velocities of India, Africa and Antarctica leads to a refinement of previous observations that the speedup of India relative to the mantle was accompanied by a slowdown of Africa. The most rapid slowdown of Africa occurs around Chron 32Ay (71 Ma), the time when India's motion relative to Africa notably starts to accelerate. Using the most recent Geomagnetic Polarity Timescale (GTS12) we show that India's velocity relative to Africa was characterized by an acceleration from roughly 60 to 180 mm yr(-1) between 71 and 66 Ma, a short pulse of superfast motion (similar to 180 mm yr(-1)) between 66 and 63 Ma, an abrupt slowdown to 120 mm yr(-1) between 63 and 62 Ma, and then a long period (63 to 47 Ma) of gradual slowing, but still fast motion (similar to 100 mm yr(-1)), which ends with a rapid slowdown after Chron 21o (47 Ma). Changes in the velocities of Africa and India with respect to the mantle follow a similar pattern. The fastest motion of India relative to the mantle, similar to 220 mm yr(-1), occurs during Chron 29R. The SWIR rotations constrain three significant changes in the migration path of the Africa-Antarctic stage poles: following Chron 33y (73 Ma), following Chron 31y (68 Ma), and following Chron 24o (54 Ma). The change in the migration path of the SWIR stage poles following Chron 33y is coincident with the most rapid slowdown in Africa's motion. The change in the migration path after Chron 31y, although coincident with the most rapid acceleration of India's northward motion, may be related to changes in ridge push forces on the SWIR associated with the onset of extension along the Bain transform fault zone. The initial slowdown in India's motion relative to Africa between 63 and 62 Ma is more abrupt than predictions based on published plume head force models, suggesting it might have been caused by a change in plate boundary forces. The abrupt change in the migration path of the SWIR stage poles after Chron 24o is not associated with major changes in the velocities of either Africa or India and may reflect Atlantic basin plate motion changes associated with the arrival at the Earth's surface of the Iceland plume head. The abruptness of India's slowdown after Chron 21o is consistent with a collision event.</t>
  </si>
  <si>
    <t>[Cande, Steven C.] Univ Calif San Diego, Scripps Inst Oceanog, La Jolla, CA 92093 USA; [Patriat, Philippe] Inst Phys Globe Paris, Lab Geosci Marines, F-75252 Paris 05, France</t>
  </si>
  <si>
    <t>University of California System; University of California San Diego; Scripps Institution of Oceanography; Universite Paris Cite</t>
  </si>
  <si>
    <t>Cande, SC (corresponding author), Univ Calif San Diego, Scripps Inst Oceanog, La Jolla, CA 92093 USA.</t>
  </si>
  <si>
    <t>scande@ucsd.edu</t>
  </si>
  <si>
    <t>NSF [OCE1130047]; Directorate For Geosciences; Division Of Ocean Sciences [1130047] Funding Source: National Science Foundation</t>
  </si>
  <si>
    <t>NSF(National Science Foundation (NSF)); Directorate For Geosciences; Division Of Ocean Sciences(National Science Foundation (NSF)NSF - Directorate for Geosciences (GEO))</t>
  </si>
  <si>
    <t>We thank Graeme Eagles and an anonymous reviewer for helpful comments. Support for this work was provided by NSF grant OCE1130047 to SCC.</t>
  </si>
  <si>
    <t>OXFORD UNIV PRESS</t>
  </si>
  <si>
    <t>GREAT CLARENDON ST, OXFORD OX2 6DP, ENGLAND</t>
  </si>
  <si>
    <t>0956-540X</t>
  </si>
  <si>
    <t>1365-246X</t>
  </si>
  <si>
    <t>GEOPHYS J INT</t>
  </si>
  <si>
    <t>Geophys. J. Int.</t>
  </si>
  <si>
    <t>10.1093/gji/ggu392</t>
  </si>
  <si>
    <t>Geochemistry &amp; Geophysics</t>
  </si>
  <si>
    <t>CC0QU</t>
  </si>
  <si>
    <t>Green Submitted, Bronze</t>
  </si>
  <si>
    <t>WOS:000350041600019</t>
  </si>
  <si>
    <t>Lavers, JL</t>
  </si>
  <si>
    <t>Lavers, Jennifer L.</t>
  </si>
  <si>
    <t>Population status and threats to Flesh-footed Shearwaters (Puffinus carneipes) in South and Western Australia</t>
  </si>
  <si>
    <t>ICES JOURNAL OF MARINE SCIENCE</t>
  </si>
  <si>
    <t>apex marine predator; cumulative mortality; Flesh-footed Shearwater; indicator species; Puffinus carneipes</t>
  </si>
  <si>
    <t>TAILED SHEARWATERS; PLASTIC INGESTION; LONGLINE FISHERY; SEABIRD; CONSERVATION; ISLAND; COLONY; ALBATROSSES; ABUNDANCE; DECLINE</t>
  </si>
  <si>
    <t>Seabirds are considered reliable indicators of the marine environment due to their reliance on ocean-based resources and position at the top of the marine foodweb. The status of the world's bird populations have deteriorated over the past 20 years with seabirds declining faster than any other bird group. For some seabird species, a lack of data or synthesis of available data limits our ability to detect changes in population trends and gain insight into the condition of the surrounding marine environment. The Flesh-footed Shearwater (FFSH; Puffinus carneipes) exemplifies this with demographic and count data either absent or outdated for most breeding islands. Results of a survey of 20 FFSH breeding islands in South and Western Australia during 2011-2014, and a synthesis of all available data indicate the current global population is substantially smaller than previously thought, comprising no more than 74 000 breeding pairs. While much of the reduction in numbers is due to outdated burrow counts which are shown to be a poor measure of population size in this species, there is evidence of a decline in numbers on at least six islands that account for similar to 40% of the world's population. A review of novel and existing data on FFSH breeding habits (burrow occupancy and density), concurrent threats, and population size in South and Western Australia are presented here along with priorities for management of this declining marine predator.</t>
  </si>
  <si>
    <t>Univ Tasmania, Inst Marine &amp; Antarctic Studies, Battery Point, Tas 7004, Australia</t>
  </si>
  <si>
    <t>Lavers, JL (corresponding author), Univ Tasmania, Inst Marine &amp; Antarctic Studies, 20 Castray Esplanade, Battery Point, Tas 7004, Australia.</t>
  </si>
  <si>
    <t>jennifer.lavers@utas.edu.au</t>
  </si>
  <si>
    <t>Lavers, Jennifer/O-4831-2017</t>
  </si>
  <si>
    <t>Lavers, Jennifer/0000-0001-7596-6588</t>
  </si>
  <si>
    <t>BirdLife Tasmania; Gabbie Kylie Foundation; South Australia Nature Foundation; Save our Shearwaters Foundation; Trading Consultants Ltd; Two Hands Project; W.V. Scott Charitable Trust</t>
  </si>
  <si>
    <t>BirdLife Tasmania, Gabbie Kylie Foundation, South Australia Nature Foundation, Save our Shearwaters Foundation, Trading Consultants Ltd, Two Hands Project, and the W.V. Scott Charitable Trust provided funding for this research. Special thanks go to R. Anderson, B. Barton, C. &amp; G. Biddulph, S. Butler, M. Carey, N. Cheshire, T. Cole, P. Collins, S. Comer, A. Forrest, S. Goldsworthy, D. Guilfoyle, A. McGilvray, R. Mills, C. Powell, J. Pridham, P. Sharp, H. Simpson, M. Stadler, S. Stuckenbrock, V. Wellington, the Australian Bird and Bat Banding Scheme, South Australian Department of Environment, Water, and Natural Resources, and Western Australian Department of Parks and Wildlife for generously providing data, logistical support, and assistance in the field. This research was undertaken with approval from the South Australia and University of Tasmania animal ethics committees (A0010874, A0012279, and M25957-1). This manuscript benefited greatly from discussions with I. Abbott, A. Bond, A. Burbidge, V. Byrd, K. Camphuysen, N. Dunlop, S. Garnett, R. Johnstone, D. Oro, and two anonymous reviewers improved previous drafts.</t>
  </si>
  <si>
    <t>1054-3139</t>
  </si>
  <si>
    <t>1095-9289</t>
  </si>
  <si>
    <t>ICES J MAR SCI</t>
  </si>
  <si>
    <t>ICES J. Mar. Sci.</t>
  </si>
  <si>
    <t>JAN-FEB</t>
  </si>
  <si>
    <t>10.1093/icesjms/fsu164</t>
  </si>
  <si>
    <t>Fisheries; Marine &amp; Freshwater Biology; Oceanography</t>
  </si>
  <si>
    <t>CC2DC</t>
  </si>
  <si>
    <t>WOS:000350154300003</t>
  </si>
  <si>
    <t>McNabb, RW; Hock, R; Huss, M</t>
  </si>
  <si>
    <t>McNabb, R. W.; Hock, R.; Huss, M.</t>
  </si>
  <si>
    <t>Variations in Alaska tidewater glacier frontal ablation, 1985-2013</t>
  </si>
  <si>
    <t>JOURNAL OF GEOPHYSICAL RESEARCH-EARTH SURFACE</t>
  </si>
  <si>
    <t>glacier dynamics; frontal ablation; ice thickness</t>
  </si>
  <si>
    <t>SEA-LEVEL RISE; MASS-BALANCE; COLUMBIA GLACIER; ICE CAP; SURFACE VELOCITY; LECONTE GLACIER; HUBBARD GLACIER; BED TOPOGRAPHY; FLUCTUATIONS; GREENLAND</t>
  </si>
  <si>
    <t>Our incomplete knowledge of the proportion of mass loss due to frontal ablation (the sum of ice loss through calving and submarine melt) from tidewater glaciers outside of the Greenland and Antarctic ice sheets has been cited as a major hindrance to accurate predictions of global sea level rise. We present a 28 year record (1985-2013) of frontal ablation for 27 Alaska tidewater glaciers (representing 96% of the total tidewater glacier area in the region), calculated from satellite-derived ice velocities and modeled estimates of glacier ice thickness. We account for cross-sectional ice thickness variation, long-term thickness changes, mass lost between an upstream fluxgate and the terminus, and mass change due to changes in terminus position. The total mean rate of frontal ablation for these 27 glaciers over the period 1985-2013 is 15.11 3.63Gta(-1). Two glaciers, Hubbard and Columbia, account for approximately 50% of these losses. The regional total ablation has decreased at a rate of 0.14Gta(-1) over this time period, likely due to the slowing and thinning of many of the glaciers in the study area. Frontal ablation constitutes only approximate to 4% of the total annual regional ablation, but roughly 20% of net mass loss. Comparing several commonly used approximations in the calculation of frontal ablation, we find that neglecting cross-sectional thickness variations severely underestimates frontal ablation.</t>
  </si>
  <si>
    <t>[McNabb, R. W.; Hock, R.] Univ Alaska Fairbanks, Inst Geophys, Fairbanks, AK 99775 USA; [Hock, R.] Uppsala Univ, Dept Earth Sci, Uppsala, Sweden; [Huss, M.] ETH, Lab Hydraul Hydrol &amp; Glaciol, Zurich, Switzerland; [Huss, M.] Univ Fribourg, Dept Geosci, CH-1700 Fribourg, Switzerland</t>
  </si>
  <si>
    <t>University of Alaska System; University of Alaska Fairbanks; Uppsala University; Swiss Federal Institutes of Technology Domain; ETH Zurich; University of Fribourg</t>
  </si>
  <si>
    <t>McNabb, RW (corresponding author), Univ Alaska Fairbanks, Inst Geophys, Fairbanks, AK 99775 USA.</t>
  </si>
  <si>
    <t>mcnabb@gi.alaska.edu</t>
  </si>
  <si>
    <t>Hock, Regine/C-6179-2013; Huss, Matthias/JLL-6340-2023; Huss, Matthias/O-1399-2019; Hock, Regine/JTT-4089-2023</t>
  </si>
  <si>
    <t>Huss, Matthias/0000-0002-2377-6923; McNabb, Robert/0000-0003-0016-493X; Hock, Regine/0000-0001-8336-9441</t>
  </si>
  <si>
    <t>NSF [EAR-0943742]; NASA [NNX11AF41G, NNX11A023G]; NASA [146247, NNX11AF41G] Funding Source: Federal RePORTER</t>
  </si>
  <si>
    <t>NSF(National Science Foundation (NSF)); NASA(National Aeronautics &amp; Space Administration (NASA)); NASA(National Aeronautics &amp; Space Administration (NASA))</t>
  </si>
  <si>
    <t>Mark Fahnestock provided the code used to implement the offset tracking algorithm, as well as help advice in improving both the code and the manuscript. Anthony Arendt, Andy Aschwanden, Timothy Bartholomaus, Andy Bliss, Cody Beedlow, Evan Burgess, Christian Kienholz, and Shad O'Neel all provided invaluable advice and support that led to a much improved manuscript for this paper. In particular, Ed Bueler, Roman Motyka, Erin Pettit, and Martin Truffer provided insights and help in developing the ideas and methods for this study. Three anonymous reviewers provided helpful critical comments that led to the improvement of the manuscript. This work was funded in part by NSF grant EAR-0943742, NASA grant NNX11AF41G, and NASA grant NNX11A023G. Velocity and frontal ablation data will be made available through the National Snow and Ice Data Center (NSIDC).</t>
  </si>
  <si>
    <t>AMER GEOPHYSICAL UNION</t>
  </si>
  <si>
    <t>WASHINGTON</t>
  </si>
  <si>
    <t>2000 FLORIDA AVE NW, WASHINGTON, DC 20009 USA</t>
  </si>
  <si>
    <t>2169-9003</t>
  </si>
  <si>
    <t>2169-9011</t>
  </si>
  <si>
    <t>J GEOPHYS RES-EARTH</t>
  </si>
  <si>
    <t>J. Geophys. Res.-Earth Surf.</t>
  </si>
  <si>
    <t>10.1002/2014JF003276</t>
  </si>
  <si>
    <t>Geosciences, Multidisciplinary</t>
  </si>
  <si>
    <t>Geology</t>
  </si>
  <si>
    <t>CC1NS</t>
  </si>
  <si>
    <t>WOS:000350108500006</t>
  </si>
  <si>
    <t>Wayland, MT; Vainio, JK; Gibson, DI; Herniou, EA; Littlewood, DTJ; Väinölä, R</t>
  </si>
  <si>
    <t>Wayland, Matthew T.; Vainio, Jouni K.; Gibson, David I.; Herniou, Elisabeth A.; Littlewood, D. Timothy J.; Vainola, Risto</t>
  </si>
  <si>
    <t>The systematics of Echinorhynchus Zoega in Muller, 1776 (Acanthocephala, Echinorhynchidae) elucidated by nuclear and mitochondrial sequence data from eight European taxa</t>
  </si>
  <si>
    <t>Acanthocephala; Echinorhynchus bothniensis; Echinorhynchus brayi; Echinorhynchus cinctulus; Echinorhynchus gadi; Echinorhynchus salmonis; Echinorhynchus truttae; Acanthocephalus lucii; phylogeny; molecular phylogeny; taxonomy; parasite; systematics; zoogeography</t>
  </si>
  <si>
    <t>BAYESIAN PHYLOGENETIC INFERENCE; INTERMEDIATE HOST; FRESH-WATER; MORPHOLOGICAL VARIABILITY; SALMONIS ACANTHOCEPHALA; LUCII ACANTHOCEPHALA; BOTHNIAN BAY; N. SP; CRUSTACEA; AMPHIPODA</t>
  </si>
  <si>
    <t>The acanthocephalan genus Echinorhynchus Zoega in Muller, 1776 (sensu Yamaguti 1963) is a large and widespread group of parasites of teleost fish and malacostracan crustaceans, distributed from the Arctic to the Antarctic in habitats ranging from freshwaters to the deep-sea. A total of 52 species are currently recognised based on the conventional morphological species concept; however, the true diversity in the genus is masked by cryptic speciation. The considerable diversity within Echinorhynchus is an argument for subdividing the genus if monophyletic groups with supporting morphological characters can be identified. With this objective in mind, partial sequences of two genes with different rates of evolution and patterns of inheritance (nuclear 28S rRNA and mitochondrial cytochrome c oxidase subunit I) were used to infer the phylogenetic relationships among eight taxa of Echinorhynchus. These included representatives of each of three genus group taxa proposed in a controversial revision of the genus based on cement gland pattern, namely Echinorhynchus (sensu stricto), Metechinorhynchus Petrochenko, 1956 and Pseudoechinorhynchus Petrochenko, 1956. These groupings have previously been rejected by some authorities, because the diagnostic character is poorly defined; this study shows that Echinorhynchus (sensu stricto) and Metechinorhynchus are not natural, monophyletic groups. A revision of Echinorhynchus will require tandem molecular phylogenetic and morphological analyses of a larger sample of taxa, but this study has identified two morhological characters that might potentially be used to define new genera. The estimated phylogeny also provides insight into the zoogeographical history of Echinorhynchus spp. We postulate that the ancestral Echinorhynchus had a freshwater origin and the genus subsequently invaded the sea, probably several times. The freshwater taxa of the E. bothniensis Zdzitowiecki &amp; Valtonen, 1987 clade may represent a reinvasion of freshwater by one or more ancestral marine species.</t>
  </si>
  <si>
    <t>[Wayland, Matthew T.] Univ Cambridge, Dept Zool, Cambridge CB2 3EJ, England; [Vainio, Jouni K.] Univ Helsinki, Dept Biosci, FIN-00014 Helsinki, Finland; [Gibson, David I.; Littlewood, D. Timothy J.] Nat Hist Museum, Dept Life Sci, London SW7 5BD, England; [Herniou, Elisabeth A.] Univ Tours, Fac Sci &amp; Tech, Inst Rech Biol Insecte, UMR CNRS 7261, F-372000 Tours, France; [Vainola, Risto] Univ Helsinki, Finnish Museum Nat Hist, FIN-00014 Helsinki, Finland</t>
  </si>
  <si>
    <t>University of Cambridge; University of Helsinki; Natural History Museum London; Universite de Tours; University of Helsinki</t>
  </si>
  <si>
    <t>Wayland, MT (corresponding author), Univ Cambridge, Dept Zool, Downing St, Cambridge CB2 3EJ, England.</t>
  </si>
  <si>
    <t>mw283@cam.ac.uk</t>
  </si>
  <si>
    <t>Herniou, Elisabeth/B-3786-2016; Gibson, David/HTQ-3690-2023; Littlewood, Tim/B-5230-2008; Gibson, David/D-3541-2009; Wayland, Matthew/V-6751-2019</t>
  </si>
  <si>
    <t>Herniou, Elisabeth/0000-0001-5362-6056; Littlewood, Tim/0000-0002-2718-4001; Gibson, David/0000-0002-2908-491X; Wayland, Matthew/0000-0002-8095-858X</t>
  </si>
  <si>
    <t>10.3897/zookeys.484.9132</t>
  </si>
  <si>
    <t>CC4RV</t>
  </si>
  <si>
    <t>gold, Green Published</t>
  </si>
  <si>
    <t>WOS:000350341900003</t>
  </si>
  <si>
    <t>van der Merwe, P; Bowie, AR; Quéroué, F; Armand, L; Blain, S; Chever, F; Davies, D; Dehairs, F; Planchon, F; Sarthou, G; Townsend, AT; Trull, TW</t>
  </si>
  <si>
    <t>van der Merwe, P.; Bowie, A. R.; Queroue, F.; Armand, L.; Blain, S.; Chever, F.; Davies, D.; Dehairs, F.; Planchon, F.; Sarthou, G.; Townsend, A. T.; Trull, T. W.</t>
  </si>
  <si>
    <t>Sourcing the iron in the naturally fertilised bloom around the Kerguelen Plateau: particulate trace metal dynamics</t>
  </si>
  <si>
    <t>OCEAN; WATER; MATTER; SEA; GEOCHEMISTRY; SOLUBILITY; EVOLUTION; SEDIMENT; MINERALS; DELIVERY</t>
  </si>
  <si>
    <t>The KEOPS2 project aims to elucidate the role of natural Fe fertilisation on biogeochemical cycles and ecosystem functioning, including quantifying the sources and processes by which iron is delivered in the vicinity of the Kerguelen Archipelago, Southern Ocean. The KEOPS2 process study used an upstream high-nutrient, low-chlorophyll (HNLC), deep water (2500 m), reference station to compare with a shallow (500 m), strongly fertilised plateau station and continued the observations to a downstream, bathymetrically trapped recirculation of the Polar Front where eddies commonly form and persist for hundreds of kilometres into the Southern Ocean. Over the Kerguelen Plateau, mean particulate (1-53 mu m) Fe and Al concentrations (pFe = 13.4 nM, pAl = 25.2 nM) were more than 20-fold higher than at an offshore (lower-productivity) reference station (pFe = 0.53 nM, pAl = 0.83 nM). In comparison, over the plateau dissolved Fe levels were only elevated by a factor of similar to 2. Over the Kerguelen Plateau, ratios of pMn / pAl and pFe / pAl resemble basalt, likely originating from glacial/fluvial inputs into shallow coastal waters. In downstream, offshore deep-waters, higher pFe / pAl, and pMn / pAl ratios were observed, suggesting loss of lithogenic material accompanied by retention of pFe and pMn. Biological uptake of dissolved Fe and Mn and conversion into the biogenic particulate fraction or aggregation of particulate metals onto bioaggregates also increased these ratios further in surface waters as the bloom developed within the recirculation structure. While resuspension of shelf sediments is likely to be one of the important mechanisms of Fe fertilisation over the plateau, fluvial and glacial sources appear to be important to areas downstream of the island. Vertical profiles within an offshore recirculation feature associated with the Polar Front show pFe and pMn levels that were 6-fold and 3.5-fold lower, respectively, than over the plateau in surface waters, though still 3.6-fold and 1.7-fold higher respectively than the reference station. Within the recirculation feature, strong depletions of pFe and pMn were observed in the remnant winter water (temperature-minimum) layer near 175 m, with higher values above and below this depth. The correspondence between the pFe minima and the winter water temperature minima implies a seasonal cycle is involved in the supply of pFe into the fertilised region. This observed association is indicative of reduced supply in winter, which is counterintuitive if sediment resuspension and entrainment within the mixed layer is the primary fertilising mechanism to the downstream recirculation structure. Therefore, we hypothesise that lateral transport of pFe from shallow coastal waters is strong in spring, associated with snow melt and increased runoff due to rainfall, drawdown through summer and reduced supply in winter when snowfall and freezing conditions predominate in the Kerguelen region.</t>
  </si>
  <si>
    <t>[van der Merwe, P.; Bowie, A. R.; Queroue, F.; Davies, D.; Trull, T. W.] Univ Tasmania, Antarctic Climate &amp; Ecosyst CRC, Battery Point, Tas 7004, Australia; [Bowie, A. R.; Queroue, F.] Univ Tasmania, Inst Marine &amp; Antarctic Studies, Battery Point, Tas 7004, Australia; [Queroue, F.; Chever, F.; Planchon, F.] Univ Bretagne Occidentale, Lab Sci Environm Marin LEMAR, CNRS, IRD,UMR6539,IUEM, F-29280 Plouzane, France; [Armand, L.] Macquarie Univ, Dept Biol Sci &amp; Climate Futures, N Ryde, NSW 2109, Australia; [Blain, S.] Univ Paris 06, Sorbonne Univ, Lab Oceanog Microbienne, UMR7621,Observ Oceanol, F-66650 Banyuls Sur Mer, France; [Blain, S.] Observ Oceanol, CNRS, UMR7621, Lab Oceanog Microbienne, F-66650 Banyuls Sur Mer, France; [Chever, F.] IFREMER, Ctr Brest, Dept REM EEP, Lab Environm Profond, F-29280 Plouzane, France; [Dehairs, F.] Vrije Univ Brussel, Analyt Environm &amp; Geochem &amp; Earth Syst Sci Res Gr, Brussels, Belgium; [Sarthou, G.] Univ Brest, IFREMER, IRD, CNRS,UMR6539,LEMAR,IUEM, F-29280 Plouzane, France; [Townsend, A. T.] Univ Tasmania, Cent Sci Lab, Sandy Bay, Tas 7005, Australia; [Trull, T. W.] CSIRO, Oceans &amp; Climate Flagship, Hobart, Tas, Australia</t>
  </si>
  <si>
    <t>University of Tasmania; University of Tasmania; Centre National de la Recherche Scientifique (CNRS); Ifremer; Institut de Recherche pour le Developpement (IRD); CNRS - Institute of Ecology &amp; Environment (INEE); Universite de Bretagne Occidentale; Institut Universitaire Europeen de la Mer (IUEM); Macquarie University; Centre National de la Recherche Scientifique (CNRS); CNRS - National Institute for Earth Sciences &amp; Astronomy (INSU); Sorbonne Universite; Sorbonne Universite; Centre National de la Recherche Scientifique (CNRS); CNRS - National Institute for Earth Sciences &amp; Astronomy (INSU); Ifremer; Vrije Universiteit Brussel; Centre National de la Recherche Scientifique (CNRS); Ifremer; Institut de Recherche pour le Developpement (IRD); Universite de Bretagne Occidentale; Institut Universitaire Europeen de la Mer (IUEM); CNRS - Institute of Ecology &amp; Environment (INEE); University of Tasmania; Commonwealth Scientific &amp; Industrial Research Organisation (CSIRO)</t>
  </si>
  <si>
    <t>van der Merwe, P (corresponding author), Univ Tasmania, Antarctic Climate &amp; Ecosyst CRC, Battery Point, Tas 7004, Australia.</t>
  </si>
  <si>
    <t>pvander@utas.edu.au</t>
  </si>
  <si>
    <t>Townsend, Ashley/J-7445-2014; Frederic, Planchon A.M./A-8651-2010; Armand, Leanne K/C-9004-2009; Trull, Tom W/B-7028-2014; blain, stephane/F-6917-2010; Bowie, Andrew/C-8677-2013; van der Merwe, Pier/C-9210-2015</t>
  </si>
  <si>
    <t>Townsend, Ashley/0000-0002-2972-2678; blain, stephane/0000-0002-5234-2446; Planchon, Frederic/0000-0003-1288-9698; Sarthou, Geraldine/0000-0001-6560-6669; Bowie, Andrew/0000-0002-5144-7799; Davies, Diana M./0000-0001-6304-3938; van der Merwe, Pier/0000-0002-7428-8030; Armand, Leanne/0000-0003-3995-308X</t>
  </si>
  <si>
    <t>Antarctic Climate and Ecosystems Cooperative Research Centre, University of Tasmania, Australia; French research program of INSU-CNRS LEFE-CYBER (Les enveloppes fluides et l'environnement - Cycles biogeochimiques, environnement et ressources); French ANR (Agence Nationale de la Recherche, SIMI-6 program) [ANR-10-BLAN-0614]; French CNES (Centre National d'Etudes Spatiales); French Polar Institute IPEV (Institut Polaire Paul-Emile Victor); Australian Antarctic Division, AAS [3214]; ARC LIEF [LE0989539]; Belgian Science Policy [SD/CA/05A]; Flanders Research Foundation [G071512N]; Vrije Universiteit Brussel, Strategic Research Plan; Agence Nationale de la Recherche (ANR) [ANR-10-BLAN-0614] Funding Source: Agence Nationale de la Recherche (ANR)</t>
  </si>
  <si>
    <t>Antarctic Climate and Ecosystems Cooperative Research Centre, University of Tasmania, Australia(Australian GovernmentDepartment of Industry, Innovation and ScienceCooperative Research Centres (CRC) Programme); French research program of INSU-CNRS LEFE-CYBER (Les enveloppes fluides et l'environnement - Cycles biogeochimiques, environnement et ressources); French ANR (Agence Nationale de la Recherche, SIMI-6 program)(Agence Nationale de la Recherche (ANR)); French CNES (Centre National d'Etudes Spatiales); French Polar Institute IPEV (Institut Polaire Paul-Emile Victor); Australian Antarctic Division, AAS; ARC LIEF(Australian Research Council); Belgian Science Policy(Belgian Federal Science Policy Office); Flanders Research Foundation(FWO); Vrije Universiteit Brussel, Strategic Research Plan; Agence Nationale de la Recherche (ANR)(Agence Nationale de la Recherche (ANR))</t>
  </si>
  <si>
    <t>This work was supported by the Antarctic Climate and Ecosystems Cooperative Research Centre, University of Tasmania, Australia. This work was also supported by the French research program of INSU-CNRS LEFE-CYBER (Les enveloppes fluides et l'environnement - Cycles biogeochimiques, environnement et ressources), the French ANR (Agence Nationale de la Recherche, SIMI-6 program, ANR-10-BLAN-0614), the French CNES (Centre National d'Etudes Spatiales) and the French Polar Institute IPEV (Institut Polaire Paul-Emile Victor). We would like to thank the captain and the crew of the R/V Marion Dufresne, Stephane Blain and Bernard Queguiner as chief scientist and project coordinator of the KEOPS2 cruises, respectively. L. Armand was supported by grant Australian Antarctic Division, AAS grant #3214. Access to Sector Field ICP- MS instrumentation was supported through ARC LIEF funding (LE0989539). F. Dehairs was supported by Belgian Science Policy grant SD/CA/05A; Flanders Research Foundation grant G071512N and Vrije Universiteit Brussel, Strategic Research Plan.</t>
  </si>
  <si>
    <t>10.5194/bg-12-739-2015</t>
  </si>
  <si>
    <t>CB7FU</t>
  </si>
  <si>
    <t>Green Submitted, Green Accepted, Green Published, gold</t>
  </si>
  <si>
    <t>WOS:000349793100007</t>
  </si>
  <si>
    <t>Bartley, JK; Kah, LC; Frank, TD; Lyons, TW</t>
  </si>
  <si>
    <t>Bartley, J. K.; Kah, L. C.; Frank, T. D.; Lyons, T. W.</t>
  </si>
  <si>
    <t>Deep-water microbialites of the Mesoproterozoic Dismal Lakes Group: microbial growth, lithification, and implications for coniform stromatolites</t>
  </si>
  <si>
    <t>GEOBIOLOGY</t>
  </si>
  <si>
    <t>NORTHWEST-TERRITORIES; BELT SUPERGROUP; TAOUDENI BASIN; MATS; EVOLUTION; BACTERIA; OCEAN; MACKENZIE; RECORD; SR</t>
  </si>
  <si>
    <t>Offshore facies of the Mesoproterozoic Sulky Formation, Dismal Lakes Group, arctic Canada, preserve microbialites with unusual morphology. These microbialites grew in water depths greater than several tens of meters and correlate with high-relief conical stromatolites of the more proximal September Lake reef complex. The gross morphology of these microbial facies consists of ridge-like vertical supports draped by concave-upward, subhorizontal elements, resulting in tent-shaped cuspate microbialites with substantial primary void space. Morphological and petrographic analyses suggest a model wherein penecontemporaneous upward growth of ridge elements and development of subhorizontal draping elements initially resulted in a buoyantly supported, unlithified microbial form. Lithification began via precipitation within organic elements during microbialite growth. Mineralization either stabilized or facilitated collapse of initially neutrally buoyant microbialite forms. Microbial structures and breccias were then further stabilized by precipitation of marine herringbone cement. During late-stage diagenesis, remaining void space was occluded by ferroan dolomite cement. Cuspate microbialites are most similar to those found in offshore facies of Neoarchean carbonate platforms and to unlithified, buoyantly supported microbial mats in modern ice-covered Antarctic lakes. We suggest that such unusual microbialite morphologies are a product of the interaction between motile and non-motile communities under nutrient-limiting conditions, followed by early lithification, which served to preserve the resultant microbial form. The presence of marine herringbone cement, commonly associated with high dissolved inorganic carbon (DIC), low O-2 conditions, also suggests growth in association with reducing environments at or near the seafloor or in conjunction with a geochemical interface. Predominance of coniform stromatolite forms in the Proterozoic-across a variety of depositional environments-may thus reflect a combination of heterogeneous nutrient distribution, potentially driven by variable redox conditions, and an elevated carbonate saturation state, which permits preservation of these unusual microbialite forms.</t>
  </si>
  <si>
    <t>[Bartley, J. K.] Gustavus Adolphus Coll, Dept Geol, St Peter, MN 56082 USA; [Kah, L. C.] Univ Tennessee, Dept Earth &amp; Planetary Sci, Knoxville, TN USA; [Frank, T. D.] Univ Nebraska, Dept Earth &amp; Atmospher Sci, Lincoln, NE USA; [Lyons, T. W.] Univ Calif Riverside, Dept Earth Sci, Riverside, CA 92521 USA</t>
  </si>
  <si>
    <t>Gustavus Adolphus College; University of Tennessee System; University of Tennessee Knoxville; University of Nebraska System; University of Nebraska Lincoln; University of California System; University of California Riverside</t>
  </si>
  <si>
    <t>Bartley, JK (corresponding author), Gustavus Adolphus Coll, Dept Geol, St Peter, MN 56082 USA.</t>
  </si>
  <si>
    <t>jbartley@gustavus.edu</t>
  </si>
  <si>
    <t>Kah, Linda C/J-3754-2019</t>
  </si>
  <si>
    <t>Kah, Linda C/0000-0001-7172-2033; Frank, Tracy/0000-0002-8422-7389</t>
  </si>
  <si>
    <t>NSF [EAR-9725538, EAR-9725395]</t>
  </si>
  <si>
    <t>NSF(National Science Foundation (NSF))</t>
  </si>
  <si>
    <t>Fieldwork and geochemical analyses were supported by NSF grants EAR-9725538 (TWL and LCK) and EAR-9725395 (TDF). We are grateful to B. Thomas for his able assistance in the field, and to Air Tindi and Canada's Department of Indian and Northern Affairs for field logistical support. The manuscript was improved by numerous discussions with colleagues, including J.V. Bailey, T. Mackey, and D.Y. Sumner, and by the excellent suggestions of anonymous reviewers.</t>
  </si>
  <si>
    <t>WILEY</t>
  </si>
  <si>
    <t>HOBOKEN</t>
  </si>
  <si>
    <t>111 RIVER ST, HOBOKEN 07030-5774, NJ USA</t>
  </si>
  <si>
    <t>1472-4677</t>
  </si>
  <si>
    <t>1472-4669</t>
  </si>
  <si>
    <t>Geobiology</t>
  </si>
  <si>
    <t>10.1111/gbi.12114</t>
  </si>
  <si>
    <t>Biology; Environmental Sciences; Geosciences, Multidisciplinary</t>
  </si>
  <si>
    <t>Life Sciences &amp; Biomedicine - Other Topics; Environmental Sciences &amp; Ecology; Geology</t>
  </si>
  <si>
    <t>CC0UO</t>
  </si>
  <si>
    <t>WOS:000350053000002</t>
  </si>
  <si>
    <t>Burkett, AM; Rathburn, AE; Pérez, ME; Levin, LA; Cha, H; Rouse, GW</t>
  </si>
  <si>
    <t>Burkett, A. M.; Rathburn, A. E.; Perez, M. E.; Levin, L. A.; Cha, H.; Rouse, G. W.</t>
  </si>
  <si>
    <t>Phylogenetic placement of Cibicidoides wuellerstorfi (Schwager, 1866) from methane seeps and non-seep habitats on the Pacific margin</t>
  </si>
  <si>
    <t>BENTHIC FORAMINIFERA; HYDRATE RIDGE; MOLECULAR PHYLOGENY; ISOTOPIC COMPOSITION; GLOBAL DISTRIBUTION; MONTEREY BAY; DEEP-WATER; DELTA-C-13; SEDIMENTS; DEPOSITS</t>
  </si>
  <si>
    <t>Benthic foraminifera are among the most abundant groups found in deep-sea habitats, including methane seep environments. Unlike many groups, no endemic foraminiferal species have been reported from methane seeps, and to our knowledge, genetic data are currently sparse for Pacific deep-sea foraminifera. In an effort to understand the relationships between seep and non-seep populations of the deep-sea foraminifera Cibicidoides wuellerstorfi, a common paleo-indicator species, specimens from methane seeps in the Pacific were analyzed and compared to one another for genetic similarities of small subunit rDNA (SSU rDNA) sequences. Pacific Ocean C. wuellerstorfi were also compared to those collected from other localities around the world (based on 18S gene available on Genbank, e.g., Schweizer et al., 2009). Results from this study revealed that C. wuellerstorfi living in seeps near Costa Rica and Hydrate Ridge are genetically similar to one another at the species level. Individuals collected from the same location that display opposite coiling directions (dextral and sinstral) had no species level genetic differences. Comparisons of specimens with genetic information available from Genbank (SSU rDNA) showed that Pacific individuals, collected for this study, are genetically similar to those previously analyzed from the North Atlantic and Antarctic. These observations provide strong evidence for the true cosmopolitan nature of C. wuellerstorfi and highlight the importance of understanding how these microscopic organisms are able to maintain sufficient genetic exchange to remain within the same species between seep and non-seep habitats and over global distances.</t>
  </si>
  <si>
    <t>[Burkett, A. M.; Rathburn, A. E.] Indiana State Univ, Terre Haute, IN 47809 USA; [Rathburn, A. E.; Levin, L. A.; Rouse, G. W.] Univ Calif San Diego, Scripps Inst Oceanog, Ctr Marine Biodivers &amp; Conservat, La Jolla, CA 92093 USA; [Perez, M. E.] Nat Hist Museum, London SW7 5BD, England; [Cha, H.] Univ Calif San Diego, Scripps Inst Oceanog, Benth Invertebrate Collect, La Jolla, CA USA</t>
  </si>
  <si>
    <t>Indiana State University; University of California System; University of California San Diego; Scripps Institution of Oceanography; Natural History Museum London; University of California System; University of California San Diego; Scripps Institution of Oceanography</t>
  </si>
  <si>
    <t>Rouse, GW (corresponding author), Univ Calif San Diego, Scripps Inst Oceanog, Ctr Marine Biodivers &amp; Conservat, La Jolla, CA 92093 USA.</t>
  </si>
  <si>
    <t>grouse@ucsd.edu</t>
  </si>
  <si>
    <t>Rouse, Gregory/AAW-1494-2021; Rouse, Greg W/F-2611-2010</t>
  </si>
  <si>
    <t>Rouse, Gregory/0000-0001-9036-9263; Rouse, Greg W/0000-0001-9036-9263; Levin, Lisa/0000-0002-2858-8622; Burkett, Ashley/0000-0003-0688-265X</t>
  </si>
  <si>
    <t>National Science Foundation [OCE 0826254, OCE 0939557, OCE 0825436, OCE 0939232]</t>
  </si>
  <si>
    <t>National Science Foundation(National Science Foundation (NSF))</t>
  </si>
  <si>
    <t>The authors thank the Captain and Crew of the R/V Atlantis, the HOV Alvin crew and pilots, and Jason II ROV team. The authors would also like to thank scientific participants of AT15-44, AT15-59, AT15-68, and AT18-10, especially principle investigator Dr. Victoria Orphan, as well as research participants Benjamin Grupe, Ann Dekas, Ronald Taylor, Guiellermo Mendoza, Jason Waggoner, Brian Wrightsman, Neil Toth, Graham Nash, Mary Smith, Alexandra Hangsterfer, and Zack Bailey for help at sea. The authors would also like to thank Jennifer Gonzalez for laboratory assistance and Ryan Venturelli for helpful edits. This material is based in part upon work supported by the National Science Foundation under grants OCE 0826254 and OCE 0939557 awarded to L.A.L. and G.W.R., and OCE 0825436 and OCE 0939232 awarded to A.E.R. Any opinions, findings, and conclusions or recommendations expressed in this material are those of the authors and do not necessarily reflect the views of the National Science Foundation.</t>
  </si>
  <si>
    <t>10.1111/gbi.12118</t>
  </si>
  <si>
    <t>WOS:000350053000004</t>
  </si>
  <si>
    <t>Resplandy, L; Séférian, R; Bopp, L</t>
  </si>
  <si>
    <t>Resplandy, L.; Seferian, R.; Bopp, L.</t>
  </si>
  <si>
    <t>Natural variability of CO2 and O2 fluxes: What can we learn from centuries-long climate models simulations?</t>
  </si>
  <si>
    <t>JOURNAL OF GEOPHYSICAL RESEARCH-OCEANS</t>
  </si>
  <si>
    <t>carbon and oxygen; air-sea fluxes; natural variability; interannual and decadal variability</t>
  </si>
  <si>
    <t>TROPICAL PELAGIC FISHES; AIR-SEA FLUX; SOUTHERN-OCEAN; EQUATORIAL PACIFIC; NORTH-ATLANTIC; INTERANNUAL VARIABILITY; ANTHROPOGENIC CO2; DISSOLVED-OXYGEN; FORCING RESPONSE; PERIOD 1990-2009</t>
  </si>
  <si>
    <t>Ocean carbon uptake and oxygen content estimates over the past decades suggest that the anthropogenic carbon sink has changed and that the oxygen concentration in the ocean interior has decreased. Although these detected changes appear consistent with those expected from anthropogenic forced climate change, large uncertainties remain in the contribution of natural variability. Using century-long simulations (500-1000 years) of unforced natural variability from six Earth System Models (ESMs), we examine the internally driven natural variability of carbon and oxygen fluxes from interannual to multidecadal time scales. The intensity of natural variability differs between the ESMs, in particular, decadal variability locally accounts for 10-50% of the total variance. Although the variability is higher in all regions with strong climate modes (North Atlantic, North Pacific, etc.), we find that only the Southern Ocean and the tropical Pacific significantly modulate the global fluxes. On (multi)decadal time scales, deep convective events along the Antarctic shelf drive the global fluxes variability by transporting deep carbon-rich/oxygen-depleted waters to the surface and by reducing the sea-ice coverage. On interannual time scales, the global flux is modulated by (1) variations of the upwelling of circumpolar deep waters associated with the southern annular mode in the subpolar Southern Ocean and (2) variations of the equatorial/costal upwelling combined with changes in the solubility-driven fluxes in response to El Nino Southern Oscillation (ENSO) in the tropical Pacific. We discuss the challenges of measuring and detecting long-term trends from a few decade-long records influenced by internal variability.</t>
  </si>
  <si>
    <t>[Resplandy, L.; Bopp, L.] CEA UVSQ CNRS, Lab Sci Climate &amp; Environm, IPSL, Gif Sur Yvette, France; [Seferian, R.] CNRM, Toulouse, France</t>
  </si>
  <si>
    <t>Universite Paris Cite; CEA; Centre National de la Recherche Scientifique (CNRS); Universite Paris Saclay</t>
  </si>
  <si>
    <t>Resplandy, L (corresponding author), Univ Calif San Diego, Scripps Inst Oceanog, La Jolla, CA 92093 USA.</t>
  </si>
  <si>
    <t>lresplandy@ucsd.edu</t>
  </si>
  <si>
    <t>Séférian, Roland/ABD-5465-2021; bopp, laurent/ABF-5302-2020</t>
  </si>
  <si>
    <t>Séférian, Roland/0000-0002-2571-2114; bopp, laurent/0000-0003-4732-4953; Resplandy, Laure/0000-0002-1212-3943</t>
  </si>
  <si>
    <t>EU FP7 project CARBOCHANGE - European Commissions Seventh Framework Programme [264879]</t>
  </si>
  <si>
    <t>EU FP7 project CARBOCHANGE - European Commissions Seventh Framework Programme</t>
  </si>
  <si>
    <t>We sincerely thank R. Keeling and Y. Eddebar for the useful discussions and two anonymous reviewers for their helpful comments on the manuscript. This work was made possible, thanks to the climate modeling groups (listed in Table 1) for producing and making available their model output. We are grateful to P. Brockmann, S. Denvil, and the IPSL team for making the access to the CMIP5 database so easy. We acknowledge the World Climate Research Programme's Working Group on Coupled Modelling, which is responsible for CMIP. Support was provided by the EU FP7 project CARBOCHANGE, Changes in carbon uptake and emissions by oceans in a changing climate, which received funding from the European Commissions Seventh Framework Programme under grant agreement 264879. For CMIP, the U.S. Department of Energy's Program for Climate Model Diagnosis and Intercomparison provides coordinating support and led development of software infrastructure in partnership with the Global Organization for Earth System Science Portals. CMIP5 data can be found at http://cmip-pcmdi.llnl.gov/cmip5/data_portal.html.</t>
  </si>
  <si>
    <t>2169-9275</t>
  </si>
  <si>
    <t>2169-9291</t>
  </si>
  <si>
    <t>J GEOPHYS RES-OCEANS</t>
  </si>
  <si>
    <t>J. Geophys. Res.-Oceans</t>
  </si>
  <si>
    <t>10.1002/2014JC010463</t>
  </si>
  <si>
    <t>Oceanography</t>
  </si>
  <si>
    <t>CB8OP</t>
  </si>
  <si>
    <t>Green Published</t>
  </si>
  <si>
    <t>WOS:000349890000023</t>
  </si>
  <si>
    <t>Astafyeva, E; Zakharenkova, I; Doornbos, E</t>
  </si>
  <si>
    <t>Astafyeva, Elvira; Zakharenkova, Irina; Doornbos, Eelco</t>
  </si>
  <si>
    <t>Opposite hemispheric asymmetries during the ionospheric storm of 29-31 August 2004</t>
  </si>
  <si>
    <t>JOURNAL OF GEOPHYSICAL RESEARCH-SPACE PHYSICS</t>
  </si>
  <si>
    <t>ionospheric storm; hemispheric asymmetry; topside contribution; superfountain effect; thermospheric storm; postsunset sector</t>
  </si>
  <si>
    <t>HIGH-LATITUDE IONOSPHERE; MAGNETIC STORM; ELECTRIC-FIELDS; EQUATORIAL; DENSITY; CHAMP; DISTURBANCE; TEC; ENHANCEMENT; BEHAVIOR</t>
  </si>
  <si>
    <t>By making use of multiple ground-based and spaceborne instruments, we study ionospheric and thermospheric behavior during the moderately intense geomagnetic storm of 29-31 August 2004 (minimum Dst excursion of -128nT). Although this storm was far from the strongest in solar cycle 23, it provoked quite interesting effects in the ionosphere, such as opposite hemispheric asymmetries in the ionospheric F layer and in the topside ionosphere and a development of the ionospheric superfountain effect in the postsunset sector. Data from ground-based GPS receivers and ionosondes revealed large increase in total electron content (TEC) and in NmF2 in the southern hemisphere, whereas in the northern hemisphere, very weak or no effect was observed. On the contrary, the topside measurements indicated the occurrence of a positive storm in the northern hemisphere. Overall, the strongest storm time disturbances were observed in the postsunset sector (20:30-21:30 LT), where satellite radar altimeters TOPEX and Jason 1, along with the CHAMP satellite showed 250-400% TEC increase in the middle- and low-latitude regions. The signatures of the ionospheric plasma enhancement were seen up to the height of the Defense Meteorological Satellite Program (DMSP) satellites (840km). As for the thermospheric storm, data of the Gravity Recovery and Climate Experiment (GRACE) satellite mission revealed no asymmetry in neutral density data in the evening sector (17 UT); however, very strong hemispheric asymmetry was observed in the postsunset sector by CHAMP (21 UT). Overall, neutral density increase in the postsunset sector was found to be much stronger than in the evening sector.</t>
  </si>
  <si>
    <t>[Astafyeva, Elvira; Zakharenkova, Irina] Univ Paris Diderot, Inst Phys Globe Paris, UMR CNRS 7154, Paris Sorbonne Cite, Paris, France; [Doornbos, Eelco] Delft Univ Technol, Dept Space Engn, Delft, Netherlands</t>
  </si>
  <si>
    <t>Centre National de la Recherche Scientifique (CNRS); CNRS - National Institute for Earth Sciences &amp; Astronomy (INSU); Universite Paris Cite; Delft University of Technology</t>
  </si>
  <si>
    <t>Astafyeva, E (corresponding author), Univ Paris Diderot, Inst Phys Globe Paris, UMR CNRS 7154, Paris Sorbonne Cite, Paris, France.</t>
  </si>
  <si>
    <t>astafyeva@ipgp.fr</t>
  </si>
  <si>
    <t>Astafyeva, Elvira/B-3662-2012; Astafyeva, Elvira/AAA-2023-2022</t>
  </si>
  <si>
    <t>Astafyeva, Elvira/0000-0002-3819-3835; Zakharenkova, Irina/0000-0002-7878-7275; Doornbos, Eelco/0000-0002-9790-8546</t>
  </si>
  <si>
    <t>European Research Council under the European Union [307998]; European Research Council (ERC) [307998] Funding Source: European Research Council (ERC); Div Atmospheric &amp; Geospace Sciences; Directorate For Geosciences [1433968] Funding Source: National Science Foundation</t>
  </si>
  <si>
    <t>European Research Council under the European Union(European Research Council (ERC)); European Research Council (ERC)(European Research Council (ERC)Spanish Government); Div Atmospheric &amp; Geospace Sciences; Directorate For Geosciences(National Science Foundation (NSF)NSF - Directorate for Geosciences (GEO))</t>
  </si>
  <si>
    <t>This work is supported by the European Research Council under the European Union's Seventh Framework Program (ERC grant agreement 307998). We acknowledge the use of NASA/GSFC's Space Physics Data Facility's OMNIWeb (or CDAWeb or ftp) service, and OMNI data for the data of interplanetary and geophysical parameters, and pc-index. org services for the data of polar cap magnetic indices PCN and PCS. We thank the AVISO data center (http://aviso-data-center.cnes.fr/) for the data of satellite altimeters TOPEX and Jason 1 and GFZ Potsdam for providing the data of CHAMP satellite through the ISDC data center. We are grateful to the Center for Space Sciences at the University of Texas at Dallas and the U.S. Air Force for providing the DMSP thermal plasma data and to the International GNSS Service (IGS) for the GPS data and products. The authors thank the UML DIDBase (http://umlcar.uml.edu/DIDBase/), the Australian IPS Radio and Space Service (http://www.ips.gov.au/World_Data_Centre/1/3), and National Institute of Information and Communications and Technology (NICT) of Japan (http://wdc.nict.go.jp/IONO/HP2009/ISDJ/index-E.html) for providing the ionosondes' data. We acknowledge the Physical Oceanography Distributed Active Archive Center, ftp://podaac.jpl.nasa.gov, for the data of GPS receivers and K band measurements from the GRACE satellites. We thank O. Troshichev (Arctic and Antarctic Institute, Russia) and Takashi Kikuchi (STELab, Japan) for the fruitful discussions and comments. This is IPGP contribution 3593.</t>
  </si>
  <si>
    <t>2169-9380</t>
  </si>
  <si>
    <t>2169-9402</t>
  </si>
  <si>
    <t>J GEOPHYS RES-SPACE</t>
  </si>
  <si>
    <t>J. Geophys. Res-Space Phys.</t>
  </si>
  <si>
    <t>10.1002/2014JA020710</t>
  </si>
  <si>
    <t>Astronomy &amp; Astrophysics</t>
  </si>
  <si>
    <t>CB8OX</t>
  </si>
  <si>
    <t>Green Published, Bronze</t>
  </si>
  <si>
    <t>WOS:000349891300045</t>
  </si>
  <si>
    <t>Trull, TW; Davies, DM; Dehairs, F; Cavagna, AJ; Lasbleiz, M; Laurenceau-Cornec, EC; d'Ovidio, F; Planchon, F; Leblanc, K; Quéguiner, B; Blain, S</t>
  </si>
  <si>
    <t>Trull, T. W.; Davies, D. M.; Dehairs, F.; Cavagna, A-J.; Lasbleiz, M.; Laurenceau-Cornec, E. C.; d'Ovidio, F.; Planchon, F.; Leblanc, K.; Queguiner, B.; Blain, S.</t>
  </si>
  <si>
    <t>Chemometric perspectives on plankton community responses to natural iron fertilisation over and downstream of the Kerguelen Plateau in the Southern Ocean</t>
  </si>
  <si>
    <t>CARBON-ISOTOPE FRACTIONATION; PARTICULATE ORGANIC-CARBON; PHOTOSYNTHETIC C-13 FRACTIONATION; GROWTH-RATE; INORGANIC CARBON; ELEMENTAL COMPOSITION; MARINE-PHYTOPLANKTON; AUSTRALIAN SECTOR; BIOGENIC SILICA; NITRATE UPTAKE</t>
  </si>
  <si>
    <t>We examined phytoplankton community responses to natural iron fertilisation at 32 sites over and downstream from the Kerguelen Plateau in the Southern Ocean during the austral spring bloom in October-November 2011. The community structure was estimated from chemical and isotopic measurements (particulate organic carbon - POC; C-13-POC; particulate nitrogen -PN; N-15-PN; and biogenic silica - BSi) on size-fractionated samples from surface waters (300, 210, 50, 20, 5, and 1 mu m fractions). Higher values of C-13-POC (vs. co-located C-13 values for dissolved inorganic carbon -DIC) were taken as indicative of faster growth rates and higher values of N-15-PN (vs. co-located N-15-NO3 source values) as indicative of greater nitrate use (rather than ammonium use, i.e. higher f ratios). Community responses varied in relation to both regional circulation and the advance of the bloom. Iron-fertilised waters over the plateau developed dominance by very large diatoms (50-210 mu m) with high BSi / POC ratios, high growth rates, and significant ammonium recycling (lower f ratios) as biomass built up. In contrast, downstream polar frontal waters with a similar or higher iron supply were dominated by smaller diatoms (20-50 mu m) and exhibited greater ammonium recycling. Stations in a deep-water bathymetrically trapped recirculation south of the polar front with lower iron levels showed the large-cell dominance observed on the plateau but much less biomass. Comparison of these communities to surface water nitrate (and silicate) depletions as a proxy for export shows that the low-biomass recirculation feature had exported similar amounts of nitrogen to the high-biomass blooms over the plateau and north of the polar front. This suggests that early spring trophodynamic and export responses differed between regions with persistent low levels vs. intermittent high levels of iron fertilisation.</t>
  </si>
  <si>
    <t>[Trull, T. W.; Davies, D. M.; Laurenceau-Cornec, E. C.] CSIRO Marine &amp; Atmospher Res, Hobart, Tas, Australia; [Trull, T. W.; Davies, D. M.; Laurenceau-Cornec, E. C.] Antarctic Climate &amp; Ecosyst Cooperat Res Ctr, Hobart, Tas, Australia; [Dehairs, F.; Laurenceau-Cornec, E. C.] Univ Tasmania, Inst Marine &amp; Antarctic Studies, Hobart, Tas, Australia; [Cavagna, A-J.] Vrije Univ Brussel, Earth Sci Res Grp, Brussels, Belgium; [Lasbleiz, M.; Leblanc, K.; Queguiner, B.] Aix Marseille Univ, Marseille, France; [Lasbleiz, M.; Leblanc, K.; Queguiner, B.] Univ Toulon &amp; Var, Marseille, France; [d'Ovidio, F.] Univ Paris 06, IPSL, LOCEAN, Paris, France; [Planchon, F.] Univ Brest, IUEM, Lab Sci Environm Marin LEMAR, Plouzane, France; [Blain, S.] Univ Paris 06, Sorbonne Univ, UMR7621, Lab Oceanog Microbienne,Observ Oceanol, F-66650 Banyuls Sur Mer, France; [Blain, S.] CNRS, Lab Oceanog Microbienne, Observ Oceanol, F-66650 Banyuls Sur Mer, France</t>
  </si>
  <si>
    <t>Commonwealth Scientific &amp; Industrial Research Organisation (CSIRO); Antarctic Climate &amp; Ecosystems Cooperative Research Centre (ACE CRC); University of Tasmania; Vrije Universiteit Brussel; Aix-Marseille Universite; Universite de Toulon; Sorbonne Universite; Museum National d'Histoire Naturelle (MNHN); Universite Paris Cite; Universite de Bretagne Occidentale; Institut Universitaire Europeen de la Mer (IUEM); Centre National de la Recherche Scientifique (CNRS); Ifremer; Institut de Recherche pour le Developpement (IRD); Centre National de la Recherche Scientifique (CNRS); CNRS - National Institute for Earth Sciences &amp; Astronomy (INSU); Sorbonne Universite; Centre National de la Recherche Scientifique (CNRS); Sorbonne Universite</t>
  </si>
  <si>
    <t>Trull, TW (corresponding author), CSIRO Marine &amp; Atmospher Res, Hobart, Tas, Australia.</t>
  </si>
  <si>
    <t>tom.trull@csiro.au</t>
  </si>
  <si>
    <t>d'Ovidio, Francesco/ABA-8461-2021; Trull, Tom W/B-7028-2014; Leblanc, Karine/C-6029-2009; Frederic, Planchon A.M./A-8651-2010; Quéguiner, Bernard/B-4060-2008; blain, stephane/F-6917-2010</t>
  </si>
  <si>
    <t>Quéguiner, Bernard/0000-0001-5020-8297; Planchon, Frederic/0000-0003-1288-9698; blain, stephane/0000-0002-5234-2446; d'Ovidio, Francesco/0000-0002-9664-7778; Laurenceau-Cornec, Emmanuel/0000-0002-4041-4377; Davies, Diana M./0000-0001-6304-3938</t>
  </si>
  <si>
    <t>Institute Polaire Paul-Emile Victor; Marion Dufresne; Australian Commonwealth Cooperative Research Centre Program; CSIRO Marine and Atmospheric Research (CMAR); French Research program of INSU-CNRS LEFE CYBER (Les enveloppes fluides et l'environnement-Cycles biogeochimiques, environnement et ressources); French ANR (Agence Nationale de la Recherche, SIMI-6 program) [ANR-10-BLAN-0614]; French CNES (Centre National d'Etudes Spatiales); Agence Nationale de la Recherche (ANR) [ANR-10-BLAN-0614] Funding Source: Agence Nationale de la Recherche (ANR)</t>
  </si>
  <si>
    <t>Institute Polaire Paul-Emile Victor; Marion Dufresne; Australian Commonwealth Cooperative Research Centre Program(Australian GovernmentDepartment of Industry, Innovation and ScienceCooperative Research Centres (CRC) Programme); CSIRO Marine and Atmospheric Research (CMAR); French Research program of INSU-CNRS LEFE CYBER (Les enveloppes fluides et l'environnement-Cycles biogeochimiques, environnement et ressources); French ANR (Agence Nationale de la Recherche, SIMI-6 program)(Agence Nationale de la Recherche (ANR)); French CNES (Centre National d'Etudes Spatiales); Agence Nationale de la Recherche (ANR)(Agence Nationale de la Recherche (ANR))</t>
  </si>
  <si>
    <t>The Institute Polaire Paul-Emile Victor, the captain and crew of the Marion Dufresne, the Australian Commonwealth Cooperative Research Centre Program, and CSIRO Marine and Atmospheric Research (CMAR) provided logistic and financial support. Special thanks go to Pierre Sangiardi (IPEV) for implementing the underway seawater supply for our high-volume particle sampling and underway sensor mapping; Louise Oriole (Laboratoire d'Oceanographie Microbienne, Banyuls sur mer, France) for shipboard nutrient analyses; Abraham Passmore (ACE CRC) for BSi analyses; Peter Jansen (IMOS) for the logging system for the underway ISUS ultraviolet nitrate sensor; Ben Weeding (IMOS) for advancing ISUS calibration; Thomas Rodemann for CHN analyses in the University of Tasmania Central Sciences Laboratory; the VUB for nitrate isotope analyses; Clair Lo Monoco and Nicolas Metzl (LOCEAN, UPMC-CNRS) for access to pCO2 results; and Andy Bowie (ACE CRC/UTAS), Pier van der Merwe (ACE CRC), and Fabien Queroue (UTAS/UBO) for access to iron results. This work was supported by the French Research program of INSU-CNRS LEFE CYBER (Les enveloppes fluides et l'environnement-Cycles biogeochimiques, environnement et ressources), the French ANR (Agence Nationale de la Recherche, SIMI-6 program, ANR-10-BLAN-0614), and the French CNES (Centre National d'Etudes Spatiales).</t>
  </si>
  <si>
    <t>10.5194/bg-12-1029-2015</t>
  </si>
  <si>
    <t>CB7GM</t>
  </si>
  <si>
    <t>Green Published, Green Submitted, Green Accepted, gold</t>
  </si>
  <si>
    <t>WOS:000349794900009</t>
  </si>
  <si>
    <t>Zhang, XY; Wei, YS; Wang, CS; Zhang, XL; Shang, YM</t>
  </si>
  <si>
    <t>Zhang XinYi; Wei YuShua; Wang ChengShan; Zhang XiaoLong; Shang YongMei</t>
  </si>
  <si>
    <t>Provenance analysis and its tectonic significance of Early Cretaceous Rilang Formation in Zhongba area, southern Tibet</t>
  </si>
  <si>
    <t>ACTA PETROLOGICA SINICA</t>
  </si>
  <si>
    <t>Chinese</t>
  </si>
  <si>
    <t>Cretaceous; Rilang Formation; Provenance analysis; Detrital zircon U-Pb dating; Volcanic event; Tethyan Himalaya</t>
  </si>
  <si>
    <t>PB GEOCHRONOLOGICAL EVIDENCE; EARLY PALEOZOIC TECTONISM; PLASMA-MASS SPECTROMETRY; INDIA-ASIA COLLISION; ZANGBO SUTURE ZONE; U-PB; PLATE-TECTONICS; SANDSTONE COMPOSITIONS; TETHYS HIMALAYA; PASSIVE MARGIN</t>
  </si>
  <si>
    <t>The Early Cretaceous strata, Rilang Formation, exposes in the northern zone of Tethyan Himalaya in Zhongba area, southern Tibet. Rilang Formation is dominated by yellow-green volcaniclastics, but shale and mudstone are also visible in some layer. A detailed study on the sandstone petrologic characteristics and sedimentary characteristics (such as Bouma sequence and flute cast) was carried on. Rilang Formation is a set of deep-sea submarine fan sedimentary assemblage. Both compositional maturity and textural maturity of the sandstone are not high, indicating that Rilang Formation has a proximal provenance. The calculation of paleocurrent data from flute cast shows that the paleocurrent direction of Rilang Formation is from south to north, indicating that the material components came from the south, Tethyan Himalaya and/or Indian craton. The statistical results of sandstone fragment components show that the tectonic setting of provenance may belong to croton interior and quartzose recycled area. Further evidence of detrital zircon U-Pb dating of the sandstone from Rilang Formation proves that Rilang Formation has a mixed sediment source, with material derived Loth from stable continental margin of Indian Plate and a new source of Lower Cretaceous volcanic rocks. The provenance characteristics of Rilang Formation in Zhongba area is interpreted to be the result of a volcanic event in the northern margin of the Indian Continent during the Early Cretaceous, which was brought about by a deep-seated fracture. This volcanic event was most probably related to the break-up of Indian Continent from the Australia-Antarctic supercontinent.</t>
  </si>
  <si>
    <t>[Zhang XinYi; Wei YuShua; Wang ChengShan; Zhang XiaoLong; Shang YongMei] China Univ Geosci, Sch Earth Sci &amp; Resources, Beijing 100083, Peoples R China; [Zhang XinYi; Wei YuShua; Wang ChengShan; Zhang XiaoLong; Shang YongMei] China Univ Geosci, Res Ctr Tibetan Plateau Geol, Beijing 100083, Peoples R China</t>
  </si>
  <si>
    <t>China University of Geosciences; China University of Geosciences</t>
  </si>
  <si>
    <t>Zhang, XY (corresponding author), China Univ Geosci, Sch Earth Sci &amp; Resources, Beijing 100083, Peoples R China.</t>
  </si>
  <si>
    <t>xinyiz0117@163.com; cdutwys@163.com</t>
  </si>
  <si>
    <t>Wang, Chengshan/F-1230-2018; ZHANG, XIAOLONG/IZQ-4553-2023</t>
  </si>
  <si>
    <t>SCIENCE PRESS</t>
  </si>
  <si>
    <t>BEIJING</t>
  </si>
  <si>
    <t>16 DONGHUANGCHENGGEN NORTH ST, BEIJING 100717, PEOPLES R CHINA</t>
  </si>
  <si>
    <t>1000-0569</t>
  </si>
  <si>
    <t>ACTA PETROL SIN</t>
  </si>
  <si>
    <t>Acta Petrol. Sin.</t>
  </si>
  <si>
    <t>CB3DV</t>
  </si>
  <si>
    <t>WOS:000349509300020</t>
  </si>
  <si>
    <t>Dunaev, NN</t>
  </si>
  <si>
    <t>Dunaev, N. N.</t>
  </si>
  <si>
    <t>The northern coast of the South Georgia microcontinent as an indicator of the South Ocean Sea level in the Holocene</t>
  </si>
  <si>
    <t>DOKLADY EARTH SCIENCES</t>
  </si>
  <si>
    <t>ANTARCTIC PENINSULA; DEGLACIATION</t>
  </si>
  <si>
    <t>Russian Acad Sci, Shirshov Inst Oceanol, Moscow 117997, Russia</t>
  </si>
  <si>
    <t>Russian Academy of Sciences; Shirshov Institute of Oceanology</t>
  </si>
  <si>
    <t>Dunaev, NN (corresponding author), Russian Acad Sci, Shirshov Inst Oceanol, Nakhimovskii Pr 36, Moscow 117997, Russia.</t>
  </si>
  <si>
    <t>dunaev@ocean.ru</t>
  </si>
  <si>
    <t>Dunaev, Nikolay/S-1510-2016</t>
  </si>
  <si>
    <t>MAIK NAUKA/INTERPERIODICA/SPRINGER</t>
  </si>
  <si>
    <t>233 SPRING ST, NEW YORK, NY 10013-1578 USA</t>
  </si>
  <si>
    <t>1028-334X</t>
  </si>
  <si>
    <t>1531-8354</t>
  </si>
  <si>
    <t>DOKL EARTH SCI</t>
  </si>
  <si>
    <t>Dokl. Earth Sci.</t>
  </si>
  <si>
    <t>10.1134/S1028334X15010031</t>
  </si>
  <si>
    <t>CB1UP</t>
  </si>
  <si>
    <t>WOS:000349413800011</t>
  </si>
  <si>
    <t>Cousin, HR; Auman, HJ; Alderman, R; Virtue, P</t>
  </si>
  <si>
    <t>Cousin, Hannah R.; Auman, Heidi J.; Alderman, Rachael; Virtue, Patti</t>
  </si>
  <si>
    <t>The frequency of ingested plastic debris and its effects on body condition of Short-tailed Shearwater (Puffinus tenuirostris) pre-fledging chicks in Tasmania, Australia</t>
  </si>
  <si>
    <t>industrial plastic; marine debris; nurdles; plastic colour; plastic pollution; user plastic</t>
  </si>
  <si>
    <t>MARINE DEBRIS; PROCELLARIIFORM SEABIRDS; ARDENNA-TENUIROSTRIS; DIVING BEHAVIOR; NORTH PACIFIC; SEA-TURTLES; FUR SEALS; LONG-TERM; ACCUMULATION; PARTICLES</t>
  </si>
  <si>
    <t>In recent years, there have been increasing reports of ingestion of marine plastic debris in seabirds. Our aim was to assess the frequency and effects of ingested plastic debris in pre-fledging Short-tailed Shearwaters (Puffinus tenuirostris) in Tasmania. We conducted necropsies of 171 Shearwater chicks, confiscated after illegal poaching, to determine the presence of plastic debris in the proventriculus and ventriculus. We also examined whether there was a correlation between body condition (based on body mass and fat-scores) and quantity of plastic ingested (by count and weight). We recorded 1032 ingested plastic particles, consisting of industrial plastic (31%) and user plastic (69%). Most of the Shearwater chicks (96%) contained plastic debris with a mean of 148.1mg per bird (s.e. 8.1). Most plastic was found in the ventriculus. Light-coloured plastic dominated (63.8%), with the rest medium (22.1%) and dark (14.1%) plastics. We found that total mass of ingested plastic was not significantly related to body condition, or fat-scores or mass individually. Our study highlights the prevalence of plastic pollution in apparently healthy Shearwater chicks and underscores concern regarding the effects of increasing marine pollution on a global scale.</t>
  </si>
  <si>
    <t>[Cousin, Hannah R.; Auman, Heidi J.; Virtue, Patti] Univ Tasmania, Inst Marine &amp; Antarctic Studies, Hobart, Tas 7001, Australia; [Alderman, Rachael] Dept Primary Ind Pk Water &amp; Environm, Hobart, Tas 7001, Australia</t>
  </si>
  <si>
    <t>Cousin, HR (corresponding author), Univ Tasmania, Inst Marine &amp; Antarctic Studies, Private Bag 129, Hobart, Tas 7001, Australia.</t>
  </si>
  <si>
    <t>hrcousin@utas.edu.au</t>
  </si>
  <si>
    <t>Auman, Heidi J/JAN-6253-2023; Auman, Heidi J/J-2418-2013</t>
  </si>
  <si>
    <t>Auman, Heidi J/0000-0002-3749-7554; Virtue, Patti/0000-0002-9870-1256</t>
  </si>
  <si>
    <t>10.1071/MU13086</t>
  </si>
  <si>
    <t>CB4SK</t>
  </si>
  <si>
    <t>WOS:000349618100002</t>
  </si>
  <si>
    <t>Kokubun, N; Choy, EJ; Kim, JH; Takahashi, A</t>
  </si>
  <si>
    <t>Kokubun, Nobuo; Choy, Eun-Jung; Kim, Jeong-Hoon; Takahashi, Akinori</t>
  </si>
  <si>
    <t>Isotopic values of Antarctic Krill in relation to foraging habitat of penguins</t>
  </si>
  <si>
    <t>ORNITHOLOGICAL SCIENCE</t>
  </si>
  <si>
    <t>GPS tracking; Off-shelf; On-shelf; Phytoplankton; Stomach flushing</t>
  </si>
  <si>
    <t>SOUTH-SHETLAND ISLANDS; EUPHAUSIA-SUPERBA DANA; KING-GEORGE ISLAND; TROPHIC RELATIONSHIPS; C-13; OCEAN; N-15; WEST</t>
  </si>
  <si>
    <t>Antarctic Krill Euphausia superha is a key component of the Antarctic coastal marine ecosystem. Investigations into stable isotopic values of krill in predation hotspots arc important in facilitating our understanding of the feeding environments of krill in a local coastal ecosystem. In this study we investigated stable isotopic values and maturity and size composition of krill at a small spatial scale. by logging GPS tracks of five Chinstrap Pygoscelis antarcticus and seven Gentoo P. papua penguins, and analyzing their stomach contents. The study was conducted at a penguin colony on Barton Peninsula, King George Island, Antarctica. The main food item of both species was Antarctic Krill (&gt;98% wet mass). One Chinstrap and four Gentoo penguin foraging trips were classified as on-shelf trips, and four Chinstrap and three Gentoo Penguin foraging trips Were classified as off shelf trips. Krill collected from off-shelf trips had higher delta N-15 (4.22 +/- 0.28 parts per thousand) values than those from on-shelf trips (3.78 +/- 0.29 parts per thousand). The delta C-13 of the krill samples did not differ between the two penguin species or between trip types. The proportion of juvenile krill taken was higher for Chinstrap (13.04 +/- 4.97%) than Gentoo penguins (3.33 +/- 2.43%). Our results suggest that the main food source of the krill in our sample originated as non benthic planktonic/suspended organic matter; and that krill in off-shelf habitat may occasionally consume higher trophic level prey compared to those in on-shelf habitats.</t>
  </si>
  <si>
    <t>[Kokubun, Nobuo; Takahashi, Akinori] Natl Inst Polar Res, Tokyo 1908518, Japan; [Kokubun, Nobuo; Takahashi, Akinori] Grad Univ Adv Studies SOKENDAI, Dept Polar Sci, Tokyo 1908518, Japan; [Choy, Eun-Jung; Kim, Jeong-Hoon] Korea Polar Res Inst, Inchon 406840, South Korea</t>
  </si>
  <si>
    <t>Research Organization of Information &amp; Systems (ROIS); National Institute of Polar Research (NIPR) - Japan; Graduate University for Advanced Studies - Japan; Korea Polar Research Institute (KOPRI); Korea Institute of Ocean Science &amp; Technology (KIOST)</t>
  </si>
  <si>
    <t>Kokubun, N (corresponding author), Natl Inst Polar Res, 10-3 Midori Cho, Tokyo 1908518, Japan.</t>
  </si>
  <si>
    <t>kokubun@nipr.ac.jp</t>
  </si>
  <si>
    <t>Takahashi, Akinori/0000-0002-9868-0408</t>
  </si>
  <si>
    <t>KOPRI [PE14020]; Japan Society for the Promotion of Science (JSPS) Research Fellowship; NIPR</t>
  </si>
  <si>
    <t>KOPRI(Korea Polar Research Institute of Marine Research Placement (KOPRI)); Japan Society for the Promotion of Science (JSPS) Research Fellowship(Ministry of Education, Culture, Sports, Science and Technology, Japan (MEXT)Japan Society for the Promotion of Science); NIPR(National Institute of Polar Research (NIPR) - Japan)</t>
  </si>
  <si>
    <t>We would like to thank all members of the King Sejong Station, Korea Polar Research Institute (KOPRI) for logistic support daring our fieldwork. A research grant PE14020: Long-Term Ecological Research on King George island to Predict Ecosystem Responses to Climate Change, funded by KOPRI provided support for this study. This work was also supported by the Japan Society for the Promotion of Science (JSPS) Research Fellowship for Young Scientists to N.K. This study was conducted under permits issued by the Ministry of Environment, Japan. We are grateful to two anonymous reviewers who provided valuable comments on the manuscript. Dr. Mark Brazil provided valuable editorial comments, which greatly improved English. The production of this paper was supported by an NIPR publication subsidy.</t>
  </si>
  <si>
    <t>ORNITHOLOGICAL SOC JAPAN, UNIV TOKYO, SCH AGR</t>
  </si>
  <si>
    <t>TOKYO</t>
  </si>
  <si>
    <t>YAYOI 1-1-1, TOKYO, 113-8657, JAPAN</t>
  </si>
  <si>
    <t>1347-0558</t>
  </si>
  <si>
    <t>ORNITHOL SCI</t>
  </si>
  <si>
    <t>Ornithol. Sci.</t>
  </si>
  <si>
    <t>10.2326/osj.14.13</t>
  </si>
  <si>
    <t>CB2LT</t>
  </si>
  <si>
    <t>WOS:000349459700003</t>
  </si>
  <si>
    <t>Golovin, PN; Ivanov, VV</t>
  </si>
  <si>
    <t>Golovin, P. N.; Ivanov, V. V.</t>
  </si>
  <si>
    <t>Density stratification effects on the ice lead heat balance and perennial ice melting in the Central Arctic</t>
  </si>
  <si>
    <t>RUSSIAN METEOROLOGY AND HYDROLOGY</t>
  </si>
  <si>
    <t>Perennial ice; the Arctic basin; reduction of the ice cover area; density stratification; ice leads; ice melting</t>
  </si>
  <si>
    <t>Analyzed are ice conditions and observational data on perennial ice melting in the Arctic basin obtained from SP-31 (1990) and SHEBA (1998) drifting stations. Considered are external and internal reasons for perennial ice melting, in particular, the so called stratification effect. It is supposed that effects of the feedback between perennial ice melting and ice-free water area heightened by the stratification effect resulted in the rapid reduction of the perennial ice area in the Canadian part of the Arctic in the 1990s.</t>
  </si>
  <si>
    <t>[Golovin, P. N.; Ivanov, V. V.] Arctic &amp; Antarctic Res Inst, St Petersburg 199397, Russia</t>
  </si>
  <si>
    <t>Arctic &amp; Antarctic Research Institute</t>
  </si>
  <si>
    <t>Golovin, PN (corresponding author), Arctic &amp; Antarctic Res Inst, Ul Beringa 38, St Petersburg 199397, Russia.</t>
  </si>
  <si>
    <t>golovin@aari.ru</t>
  </si>
  <si>
    <t>Ivanov, Vladimir/AAX-6830-2020; Ivanov, Vladimir/J-5979-2014</t>
  </si>
  <si>
    <t>Ivanov, Vladimir/0000-0003-2569-6027</t>
  </si>
  <si>
    <t>EU FP7 ACCESS (Arctic Climate Change Economy and Society) international project</t>
  </si>
  <si>
    <t>The research was supported by the EU FP7 ACCESS (Arctic Climate Change Economy and Society) international project.</t>
  </si>
  <si>
    <t>PLEIADES PUBLISHING INC</t>
  </si>
  <si>
    <t>MOSCOW</t>
  </si>
  <si>
    <t>PLEIADES PUBLISHING INC, MOSCOW, 00000, RUSSIA</t>
  </si>
  <si>
    <t>1068-3739</t>
  </si>
  <si>
    <t>1934-8096</t>
  </si>
  <si>
    <t>RUSS METEOROL HYDRO+</t>
  </si>
  <si>
    <t>Russ. Meteorol. Hydrol.</t>
  </si>
  <si>
    <t>10.3103/S1068373915010070</t>
  </si>
  <si>
    <t>CB1XF</t>
  </si>
  <si>
    <t>WOS:000349420600007</t>
  </si>
  <si>
    <t>Maass, N; Kaleschke, L; Tian-Kunze, XS; Mäkynen, M; Drusch, M; Krumpen, T; Hendricks, S; Lensu, M; Haapala, J; Haas, C</t>
  </si>
  <si>
    <t>Maass, Nina; Kaleschke, Lars; Tian-Kunze, Xiangshan; Makynen, Marko; Drusch, Matthias; Krumpen, Thomas; Hendricks, Stefan; Lensu, Mikko; Haapala, Jari; Haas, Christian</t>
  </si>
  <si>
    <t>Validation of SMOS sea ice thickness retrieval in the northern Baltic Sea</t>
  </si>
  <si>
    <t>TELLUS SERIES A-DYNAMIC METEOROLOGY AND OCEANOGRAPHY</t>
  </si>
  <si>
    <t>sea ice thickness; satellite remote sensing; Baltic Sea</t>
  </si>
  <si>
    <t>COMPLEX-DIELECTRIC-CONSTANT; SOIL-MOISTURE; L-BAND; SNOW; MODEL; EMISSION; PRODUCT; MODIS</t>
  </si>
  <si>
    <t>The Soil Moisture and Ocean Salinity (SMOS) mission observes brightness temperatures at a low microwave frequency of 1.4 GHz (L-band) with a daily coverage of the polar regions. L-band radiometry has been shown to provide information on the thickness of thin sea ice. Here, we apply a new emission model that has previously been used to investigate the impact of snow on thick Arctic sea ice. The model has not yet been used to retrieve ice thickness. In contrast to previous SMOS ice thickness retrievals, the new model allows us to include a snow layer in the brightness temperature simulations. Using ice thickness estimations from satellite thermal imagery, we simulate brightness temperatures during the ice growth season 2011 in the northern Baltic Sea. In both the simulations and the SMOS observations, brightness temperatures increase by more than 20 K, most likely due to an increase of ice thickness. Only if we include the snow in the model, the absolute values of the simulations and the observations agree well (mean deviations below 3.5 K). In a second comparison, we use high-resolution measurements of total ice thickness (sum of ice and snow thickness) from an electromagnetic (EM) sounding system to simulate brightness temperatures for 12 circular areas. While the SMOS observations and the simulations that use the EM modal ice thickness are highly correlated (r(2) = 0.95), the simulated brightness temperatures are on average 12 K higher than observed by SMOS. This would correspond to an 8-cm overestimation of the modal ice thickness by the SMOS retrieval. In contrast, if the simulations take into account the shape of the EM ice thickness distributions (r(2) = 0.87), the mean deviation between simulated and observed brightness temperatures is below 0.1 K.</t>
  </si>
  <si>
    <t>[Maass, Nina; Kaleschke, Lars; Tian-Kunze, Xiangshan] Univ Hamburg, Inst Oceanog, Hamburg, Germany; [Makynen, Marko; Lensu, Mikko; Haapala, Jari] Finnish Meteorol Inst, FIN-00101 Helsinki, Finland; [Drusch, Matthias] ESA ESTEC, European Space Agcy, Noordwijk, Netherlands; [Krumpen, Thomas; Hendricks, Stefan] Helmholtz Ctr Polar &amp; Marine Res, Alfred Wegener Inst, Bremerhaven, Germany; [Haas, Christian] York Univ, Dept Earth &amp; Space Sci &amp; Engn, Toronto, ON M3J 2R7, Canada</t>
  </si>
  <si>
    <t>University of Hamburg; Finnish Meteorological Institute; European Space Agency; Helmholtz Association; Alfred Wegener Institute, Helmholtz Centre for Polar &amp; Marine Research; York University - Canada</t>
  </si>
  <si>
    <t>Maass, N (corresponding author), Univ Hamburg, Inst Oceanog, Hamburg, Germany.</t>
  </si>
  <si>
    <t>nina.maass@uni-hamburg.de</t>
  </si>
  <si>
    <t>Krumpen, Thomas/D-5163-2011; Haas, Christian/L-5279-2016; Makynen, Marko/AAP-4772-2020; Hendricks, Stefan/D-5168-2011</t>
  </si>
  <si>
    <t>Krumpen, Thomas/0000-0001-6234-8756; Haas, Christian/0000-0002-7674-3500; Makynen, Marko/0000-0003-1250-6300; Hendricks, Stefan/0000-0002-1412-3146; Tian-Kunze, Xiangshan/0000-0001-8270-1924; Kaleschke, Lars/0000-0001-7086-3299</t>
  </si>
  <si>
    <t>International Max Planck Research School on Earth System Modelling; Cluster of Excellence 'CliSAP', University of Hamburg - German Science Foundation (DFG) [EXC177]; ESA Support to Science Element programme [4000101476]; EU [SCP8-GA-2009-233884 - SAFEWIN]</t>
  </si>
  <si>
    <t>International Max Planck Research School on Earth System Modelling; Cluster of Excellence 'CliSAP', University of Hamburg - German Science Foundation (DFG)(German Research Foundation (DFG)); ESA Support to Science Element programme; EU(European Union (EU))</t>
  </si>
  <si>
    <t>The authors would like to thank the members of the ESA SMOSIce project for helpful discussions. This work was partly supported by the International Max Planck Research School on Earth System Modelling and in parts through the Cluster of Excellence 'CliSAP' (EXC177), University of Hamburg, funded through the German Science Foundation (DFG). SMOS data were provided by the ESA Support to Science Element programme under contract 4000101476. The Baltic EM thickness campaign and analysis was conducted within the EU-funded project 'Safety of winter navigation in dynamic ice' (contract SCP8-GA-2009-233884 - SAFEWIN). The partners in this project are Aalto University, Arctic and Antarctic Research Institute, Finnish Meteorological Institute, Finnish Transport Agency, ILS Oy, Stena Rederi AB, Swedish Maritime Administration, Swedish Meteorological and Hydrological Institute, Tallinn University of Technology and AS Tallink Group. Finally, we are grateful to three anonymous reviewers for their helpful and considerate comments.</t>
  </si>
  <si>
    <t>1600-0870</t>
  </si>
  <si>
    <t>TELLUS A</t>
  </si>
  <si>
    <t>Tellus Ser. A-Dyn. Meteorol. Oceanol.</t>
  </si>
  <si>
    <t>10.3402/tellusa.v67.24617</t>
  </si>
  <si>
    <t>CB1SZ</t>
  </si>
  <si>
    <t>WOS:000349409600001</t>
  </si>
  <si>
    <t>Bolshiyanov, D; Makarov, A; Savelieva, L</t>
  </si>
  <si>
    <t>Bolshiyanov, D.; Makarov, A.; Savelieva, L.</t>
  </si>
  <si>
    <t>Lena River delta formation during the Holocene</t>
  </si>
  <si>
    <t>The Lena River delta, the largest delta of the Arctic Ocean, differs from other deltas because it consists mainly of organomineral sediments, commonly called peat, that contain a huge organic carbon reservoir. The analysis of delta sediment radiocarbon ages showed that they could not have formed as peat during floodplain bogging; rather, they accumulated when Laptev Sea water level was high and green mosses and sedges grew and were deposited on the surface of flooded marshes. The Lena River delta formed as organomineral masses and layered sediments accumulated during transgressive phases when sea level rose. In regressive phases, the islands composed of these sediments and other, more ancient islands were eroded. Each new sea transgression led to further accumulation of layered sediments. As a result of alternating transgressive and regressive phases, the first alluvial-marine terrace formed, consisting of geological bodies of different ages. Determining the formation age of different areas of the first terrace and other marine terraces on the coast allowed the periods of increasing (8000-6000 BP (years before present), 4500-4000, 2500-1500, and 400-200 BP) and decreasing (5000, 3000, and 500 BP) Laptev Sea levels to be distinguished in the Lena Delta area.</t>
  </si>
  <si>
    <t>[Bolshiyanov, D.; Makarov, A.] Arctic &amp; Antarctic Res Inst, State Res Ctr, St Petersburg 199226, Russia; [Bolshiyanov, D.; Makarov, A.; Savelieva, L.] St Petersburg State Univ, St Petersburg 199034, Russia</t>
  </si>
  <si>
    <t>Arctic &amp; Antarctic Research Institute; Saint Petersburg State University</t>
  </si>
  <si>
    <t>Bolshiyanov, D (corresponding author), Arctic &amp; Antarctic Res Inst, State Res Ctr, St Petersburg 199226, Russia.</t>
  </si>
  <si>
    <t>bolshiyanov@aari.ru; makarov@aari.ru; savelieval@mail.ru</t>
  </si>
  <si>
    <t>Savelieva, Larisa/H-9135-2013</t>
  </si>
  <si>
    <t>Alfred Wegener Institute for Polar and Marine Research (Germany); Russian Foundation for Basic Research [05-05-64419]</t>
  </si>
  <si>
    <t>Alfred Wegener Institute for Polar and Marine Research (Germany); Russian Foundation for Basic Research(Russian Foundation for Basic Research (RFBR)Spanish Government)</t>
  </si>
  <si>
    <t>The authors thank to E. A. Raschke for botanical analysis of peat samples. We are grateful to the Alfred Wegener Institute for Polar and Marine Research (Germany) for the financing the Russian-German Laptev Sea system project under which these investigations were conducted. Part of the funds for conducting the research was allocated by the Russian Foundation for Basic Research grant no. 05-05-64419. Great support was given to the authors by the entire Russian-German team of researchers in the course of joint expeditions from 1998 to 2012. However, not all the participants will agree with the interpretation of delta origin proposed here by the authors.</t>
  </si>
  <si>
    <t>10.5194/bg-12-579-2015</t>
  </si>
  <si>
    <t>CA5XR</t>
  </si>
  <si>
    <t>WOS:000348982200021</t>
  </si>
  <si>
    <t>Baillie, MGL; McAneney, J</t>
  </si>
  <si>
    <t>Baillie, M. G. L.; McAneney, J.</t>
  </si>
  <si>
    <t>Tree ring effects and ice core acidities clarify the volcanic record of the first millennium</t>
  </si>
  <si>
    <t>ELDGJA ERUPTION; CLIMATIC IMPACT; GREENLAND; VARIABILITY; CHINA; ASH</t>
  </si>
  <si>
    <t>In 2012 Plummer et al., in presenting the volcanic chronology of the Antarctic Law Dome ice core, chose to list connections to acid layers in other ice cores and also possible chronological coincidences between ice acid dates and the precise dates of frost damage, and/or reduced growth in North American bristlecone pines. We disagree with the chronological links indicated by Plummer et al. for the period before AD 700, and in this paper we show that a case can be made that better linkages between ice acid and tree ring effects occur for this period if the ice chronologies are systematically moved forward by around 7 years, consistent with a hypothesis published by Baillie in 2008. In the paper we seek to explore the proposition that frost damage rings in North American bristlecone pines are a very useful indicator of the dates of certain large explosive volcanic eruptions; the dating of major eruptions being critical for any clear understanding of volcanic forcing. This paper cannot prove that there is an error in the Greenland Ice Core Chronology 2005 (GICC05), and in equivalent ice chronologies from the Antarctic, however, it does provide a coherent argument for an apparent ice dating offset. If the suggested offset were to prove correct it would be necessary to locate where the error occurs in the ice chronologies and in this regard the dating of the increasingly controversial Icelandic Eldgja eruption in the AD 930s, and the China/Korean Millennium eruption which occurs some 7 years after Eldgja, may well be critical. In addition, if the offset were to be substantiated it would have implications for the alleged identification of tephra at 429.3m in the Greenland GRIP core, currently attributed to the Italian volcano Vesuvius and used as a critical zero error point in the GICC05 chronology.</t>
  </si>
  <si>
    <t>[Baillie, M. G. L.] Queens Univ Belfast, Sch Geog Archaeol &amp; Palaeoecol, Belfast BT7 1NN, Antrim, North Ireland</t>
  </si>
  <si>
    <t>Queens University Belfast</t>
  </si>
  <si>
    <t>Baillie, MGL (corresponding author), Queens Univ Belfast, Sch Geog Archaeol &amp; Palaeoecol, Elmwood Ave, Belfast BT7 1NN, Antrim, North Ireland.</t>
  </si>
  <si>
    <t>m.baillie@qub.ac.uk</t>
  </si>
  <si>
    <t>McAneney, Jonathan/AAB-2718-2019; McAneney, Jonathan/F-9332-2015</t>
  </si>
  <si>
    <t>McAneney, Jonathan/0000-0002-0534-7965; McAneney, Jonathan/0000-0002-0534-7965</t>
  </si>
  <si>
    <t>10.5194/cp-11-105-2015</t>
  </si>
  <si>
    <t>CA5DQ</t>
  </si>
  <si>
    <t>WOS:000348928700008</t>
  </si>
  <si>
    <t>Descamps, S; Tarroux, A; Varpe, O; Yoccoz, NG; Tveraa, T; Lorentsen, SH</t>
  </si>
  <si>
    <t>Descamps, Sebastien; Tarroux, Arnaud; Varpe, Oystein; Yoccoz, Nigel G.; Tveraa, Torkild; Lorentsen, Svein-Hakon</t>
  </si>
  <si>
    <t>Demographic effects of extreme weather events: snow storms, breeding success, and population growth rate in a long-lived Antarctic seabird</t>
  </si>
  <si>
    <t>ECOLOGY AND EVOLUTION</t>
  </si>
  <si>
    <t>Antarctic petrel; body condition; extreme event; individual state; offspring survival; Thalassoica antarctica</t>
  </si>
  <si>
    <t>CLIMATE-CHANGE; REPRODUCTIVE SUCCESS; THALASSOICA-ANTARCTICA; SURVIVAL; PETREL; VARIABILITY; DYNAMICS; SNOWSTORM; RESPONSES; IMPACT</t>
  </si>
  <si>
    <t>Weather extremes are one important element of ongoing climate change, but their impacts are poorly understood because they are, by definition, rare events. If the frequency and severity of extreme weather events increase, there is an urgent need to understand and predict the ecological consequences of such events. In this study, we aimed to quantify the effects of snow storms on nest survival in Antarctic petrels and assess whether snow storms are an important driver of annual breeding success and population growth rate. We used detailed data on daily individual nest survival in a year with frequent and heavy snow storms, and long term data on petrel productivity (i.e., number of chicks produced) at the colony level. Our results indicated that snow storms are an important determinant of nest survival and overall productivity. Snow storm events explained 30% of the daily nest survival within the 2011/2012 season and nearly 30% of the interannual variation in colony productivity in period 1985-2014. Snow storms are a key driver of Antarctic petrel breeding success, and potentially population dynamics. We also found state-dependent effects of snow storms and chicks in poor condition were more likely to die during a snow storm than chicks in good condition. This stresses the importance of considering interactions between individual heterogeneity and extreme weather events to understand both individual and population responses to climate change.</t>
  </si>
  <si>
    <t>[Descamps, Sebastien; Tarroux, Arnaud] Norwegian Polar Res Inst, Fram Ctr, N-9296 Tromso, Norway; [Varpe, Oystein] Akvaplan Niva, Fram Ctr, N-9296 Tromso, Norway; [Varpe, Oystein] Univ Ctr Svalbard, N-9171 Longyearbyen, Norway; [Yoccoz, Nigel G.] UiT Arctic Univ Norway, Dept Arctic &amp; Marine Biol, N-9037 Tromso, Norway; [Tveraa, Torkild] Norwegian Inst Nat Res, Fram Ctr, N-9296 Tromso, Norway; [Lorentsen, Svein-Hakon] Norwegian Inst Nat Res, N-7485 Trondheim, Norway</t>
  </si>
  <si>
    <t>Norwegian Polar Institute; Akvaplan-niva; University Centre Svalbard (UNIS); UiT The Arctic University of Tromso; Norwegian Institute Nature Research; Norwegian Institute Nature Research</t>
  </si>
  <si>
    <t>Descamps, S (corresponding author), Norwegian Polar Res Inst, Fram Ctr, N-9296 Tromso, Norway.</t>
  </si>
  <si>
    <t>sebastien.descamps@npolar.no</t>
  </si>
  <si>
    <t>Varpe, Øystein/B-9693-2008; Yoccoz, Nigel/C-8561-2014; Tarroux, Arnaud/AAE-5173-2021</t>
  </si>
  <si>
    <t>Varpe, Øystein/0000-0002-5895-6983; Yoccoz, Nigel/0000-0003-2192-1039; Tarroux, Arnaud/0000-0001-8306-6694; Tveraa, Torkild/0000-0002-7501-3696</t>
  </si>
  <si>
    <t>Norwegian Research Council (Norwegian Antarctic Research Expedition program)</t>
  </si>
  <si>
    <t>This study was funded by the Norwegian Research Council (Norwegian Antarctic Research Expedition program).</t>
  </si>
  <si>
    <t>2045-7758</t>
  </si>
  <si>
    <t>ECOL EVOL</t>
  </si>
  <si>
    <t>Ecol. Evol.</t>
  </si>
  <si>
    <t>10.1002/ece3.1357</t>
  </si>
  <si>
    <t>Ecology; Evolutionary Biology</t>
  </si>
  <si>
    <t>Environmental Sciences &amp; Ecology; Evolutionary Biology</t>
  </si>
  <si>
    <t>CA4DB</t>
  </si>
  <si>
    <t>WOS:000348853300007</t>
  </si>
  <si>
    <t>Krivolutsky, AA; V'yushkova, TY; Cherepanova, LA; Kukoleva, AA; Repnev, AI; Banin, MV</t>
  </si>
  <si>
    <t>Krivolutsky, A. A.; V'yushkova, T. Yu.; Cherepanova, L. A.; Kukoleva, A. A.; Repnev, A. I.; Banin, M. V.</t>
  </si>
  <si>
    <t>The three-dimensional photochemical model CHARM. Incorporation of solar activity</t>
  </si>
  <si>
    <t>GEOMAGNETISM AND AERONOMY</t>
  </si>
  <si>
    <t>MIDDLE ATMOSPHERE; PROTON EVENT; CLIMATE MODEL; JULY 2000; CHEMISTRY; TEMPERATURE; VARIABILITY; OZONOSPHERE; SIMULATION; OZONE</t>
  </si>
  <si>
    <t>We describe the numerical global photochemical model CHARM (CHemical Atmospheric Research Model) and the results of a numerical simulation of climatological distributions of ozone and other atmospheric trace gases in a height range of up to 90 km. We also present the results of numerical scenarios of an impact induced by a change in UV radiation fluxes in the solar activity cycle and conditioned by ozone depletion in polar regions by high-energy particles of cosmic origin. The spatial transport of chemically active species is described in the model (the Prather scheme) on the basis of global fields of wind components and temperature calculated by the ARM (Atmospheric Research Model) general circulation model.</t>
  </si>
  <si>
    <t>[Krivolutsky, A. A.; V'yushkova, T. Yu.; Cherepanova, L. A.; Kukoleva, A. A.; Repnev, A. I.; Banin, M. V.] Russian Hydrometeorol Serv, Cent Aerol Observ, Dolgoprudnyi 141700, Moscow Oblast, Russia</t>
  </si>
  <si>
    <t>Krivolutsky, AA (corresponding author), Russian Hydrometeorol Serv, Cent Aerol Observ, Ul Pervomayskaya 3, Dolgoprudnyi 141700, Moscow Oblast, Russia.</t>
  </si>
  <si>
    <t>alexei.krivolutsky@rambler.ru</t>
  </si>
  <si>
    <t>Cherepanova, Lyubov/AAG-4951-2020</t>
  </si>
  <si>
    <t>Cherepanova, Lyubov/0000-0002-3983-8922; Kukoleva, Anna/0000-0002-7718-9775</t>
  </si>
  <si>
    <t>Russian Foundation for Basic Research [97-05-6605_a, 03-05-64675_a, 06-05-64434_a, 09-05-0702_d, 09-05-00949_a, 13-05-0105213_a]; Study and Exploration of the Antarctic of the Federal Target Program World Ocean.</t>
  </si>
  <si>
    <t>Russian Foundation for Basic Research(Russian Foundation for Basic Research (RFBR)Spanish Government); Study and Exploration of the Antarctic of the Federal Target Program World Ocean.</t>
  </si>
  <si>
    <t>The series of studies on the three-dimensional modeling of the solar activity effects on the ozono-sphere conducted by this group of authors working in the Laboratory of Atmospheric Chemistry and Dynamics of the Central Aerological Observatory has been supported many times by the Russian Foundation for Basic Research, project nos. 97-05-6605_a, 03-05-64675_a, 06-05-64434_a, 09-05-0702_d, 09-05-00949_a, and 13-05-0105213_a); the authors are grateful to the Foundation. The research conducted by this group to simulate the response of energetic particles to polar regions of the Earth was supported by the subprogram Study and Exploration of the Antarctic of the Federal Target Program World Ocean. The development, modernization, and use of three-dimensional models in different hydrometeorological and heliophysical problems was performed within scientific framework of research activity plans of the Russian Federal Service for Hydrometeorology and Environmental Monitoring.</t>
  </si>
  <si>
    <t>0016-7932</t>
  </si>
  <si>
    <t>1555-645X</t>
  </si>
  <si>
    <t>GEOMAGN AERONOMY+</t>
  </si>
  <si>
    <t>Geomagn. Aeron.</t>
  </si>
  <si>
    <t>10.1134/S0016793215010077</t>
  </si>
  <si>
    <t>CA6EV</t>
  </si>
  <si>
    <t>WOS:000349003000007</t>
  </si>
  <si>
    <t>Bertrand, M; Chabin, A; Colas, C; Cadéne, M; Chaput, D; Brack, A; Cottin, H; Westall, F</t>
  </si>
  <si>
    <t>Bertrand, Marylene; Chabin, Annie; Colas, Cyril; Cadene, Martine; Chaput, Didier; Brack, Andre; Cottin, Herve; Westall, Frances</t>
  </si>
  <si>
    <t>The AMINO experiment: exposure of amino acids in the EXPOSE-R experiment on the International Space Station and in laboratory</t>
  </si>
  <si>
    <t>INTERNATIONAL JOURNAL OF ASTROBIOLOGY</t>
  </si>
  <si>
    <t>amino acid; GC-MS analysis; HRMS analysis; irradiation; International Space Station; low-Earth orbit; photochemistry; VUV</t>
  </si>
  <si>
    <t>LOW-EARTH-ORBIT; CARBONACEOUS ANTARCTIC MICROMETEORITES; UV-RADIATION CONDITIONS; ORGANIC-COMPOUNDS; ENVIRONMENT VIABILITY; CARBOXYLIC-ACIDS; METEORITES; SURFACE; MARS; PHOTOSTABILITY</t>
  </si>
  <si>
    <t>In order to confirm the results of previous experiments concerning the chemical behaviour of organic molecules in the space environment, organic molecules (amino acids and a dipeptide) in pure form and embedded in meteorite powder were exposed in the AMINO experiment in the EXPOSE-R facility onboard the International Space Station. After exposure to space conditions for 24 months (2843 h of irradiation), the samples were returned to the Earth and analysed in the laboratory for reactions caused by solar ultraviolet (UV) and other electromagnetic radiation. Laboratory UV exposure was carried out in parallel in the Cologne DLR Center (Deutsches Zentrum fur Luft und Raumfahrt). The molecules were extracted from the sample holder and then (1) derivatized by silylation and analysed by gas chromatography coupled to a mass spectrometer (GC-MS) in order to quantify the rate of degradation of the compounds and (2) analysed by high-resolution mass spectrometry (HRMS) in order to understand the chemical reactions that occurred. The GC-MS results confirm that resistance to irradiation is a function of the chemical nature of the exposed molecules and of the wavelengths of the UV light. They also confirm the protective effect of a coating of meteorite powder. The most altered compounds were the dipeptides and aspartic acid while the most robust were compounds with a hydrocarbon chain. The MS analyses document the products of reactions, such as decarboxylation and decarbonylation of aspartic acid, taking place after UV exposure. Given the universality of chemistry in space, our results have a broader implication for the fate of organic molecules that seeded the planets as soon as they became habitable as well as for the effects of UV radiation on exposed molecules at the surface of Mars, for example.</t>
  </si>
  <si>
    <t>[Bertrand, Marylene; Chabin, Annie; Colas, Cyril; Cadene, Martine; Brack, Andre; Westall, Frances] CNRS, CBM, UPR 4301, F-45071 Orleans, France; [Colas, Cyril] Univ Orleans, CNRS, ICOA, UMR 7311, F-45067 Orleans, France; [Chaput, Didier] CNES, Toulouse, France; [Cottin, Herve] Univ Paris Est Creteil, LISA, UMR CNRS 7583, F-94010 Creteil, France; [Cottin, Herve] Univ Paris Diderot, Inst Pierre Simon Laplace, F-94010 Creteil, France</t>
  </si>
  <si>
    <t>Centre National de la Recherche Scientifique (CNRS); CNRS - Institute of Chemistry (INC); CEA; Centre National de la Recherche Scientifique (CNRS); Universite de Orleans; CNRS - Institute of Chemistry (INC); Universite Paris Cite; Universite Paris-Est-Creteil-Val-de-Marne (UPEC); Universite Paris Cite; Universite Paris Saclay</t>
  </si>
  <si>
    <t>Bertrand, M (corresponding author), CNRS, CBM, UPR 4301, Rue Charles Sadron, F-45071 Orleans, France.</t>
  </si>
  <si>
    <t>marylene.bertrand@cnrs-orleans.fr</t>
  </si>
  <si>
    <t>Cottin, Hervé/H-5654-2013; Cottin, Hervé/M-6154-2019; BERTRAND, Marylene/C-4892-2009; Cadene, Martine/IWD-5697-2023</t>
  </si>
  <si>
    <t>Cottin, Hervé/0000-0001-9170-5265; Cottin, Hervé/0000-0001-9170-5265; Cadene, Martine/0000-0003-4936-2662; COLAS, Cyril/0000-0003-1651-6813; BERTRAND, Marylene/0000-0001-5647-5564</t>
  </si>
  <si>
    <t>French 'Centre National de la Recherche Scientifique' (CNRS); French 'Centre National d'Etudes Spatiales' (CNES); Region Centre; FEDER (SyMBioMS) [2699-33931]</t>
  </si>
  <si>
    <t>French 'Centre National de la Recherche Scientifique' (CNRS)(Centre National de la Recherche Scientifique (CNRS)); French 'Centre National d'Etudes Spatiales' (CNES)(Centre National D'etudes Spatiales); Region Centre(Region Centre-Val de Loire); FEDER (SyMBioMS)</t>
  </si>
  <si>
    <t>This study was supported by the French 'Centre National de la Recherche Scientifique' (CNRS) and by the French 'Centre National d'Etudes Spatiales' (CNES). It is based on observations with the AMINO experiments embarked on EXPOSE-R. High-resolution mass spectrometry was supported in part through a Region Centre and FEDER grant (no. 2699-33931, SyMBioMS) to the CBM-ICOA Federation.</t>
  </si>
  <si>
    <t>32 AVENUE OF THE AMERICAS, NEW YORK, NY 10013-2473 USA</t>
  </si>
  <si>
    <t>1473-5504</t>
  </si>
  <si>
    <t>1475-3006</t>
  </si>
  <si>
    <t>INT J ASTROBIOL</t>
  </si>
  <si>
    <t>Int. J. Astrobiol.</t>
  </si>
  <si>
    <t>10.1017/S1473550414000354</t>
  </si>
  <si>
    <t>Astronomy &amp; Astrophysics; Biology; Geosciences, Multidisciplinary</t>
  </si>
  <si>
    <t>Astronomy &amp; Astrophysics; Life Sciences &amp; Biomedicine - Other Topics; Geology</t>
  </si>
  <si>
    <t>CA0ZH</t>
  </si>
  <si>
    <t>WOS:000348641500010</t>
  </si>
  <si>
    <t>Moles, J; Avila, C; Kim, IH</t>
  </si>
  <si>
    <t>Moles, Juan; Avila, Conxita; Kim, Il-Hoi</t>
  </si>
  <si>
    <t>ANTHESSIUS ANTARCTICUS N. SP (COPEPODA: POECILOSTOMATOIDA: ANTHESSIIDAE) FROM ANTARCTIC WATERS LIVING IN ASSOCIATION WITH CHARCOTIA GRANULOSA (MOLLUSCA: NUDIBRANCHIA: CHARCOTIIDAE)</t>
  </si>
  <si>
    <t>JOURNAL OF CRUSTACEAN BIOLOGY</t>
  </si>
  <si>
    <t>Anthessius antarcticus n. sp.; Deception Island; ectosymbiosis; marine benthos; sea slug</t>
  </si>
  <si>
    <t>A new species of the genus Anthessius Della Valle, 1880 is described under the name A. antarcticus. It is ectosymbiont of the nudibranch Charcotia granulosa Vayssiere, 1906 from the South Shetland Islands in the Southern Ocean. The female of the new species is distinguished from its congeners by the following combination of diagnostic morphological characters: 1) antenna with two terminal claws; 2) mandible with a seta between distal and outer lashes; 3) third exopodal segment of leg 4 with four spines and five setae (formula: III, I, 5); and 4) caudal ramus 2.40 times as long as wide. Its relationship with its congeners and other anthessiid genera are discussed. This is the first species of the genus found to be related to a nudibranch, and remarkably, it is also the only record of Anthessiidae from Antarctica.</t>
  </si>
  <si>
    <t>[Moles, Juan; Avila, Conxita] Univ Barcelona, Dept Anim Biol Invertebrates, E-08028 Barcelona, Spain; [Moles, Juan; Avila, Conxita] Univ Barcelona, Biodivers Res Inst IrBIO, E-08028 Barcelona, Spain; [Kim, Il-Hoi] Gangneung Wonju Natl Univ, Dept Biol, Kangnung 210702, South Korea</t>
  </si>
  <si>
    <t>University of Barcelona; University of Barcelona; Kangnung Wonju National University</t>
  </si>
  <si>
    <t>Moles, J (corresponding author), Univ Barcelona, Dept Anim Biol Invertebrates, Avinguda Diagonal 643, E-08028 Barcelona, Spain.</t>
  </si>
  <si>
    <t>moles.sanchez@gmail.com</t>
  </si>
  <si>
    <t>Moles, Juan/H-4786-2018; Avila, Conxita/B-9466-2008</t>
  </si>
  <si>
    <t>Moles, Juan/0000-0003-4511-4055; Avila, Conxita/0000-0002-5489-8376</t>
  </si>
  <si>
    <t>Spanish government through the ACTIQUIM-II Project [CTM2010-17415/ANT]</t>
  </si>
  <si>
    <t>Spanish government through the ACTIQUIM-II Project</t>
  </si>
  <si>
    <t>The authors wish to thank C. Angulo, M. Bas, J. Cristobo, L.Nunez-Pons, A. Riesgo, and S. Taboada for their support while SCUBA-diving. Thanks are also due to the Gabriel de Castilla Spanish Antarctic Base, for providing logistic support during the ACTIQUIM-4 cruise. Funding was provided by the Spanish government through the ACTIQUIM-II Project (CTM2010-17415/ANT).</t>
  </si>
  <si>
    <t>0278-0372</t>
  </si>
  <si>
    <t>1937-240X</t>
  </si>
  <si>
    <t>J CRUSTACEAN BIOL</t>
  </si>
  <si>
    <t>J. Crustac. Biol.</t>
  </si>
  <si>
    <t>10.1163/1937240X-00002290</t>
  </si>
  <si>
    <t>Marine &amp; Freshwater Biology; Zoology</t>
  </si>
  <si>
    <t>CA7YZ</t>
  </si>
  <si>
    <t>WOS:000349135000013</t>
  </si>
  <si>
    <t>Núñez-Pons, L; Nieto, RM; Avila, C; Jiménez, C; Rodríguez, J</t>
  </si>
  <si>
    <t>Nunez-Pons, Laura; Maria Nieto, Rosa; Avila, Conxita; Jimenez, Carlos; Rodriguez, Jaime</t>
  </si>
  <si>
    <t>Mass spectrometry detection of minor new meridianins from the antarctic colonial ascidians Aplidium falklandicum and Aplidium meridianum</t>
  </si>
  <si>
    <t>JOURNAL OF MASS SPECTROMETRY</t>
  </si>
  <si>
    <t>marine natural products; Aplidium meridianum; A; falklandicum; indole alkaloids; meridianins; meridianin-dimers; LC-MS; FTMS-Orbitrap</t>
  </si>
  <si>
    <t>SYNDROME CRITICAL REGION; MARINE; ALKALOIDS; ANALOGS</t>
  </si>
  <si>
    <t>Taking into account the broad biological activities found in the meridianin indole alkaloids isolated to date, we have re-examined the organic extracts of an Antarctic collection of the tunicates Aplidium meridianum and A.falklandicum (Chordata: Ascidiacea) by HPLC in conjunction with a high-resolution mass spectrometer (HPLC-MS). A new set of analogs of meridianins A-G has been detected, and their structures are proposed on the basis of the molecular formulae identified by LC-HRMS analysis using a C18 column with a gradient of water/acetonitrile and an LTQ-FT-MS Orbitrap detector. Remarkably, dimers derived from meridianin A and from meridianin B or E were also detected. Our findings provide further evidence of the broad variability within the meridianin-like derivatives of this highly bioactive alkaloid family. Copyright (c) 2015 John Wiley &amp; Sons, Ltd.</t>
  </si>
  <si>
    <t>[Nunez-Pons, Laura; Avila, Conxita] Univ Barcelona, Fac Biol, Dept Anim Biol Invertebrates, ES-08028 Barcelona, Catalonia, Spain; [Nunez-Pons, Laura; Avila, Conxita] Univ Barcelona, Fac Biol, Biodivers Res Inst IrBio, ES-08028 Barcelona, Catalonia, Spain; [Maria Nieto, Rosa; Jimenez, Carlos; Rodriguez, Jaime] Univ A Coruna, Fac Ciencias, CICA, La Coruna 15071, Galicia, Spain; [Maria Nieto, Rosa; Jimenez, Carlos; Rodriguez, Jaime] Univ A Coruna, Fac Ciencias, Dept Quim Fundamental, La Coruna 15071, Galicia, Spain</t>
  </si>
  <si>
    <t>University of Barcelona; University of Barcelona; Universidade da Coruna; Centro interdisciplinar de Quimica e Bioloxia CICA; Universidade da Coruna</t>
  </si>
  <si>
    <t>Jiménez, C (corresponding author), Univ A Coruna, Fac Ciencias, CICA, La Coruna 15071, Galicia, Spain.</t>
  </si>
  <si>
    <t>carlos.jimenez@udc.es; jaime.rodriguez@udc.es</t>
  </si>
  <si>
    <t>Rodriguez, Jaime/G-8984-2015; Jimenez, Carlos/G-9622-2015; Avila, Conxita/B-9466-2008; Rodriguez, Jaime/AAY-9780-2021; Nieto, Rosa M./G-8984-2015</t>
  </si>
  <si>
    <t>Rodriguez, Jaime/0000-0001-5348-6970; Jimenez, Carlos/0000-0003-2628-303X; Avila, Conxita/0000-0002-5489-8376; Rodriguez, Jaime/0000-0001-5348-6970; Nieto, Rosa M./0000-0003-2022-184X</t>
  </si>
  <si>
    <t>Ministerio de Economia y Competitividad (MINECO) [AGL2012-12266-C02]; Antarctic projects [ECOQUIM-2, ACTIQUIM-1, ACTIQUIM-2, CGL/2004-03356/ANT, CGL2007-65453/ANT, CGL2010-17415/ANT, CTQ2008-04024/BQU]</t>
  </si>
  <si>
    <t>Ministerio de Economia y Competitividad (MINECO); Antarctic projects</t>
  </si>
  <si>
    <t>We are grateful to Ma M. Varela, M. Tatian, and R. Sahade for taxonomical clarifications, and to W. Arntz and the crew of R/V Polarstern, who provided great logistical support during sample collection. This work was financially supported by the Ministerio de Economia y Competitividad (MINECO), (AGL2012-12266-C02), and through the Antarctic projects ECOQUIM-2, ACTIQUIM-1 and -2 (CGL/2004-03356/ANT, CGL2007-65453/ANT, CGL2010-17415/ANT and CTQ2008-04024/BQU). We also thank the CESGA-ITS program for computational facilities and Servizos de Apoio a Investigacion from the University of A Coruna (SAI-UDC) for analytical support.</t>
  </si>
  <si>
    <t>1076-5174</t>
  </si>
  <si>
    <t>1096-9888</t>
  </si>
  <si>
    <t>J MASS SPECTROM</t>
  </si>
  <si>
    <t>J. Mass Spectrom.</t>
  </si>
  <si>
    <t>10.1002/jms.3502</t>
  </si>
  <si>
    <t>Biochemical Research Methods; Chemistry, Analytical; Spectroscopy</t>
  </si>
  <si>
    <t>Biochemistry &amp; Molecular Biology; Chemistry; Spectroscopy</t>
  </si>
  <si>
    <t>CA2EN</t>
  </si>
  <si>
    <t>WOS:000348721800015</t>
  </si>
  <si>
    <t>Paerl, RW; Bertrand, EM; Allen, AE; Palenik, B; Azam, F</t>
  </si>
  <si>
    <t>Paerl, R. W.; Bertrand, E. M.; Allen, A. E.; Palenik, B.; Azam, F.</t>
  </si>
  <si>
    <t>Vitamin B1 ecophysiology of marine picoeukaryotic algae: Strain-specific differences and a new role for bacteria in vitamin cycling</t>
  </si>
  <si>
    <t>LIMNOLOGY AND OCEANOGRAPHY</t>
  </si>
  <si>
    <t>THIAMINE; GROWTH; PICOPHYTOPLANKTON; PHYTOPLANKTON; REQUIREMENTS; DISCOVERY; PATTERNS; SEAWATER; OCEAN; GENE</t>
  </si>
  <si>
    <t>We confirmed multiple picoeukaryotic algae, Ostreococcus, Micromonas, and Pelagomonas spp., as thiamine (vitamin B1) auxotrophs in laboratory experiments with axenic cultures. Examined strains have half saturation growth constants (K-s) for B1 between 1.26 and 6.22 pmol B1 L-1, which is higher than reported seawater concentrations. Minimum B1 cell quotas for Ostreococcus and Micromonas spp. are high (2.20 x 10(-8)-4.46 x 10(-8) pmol B1 cell(-1)) relative to other B1 auxotrophic phytoplankton, potentially making them B1 rich prey for zooplankton and significant B1 reservoirs in oligotrophic marine habitats. Ostreococcus and Micromonas genomes are nonuniformly missing portions of the B1 biosynthesis pathway. Given their gene repertoires, Ostreococcus lucimarinus CCE9901 and Ostreococcus tauri OTH95 are expected to salvage B1 from externally provided 4-methyl-5-thiazoleethanol (HET) and 4-amino-5-hydroxymethyl-2-methylpyrimidine (HMP). However, in culture, neither could use HET plus HMP instead of B1, highlighting current limitations of genome-based prediction of B1 salvaging by picoeukaryotic algae. HMP and phosphorylated B1 use varied amongst tested strains and notably all Prasinophytes tested could not use HMP. B1-limited O. lucimarinus CCE9901 could not grow on added thiamine diphosphate (TDP), a phosophorylated B1 form. However, in co-culture with Pseudoalteromonas sp. TW7, a bacterium known to exhibit phosphatase activity, O. lucimarinus CCE9901 exhibited increased growth following TDP additions. This demonstrates that bacteria influence vitamin B1 availability beyond de novo synthesis and consumption; they can also serve as conduits that chemically alter, but not completely degrade or retain B1 analogs (e.g., TDP), and make them accessible to a broader range of microbes.</t>
  </si>
  <si>
    <t>[Paerl, R. W.; Palenik, B.; Azam, F.] Univ Calif San Diego, Scripps Inst Oceanog, Div Marine Biol Res, La Jolla, CA 92093 USA; [Bertrand, E. M.; Allen, A. E.] Univ Calif San Diego, Scripps Inst Oceanog, Integrat Oceanog Div, La Jolla, CA 92093 USA; [Bertrand, E. M.; Allen, A. E.] J Craig Venter Inst, Microbial &amp; Environm Genom Dept, La Jolla, CA USA</t>
  </si>
  <si>
    <t>University of California System; University of California San Diego; Scripps Institution of Oceanography; University of California System; University of California San Diego; Scripps Institution of Oceanography; J. Craig Venter Institute</t>
  </si>
  <si>
    <t>Paerl, RW (corresponding author), Univ Calif San Diego, Scripps Inst Oceanog, Div Marine Biol Res, La Jolla, CA 92093 USA.</t>
  </si>
  <si>
    <t>rpaerl@ucsd.edu</t>
  </si>
  <si>
    <t>Palenik, Brian/AAA-1822-2020; Allen, Andrew E/C-4896-2012; Paerl, Ryan/E-7380-2015</t>
  </si>
  <si>
    <t>Palenik, Brian/0000-0002-3717-9046; Allen, Andrew E/0000-0001-5911-6081; Paerl, Ryan/0000-0003-3980-8181</t>
  </si>
  <si>
    <t>National Science Foundation Antarctic Division (ANT) [1103503]; Gordon and Betty Moore Foundation [GBMF2758, GBMF3828]; Directorate For Geosciences; Office of Polar Programs (OPP) [1103503] Funding Source: National Science Foundation</t>
  </si>
  <si>
    <t>National Science Foundation Antarctic Division (ANT); Gordon and Betty Moore Foundation(Gordon and Betty Moore Foundation); Directorate For Geosciences; Office of Polar Programs (OPP)(National Science Foundation (NSF)NSF - Directorate for Geosciences (GEO))</t>
  </si>
  <si>
    <t>EMB was supported by National Science Foundation Antarctic Division (ANT) grant 1103503.; This work was funded in part by the Gordon and Betty Moore Foundation through grant GBMF2758 and grant GBMF3828 to FA and AEA.</t>
  </si>
  <si>
    <t>0024-3590</t>
  </si>
  <si>
    <t>1939-5590</t>
  </si>
  <si>
    <t>LIMNOL OCEANOGR</t>
  </si>
  <si>
    <t>Limnol. Oceanogr.</t>
  </si>
  <si>
    <t>10.1002/lno.10009</t>
  </si>
  <si>
    <t>Limnology; Oceanography</t>
  </si>
  <si>
    <t>Marine &amp; Freshwater Biology; Oceanography</t>
  </si>
  <si>
    <t>CA7FH</t>
  </si>
  <si>
    <t>WOS:000349082600018</t>
  </si>
  <si>
    <t>Fernandes, AD; Alencar, AS; Evangelista, H; Mazzei, JL; Felzenszwalb, I</t>
  </si>
  <si>
    <t>Fernandes, Andreia da Silva; Alencar, Alexandre Santos; Evangelista, Heitor; Mazzei, Jose Luiz; Felzenszwalb, Israel</t>
  </si>
  <si>
    <t>Photoprotective and toxicological activities of extracts from the Antarctic moss Sanionia uncinata</t>
  </si>
  <si>
    <t>PHARMACOGNOSY MAGAZINE</t>
  </si>
  <si>
    <t>Moss; mutagenicity; photoprotection; sun protection factor; thymine-dimer inhibition</t>
  </si>
  <si>
    <t>MUTAGENICITY; RADIATION; PLANTS; ASSAY</t>
  </si>
  <si>
    <t>Background: The Antarctic moss Sanionia uncinata (Hedw.) Loeske has shown high ultraviolet (UV)-absorbers content after exposition to high levels of UV-B radiation and can be an important source of antioxidants. Objective: The aim was to investigate photoprotection and mutagenicity by the aqueous extract (AE) and hydroethanolic extract (HE) from the Antarctic moss S. uncinata. Materials and Methods: Photoprotective activities were determined through survival curves of Escherichia coli strains, after UV irradiation in an aqueous solution of thymine and in vitro sun protection factor (SPF). The Salmonella/microsome assays were applied to assess the mutagenicity. Results: Both extracts induced photoprotection against UV-C radiation. The AE showed a higher protection than the hydroethanolic one against UV-induced thymine dimerization. The SPFs were low in both extracts. In association to benzophenone-3 a significant increase in the SPF was detected for the AE, and a significant decrease was induced by the HE. No mutagenicity was found in the both extracts. Furthermore, it was observed absence of cytotoxicity. Conclusion: Water-extractable compounds seem to contribute on photoprotection of this Antarctic moss.</t>
  </si>
  <si>
    <t>[Fernandes, Andreia da Silva; Alencar, Alexandre Santos; Evangelista, Heitor; Felzenszwalb, Israel] Univ Estado Rio De Janeiro, Inst Biol Roberto Alcantara Gomes, Dept Biophys &amp; Biometry, Rio De Janeiro, Brazil; [Mazzei, Jose Luiz] Fundacao Oswaldo Cruz, BR-21041250 Rio De Janeiro, RJ, Brazil</t>
  </si>
  <si>
    <t>Universidade do Estado do Rio de Janeiro; Fundacao Oswaldo Cruz</t>
  </si>
  <si>
    <t>Mazzei, JL (corresponding author), Fundacao Oswaldo Cruz, Rua Sizenando Nabuco 100, BR-21041250 Rio De Janeiro, RJ, Brazil.</t>
  </si>
  <si>
    <t>mazzei@pq.cnpq.br</t>
  </si>
  <si>
    <t>Fernandes, Andreia/G-3806-2018; Evangelista, Heitor/C-7561-2013; Felzenszwalb, Israel/AAH-4915-2020; Mazzei, José Luiz/A-5947-2011</t>
  </si>
  <si>
    <t>Felzenszwalb, Israel/0000-0003-1677-197X; Mazzei, José Luiz/0000-0002-2009-0053; Fernandes, Andreia/0000-0002-5258-8139</t>
  </si>
  <si>
    <t>CNPq; FAPERJ [E26/111-158/2011]</t>
  </si>
  <si>
    <t>CNPq(Conselho Nacional de Desenvolvimento Cientifico e Tecnologico (CNPQ)); FAPERJ(Fundacao Carlos Chagas Filho de Amparo a Pesquisa do Estado do Rio De Janeiro (FAPERJ))</t>
  </si>
  <si>
    <t>Thanks to Dr. Denise Pinheiro da Costa for the identification of the moss. Thanks are due to PROANTAR (CNPq 556971/2009-4) and INCT-Criosfera for allowing sampling in Antarctica. This research was funded by the CNPq and by the FAPERJ (E26/111-158/2011).</t>
  </si>
  <si>
    <t>MEDKNOW PUBLICATIONS &amp; MEDIA PVT LTD</t>
  </si>
  <si>
    <t>MUMBAI</t>
  </si>
  <si>
    <t>B-9, KANARA BUSINESS CENTRE, OFF LINK RD, GHAKTOPAR-E, MUMBAI, 400075, INDIA</t>
  </si>
  <si>
    <t>0973-1296</t>
  </si>
  <si>
    <t>0976-4062</t>
  </si>
  <si>
    <t>PHARMACOGN MAG</t>
  </si>
  <si>
    <t>Pharmacogn. Mag.</t>
  </si>
  <si>
    <t>JAN-MAR</t>
  </si>
  <si>
    <t>10.4103/0973-1296.149701</t>
  </si>
  <si>
    <t>Chemistry, Medicinal</t>
  </si>
  <si>
    <t>Pharmacology &amp; Pharmacy</t>
  </si>
  <si>
    <t>CA0MC</t>
  </si>
  <si>
    <t>WOS:000348610800006</t>
  </si>
  <si>
    <t>Rosell-Fieschi, M; Pelegrí, JL; Gourrion, J</t>
  </si>
  <si>
    <t>Rosell-Fieschi, Miguel; Pelegri, Josep L.; Gourrion, Jeroeme</t>
  </si>
  <si>
    <t>Zonal jets in the equatorial Atlantic Ocean</t>
  </si>
  <si>
    <t>PROGRESS IN OCEANOGRAPHY</t>
  </si>
  <si>
    <t>TROPICAL ATLANTIC; ANNUAL CYCLE; DEEP JETS; SEASONAL-VARIATIONS; UPPER-LAYER; INTERMEDIATE DEPTHS; SURFACE CIRCULATION; DYNAMIC TOPOGRAPHY; CURRENTS; VARIABILITY</t>
  </si>
  <si>
    <t>We use position data from Argo floats, smoothed out over 400 km x 200 km zonal ellipses and interpolated onto a 0.5 degrees grid, to investigate the zonal jet structure of the flow field at the sea surface and on three subsurface layers (Central Waters, CW, 200 m; Antarctic Intermediate Waters, AAIW, 1000 m; upper North Atlantic Deep Waters, uNADW, 1500 m) in the equatorial Atlantic Ocean (15 degrees S to 15 degrees N). The annual-mean fields exhibit narrow zonal jets, typically 4-5 degrees wide at the sea surface and only 2 at the subsurface levels, with directions alternating in latitude and maximum speeds about 0.5 m s(-1) at the surface, 0.1 m s(-1) at CW and uNADW, and 0.03 m s(-1) at AAIW. The available data also allows us to explore the seasonal variability of these jets at the surface and AAIW levels. The surface currents are dominated by an annual cycle between 4 degrees N and 10 degrees N and, to a lesser degree, by a semi-annual contribution close to the equator. This variability is an outcome of evolving zonal recirculations, with the North Equatorial Countercurrent (NECC) arising from the diversion of the northern branch of the South Equatorial Current (nSEC); the diversion begins in the eastern Atlantic and propagates west between April and August, following the Inter-Tropical Convergence Zone (ITCZ). The AAIW current field is largely affected by westward propagating anomalies, most visible near 3 degrees S, 0 degrees, 3 degrees N and 7 degrees N, which give rise to current reversals. Annual averaging produces the illusion of more (5 instead of 3) and slower (peak values about 0.03 m s(-1) instead of 0.1 m s(-1)) jets than found on any month. (C) 2014 Elsevier Ltd. All rights reserved.</t>
  </si>
  <si>
    <t>[Rosell-Fieschi, Miguel; Pelegri, Josep L.; Gourrion, Jeroeme] CSIC, Inst Ciencies Mar, Dept Oceanog Fis &amp; Tecnol, Barcelona, Spain</t>
  </si>
  <si>
    <t>Consejo Superior de Investigaciones Cientificas (CSIC); CSIC - Centro Mediterraneo de Investigaciones Marinas y Ambientales (CMIMA); CSIC - Instituto de Ciencias del Mar (ICM)</t>
  </si>
  <si>
    <t>Pelegrí, JL (corresponding author), CSIC, Inst Ciencies Mar, Dept Oceanog Fis &amp; Tecnol, Barcelona, Spain.</t>
  </si>
  <si>
    <t>Pelegrí, Josep L/L-5815-2014</t>
  </si>
  <si>
    <t>Pelegrí, Josep L/0000-0003-0661-2190; Rosell-Fieschi, Miquel/0000-0003-0247-3517</t>
  </si>
  <si>
    <t>Ministerio de Ciencia e Innovacion, Spain [CTM2009-08462-E/MAR, CTM2008-06438-C02-01, CTM2011-28867]; Spanish Ministerio de Ciencia e Innovacion [AP2008-01879]</t>
  </si>
  <si>
    <t>Ministerio de Ciencia e Innovacion, Spain(Spanish Government); Spanish Ministerio de Ciencia e Innovacion(Instituto de Salud Carlos IIISpanish Government)</t>
  </si>
  <si>
    <t>Funding for this work comes from the Ministerio de Ciencia e Innovacion, Spain, through projects Transmision de perfiladores Argo en la Cuenca de Canarias (ARGO-Canarias, Ref. CTM2009-08462-E/MAR), Memoria Ocednica del Clima (MOC2, Ref. CTM2008-06438-C02-01) and Tipping Corners in the Meridional Overturning Circulation (TIC-MOC, Ref. CTM2011-28867). Miguel Rosell-Fieschi would like to acknowledge the Spanish Ministerio de Ciencia e Innovacion for funding through a FPU Grant (Ref. AP2008-01879). We are very grateful to Marc Gasser, for his help with the harmonic analysis, and to our two reviewers for many constructive comments and useful suggestions which have served to improve an earlier manuscript.</t>
  </si>
  <si>
    <t>PERGAMON-ELSEVIER SCIENCE LTD</t>
  </si>
  <si>
    <t>THE BOULEVARD, LANGFORD LANE, KIDLINGTON, OXFORD OX5 1GB, ENGLAND</t>
  </si>
  <si>
    <t>0079-6611</t>
  </si>
  <si>
    <t>PROG OCEANOGR</t>
  </si>
  <si>
    <t>Prog. Oceanogr.</t>
  </si>
  <si>
    <t>10.1016/j.pocean.2014.08.008</t>
  </si>
  <si>
    <t>CA6XD</t>
  </si>
  <si>
    <t>WOS:000349059800001</t>
  </si>
  <si>
    <t>Shirochkov, AV; Makarova, LN; Nikolaeva, VD; Kotikov, AL</t>
  </si>
  <si>
    <t>Shirochkov, A. V.; Makarova, L. N.; Nikolaeva, V. D.; Kotikov, A. L.</t>
  </si>
  <si>
    <t>The storm of March 1989 revisited: A fresh look at the event</t>
  </si>
  <si>
    <t>ADVANCES IN SPACE RESEARCH</t>
  </si>
  <si>
    <t>Geomagnetic storm; Solar particles; Riometer; Forbush decrease</t>
  </si>
  <si>
    <t>Some new features of the well known geomagnetic storm of March 1989 are presented in this paper. They include more detailed description of the geophysical situation in the Eastern hemisphere (Siberian sector) as well as more careful consideration of the dynamics of the energetic particle precipitation during the event. More attention is given to the peculiarities of the geomagnetic activity at that time. Change of the magnetospheric configuration during active phase of the storm is especially noteworthy. Intriguing feature of this storm is the impulsive powerful solar proton event (SPE) with simultaneous impulsive intense precipitation of the protons with soft energetic spectra (1-40 MeV) appearing in a time interval between 02 and 12 UT of March 13 at the background of a previously existing moderate energetic proton flux. Intensity of this impulsive SPE was very high (up to 5300 pfu for protons with E &gt; 10 MeV). Most probably this SPE was caused by the impulsive solar X-ray flare (N28, W02) classified as X-1.4. It is worth to note that this peak of the proton fluxes was recorded at the same time (07:45 UT) when the Quebec energetic system was collapsed. Simultaneous sharp decrease of the geomagnetic indices AU, AL and PC (Polar Cap index) with a fast recovery time was recorded. Precipitation of more soft particles (E = 30-30,000 eV) was studied by the data of the DMSP 8 and 9 satellites. Equatorward protrusion of the soft particles precipitation boundary reached such lower geomagnetic latitudes as 45 degrees. A specific feature of this storm was absence of the satellite measurements of the solar wind and Interplanetary Magnetic Field (IMF) during several days including active phase of the event. Under these circumstances more important became the data obtained by ground-based geophysical observations especially at the high-latitudes. A special attention was given to the elements of the storm whose peaks were close to time of technological catastrophe (07-45 UT of March 13 1989). (C) 2014 COSPAR. Published by Elsevier Ltd. All rights reserved.</t>
  </si>
  <si>
    <t>[Shirochkov, A. V.; Makarova, L. N.; Nikolaeva, V. D.] Arctic &amp; Antarctic Res Inst, St Petersburg 199397, Russia; [Kotikov, A. L.] St Petersburg State Univ, St Petersburg 199034, Russia</t>
  </si>
  <si>
    <t>Shirochkov, AV (corresponding author), Arctic &amp; Antarctic Res Inst, St Petersburg 199397, Russia.</t>
  </si>
  <si>
    <t>shirmak@aari.nw.ru</t>
  </si>
  <si>
    <t>Nikolaeva, Vera/AGK-6779-2022; Kotikov, Andrey/K-3339-2012</t>
  </si>
  <si>
    <t>Nikolaeva, Vera/0000-0003-4987-6452; Kotikov, Andrey/0000-0002-5941-2216</t>
  </si>
  <si>
    <t>ELSEVIER SCI LTD</t>
  </si>
  <si>
    <t>THE BOULEVARD, LANGFORD LANE, KIDLINGTON, OXFORD OX5 1GB, OXON, ENGLAND</t>
  </si>
  <si>
    <t>0273-1177</t>
  </si>
  <si>
    <t>1879-1948</t>
  </si>
  <si>
    <t>ADV SPACE RES</t>
  </si>
  <si>
    <t>Adv. Space Res.</t>
  </si>
  <si>
    <t>JAN 1</t>
  </si>
  <si>
    <t>10.1016/j.asr.2014.09.010</t>
  </si>
  <si>
    <t>Engineering, Aerospace; Astronomy &amp; Astrophysics; Geosciences, Multidisciplinary; Meteorology &amp; Atmospheric Sciences</t>
  </si>
  <si>
    <t>Engineering; Astronomy &amp; Astrophysics; Geology; Meteorology &amp; Atmospheric Sciences</t>
  </si>
  <si>
    <t>AZ2TJ</t>
  </si>
  <si>
    <t>WOS:000348084900019</t>
  </si>
  <si>
    <t>Singh, VB; Ramanathan, A; Sharma, P; Pottakkal, JG</t>
  </si>
  <si>
    <t>Singh, Virendra Bahadur; Ramanathan, Al; Sharma, Parmanand; Pottakkal, Jose George</t>
  </si>
  <si>
    <t>Dissolved ion chemistry and suspended sediment characteristics of meltwater draining from Chhota Shigri Glacier, western Himalaya, India</t>
  </si>
  <si>
    <t>ARABIAN JOURNAL OF GEOSCIENCES</t>
  </si>
  <si>
    <t>Meltwater chemistry; Weathering; Suspended sediment concentration; Seasonal and diurnal variations; Chhota Shigri Glacier; Western Himalaya</t>
  </si>
  <si>
    <t>PARTICLE-SIZE CHARACTERISTICS; BULK MELT WATERS; GARHWAL HIMALAYA; GANGOTRI GLACIER; SOLUTE ACQUISITION; DOKRIANI GLACIER; HYDROLOGICAL CHARACTERISTICS; HIMACHAL-PRADESH; CLIMATE-CHANGE; RIVER</t>
  </si>
  <si>
    <t>Studies on dissolved ion chemistry and suspended sediment concentration of meltwater draining from Chhota Shigri Glacier were carried out in the year 2008 and 2009. The cationic and anionic concentrations follow the trend: Ca2+ &gt; Mg2+ &gt; Na+ &gt; K+ and HCO3- &gt; SO42- &gt; Cl- &gt; NO3- &gt; PO43-, respectively. The higher ratios of (Ca + Mg)/TZ(+) and (Ca + Mg)/(Na + K); strong correlations between Ca-Mg, Ca-HCO3 and Mg-HCO3; and low ratio of (Na + K)/TZ(+) for both the years indicate that chemical characteristics of Chhota Shigri Glacier meltwater are mostly controlled by carbonate weathering followed by silicate weathering. The C ratio shows that dissolution and dissociation of atmospheric CO2 is the major proton producer for glacier meltwater. Statistical analysis was used to identify different factors controlling dissolved ions chemistry of study area. There have been marked seasonal and diurnal variations in the total dissolved solid (TDS) and suspended sediment concentration of glacier meltwater observed during the sampling periods. TDS of meltwater is high during October (low discharge) and low during August (high discharge) in both years, implying that TDS is inversely correlated with discharge. On the other hand, suspended sediment concentration is higher during August (high flow regime) and low during October (low flow regime) during the sampling periods, generally following the discharge pattern of the glacier.</t>
  </si>
  <si>
    <t>[Singh, Virendra Bahadur; Ramanathan, Al; Pottakkal, Jose George] Jawaharlal Nehru Univ, Sch Environm Sci, New Delhi 110067, India; [Sharma, Parmanand] Natl Ctr Antarctic &amp; Ocean Res, Vasco, Goa, India</t>
  </si>
  <si>
    <t>Jawaharlal Nehru University, New Delhi; Ministry of Earth Sciences (MoES) - India; National Centre for Polar and Ocean Research (NCPOR)</t>
  </si>
  <si>
    <t>Ramanathan, A (corresponding author), Jawaharlal Nehru Univ, Sch Environm Sci, New Delhi 110067, India.</t>
  </si>
  <si>
    <t>alrjnu@gmail.com</t>
  </si>
  <si>
    <t>AL, Ramanathan -/E-7217-2012</t>
  </si>
  <si>
    <t>AL, Ramanathan -/0000-0002-3491-2273; Singh, Virendra/0000-0002-4819-8330</t>
  </si>
  <si>
    <t>Department of Science and Technology (DST), Government of India; IFCPAR/CEFIPRA (Indo-French)</t>
  </si>
  <si>
    <t>Department of Science and Technology (DST), Government of India(Department of Science &amp; Technology (India)); IFCPAR/CEFIPRA (Indo-French)</t>
  </si>
  <si>
    <t>The authors are grateful to the Department of Science and Technology (DST), Government of India and IFCPAR/CEFIPRA (Indo-French) for funding the research project on Chhota Shigri Glacier. We are also thankful to School of Environmental Sciences, Jawaharlal Nehru University, New Delhi, India for providing facilities for sample analysis.</t>
  </si>
  <si>
    <t>SPRINGER HEIDELBERG</t>
  </si>
  <si>
    <t>HEIDELBERG</t>
  </si>
  <si>
    <t>TIERGARTENSTRASSE 17, D-69121 HEIDELBERG, GERMANY</t>
  </si>
  <si>
    <t>1866-7511</t>
  </si>
  <si>
    <t>1866-7538</t>
  </si>
  <si>
    <t>ARAB J GEOSCI</t>
  </si>
  <si>
    <t>Arab. J. Geosci.</t>
  </si>
  <si>
    <t>10.1007/s12517-013-1176-y</t>
  </si>
  <si>
    <t>AZ3DQ</t>
  </si>
  <si>
    <t>WOS:000348108300020</t>
  </si>
  <si>
    <t>Leis, JM</t>
  </si>
  <si>
    <t>Leis, Jeffrey M.</t>
  </si>
  <si>
    <t>Taxonomy and systematics of larval Indo-Pacific fishes: a review of progress since 1981</t>
  </si>
  <si>
    <t>ICHTHYOLOGICAL RESEARCH</t>
  </si>
  <si>
    <t>9th Indo-Pacific Fish Conference</t>
  </si>
  <si>
    <t>JUN 24-28, 2013</t>
  </si>
  <si>
    <t>Okinawa, JAPAN</t>
  </si>
  <si>
    <t>Ontogeny; Development; Teleostei; Larva; Identification</t>
  </si>
  <si>
    <t>EARLY-LIFE-HISTORY; INDIAN WATERS; EGGS LARVAE; PISCES; IDENTIFICATION; TELEOSTEI; ONTOGENY; JUVENILES; REEF; EPINEPHELINAE</t>
  </si>
  <si>
    <t>This paper reviews progress in research on taxonomy and systematics of larval marine and estuarine fishes in the Indo-Pacific since the first Indo-Pacific Fish Conference in 1981. In 1981, the literature on development of fish larvae in the vast Indo-Pacific region was sparse, scattered and of very uneven quality. During the intervening 33 years, taxonomy of adult Indo-Pacific fishes has improved greatly, the proceedings of the landmark Ahlstrom Symposium were published, a large number of larval-fish atlases, or identification guides, have been produced, and the quality of descriptions of larval-fish development in journals has greatly increased. This has resulted in a great improvement in our ability to identify Indo-Pacific fish larvae, particularly oceanic taxa. However, much remains to be done, with the large majority of families having &lt; 50 % of species with described larvae, and with only a small proportion of species descriptions based on full developmental series of larvae. DNA technology has helped to establish identities of larvae, but only a small proportion of the larvae so identified have been described, so the potential for DNA to advance larval taxonomy is largely untapped. An integrative approach combining genetics and morphology is required. Online publication of descriptions of larval development and of interactive identification guides to larvae is the most efficient way to make such information available and useful to a variety of users. The great potential for larval-fish ontogeny to contribute to the study of phylogeny of marine fishes has been underrealized. The ageing of current larval-fish taxonomists, and the lack of positions for younger replacement researchers, is a major obstacle to further progress.</t>
  </si>
  <si>
    <t>[Leis, Jeffrey M.] Univ Tasmania, Inst Marine &amp; Antarctic Studies, Hobart, Tas 7007, Australia; [Leis, Jeffrey M.] Australian Museum, Sydney, NSW 2010, Australia</t>
  </si>
  <si>
    <t>University of Tasmania; Australian Museum</t>
  </si>
  <si>
    <t>Leis, JM (corresponding author), Univ Tasmania, Inst Marine &amp; Antarctic Studies, Hobart, Tas 7007, Australia.</t>
  </si>
  <si>
    <t>jeffrey.leis@utas.edu.au</t>
  </si>
  <si>
    <t>Leis, Jeffrey M/JCE-0397-2023; Leis, Jeffrey M/E-7502-2012</t>
  </si>
  <si>
    <t>Leis, Jeffrey M/0000-0003-0603-3447; Leis, Jeffrey M/0000-0003-0603-3447</t>
  </si>
  <si>
    <t>SPRINGER JAPAN KK</t>
  </si>
  <si>
    <t>SHIROYAMA TRUST TOWER 5F, 4-3-1 TORANOMON, MINATO-KU, TOKYO, 105-6005, JAPAN</t>
  </si>
  <si>
    <t>1341-8998</t>
  </si>
  <si>
    <t>1616-3915</t>
  </si>
  <si>
    <t>ICHTHYOL RES</t>
  </si>
  <si>
    <t>Ichthyol. Res.</t>
  </si>
  <si>
    <t>10.1007/s10228-014-0426-7</t>
  </si>
  <si>
    <t>Fisheries; Marine &amp; Freshwater Biology; Zoology</t>
  </si>
  <si>
    <t>AZ4TF</t>
  </si>
  <si>
    <t>Bronze, Green Accepted, Green Submitted</t>
  </si>
  <si>
    <t>WOS:000348215200003</t>
  </si>
  <si>
    <t>Justino, F; Silva, AS; Pereira, MP; Stordal, F; Lindemann, D; Kucharski, F</t>
  </si>
  <si>
    <t>Justino, F.; Silva, A. S.; Pereira, M. P.; Stordal, F.; Lindemann, D.; Kucharski, F.</t>
  </si>
  <si>
    <t>The Large-Scale Climate in Response to the Retreat of the West Antarctic Ice Sheet</t>
  </si>
  <si>
    <t>JOURNAL OF CLIMATE</t>
  </si>
  <si>
    <t>NORTH-ATLANTIC OSCILLATION; MID-PLIOCENE CLIMATE; ISOTOPE STAGE 31; FRESH-WATER; SOUTHERN-OCEAN; EXPERIMENTAL-DESIGN; CIRCULATION; MODEL; MIOCENE; SIMULATIONS</t>
  </si>
  <si>
    <t>Based upon coupled climate simulations driven by present-day conditions and conditions resembling the Marine Isotope Stage 31 (this simulation is called WICE-EXP), insofar as the West Antarctic Ice Sheet (WAIS) configuration is concerned, it is demonstrated that changes in the WAIS orography lead to noticeable changes in the oceanic and atmospheric circulations. Compared with the present-day climate, WICE-EXP is characterized by warmer conditions in the Southern Hemisphere (SH) by up to 5 degrees C in the polar oceans and up to 2 degrees C in the Northern Hemisphere (NH). These changes feed back on the atmospheric circulation weakening (strengthening) the extratropical westerlies in the SH(northern Atlantic). Calculations of the southern annular mode (SAM) show that modification of the WAIS induces warmer conditions and a northward shift of the westerly flow; in particular, there is a clear weakening of the polar jet. These changes lead to modification of the rate of deep water formation, reducing the magnitude of the North Atlantic Deep Water but enhancing the Antarctic Bottom Water. By evaluating the density flux it is found that the thermal density flux has played a main role in the modification of the meridional overturning circulation. Moreover, the climate anomalies between the WICE-EXP and the present-day simulations resemble a bipolar seesaw pattern. These results are in good agreement with paleorecontructions in the framework of the Ocean Drilling Program and Antarctic Geological Drilling (ANDRILL) project.</t>
  </si>
  <si>
    <t>[Justino, F.; Silva, A. S.; Pereira, M. P.; Lindemann, D.] Univ Fed Vicosa, Dept Agr Engn, Vicosa, MG, Brazil; [Stordal, F.] Univ Oslo, Dept Geosci, Ctr Earth Evolut &amp; Dynam, Oslo, Norway; [Kucharski, F.] Abdus Salam Int Ctr Theoret Phys, Trieste, Italy</t>
  </si>
  <si>
    <t>Universidade Federal de Vicosa; University of Oslo; Abdus Salam International Centre for Theoretical Physics (ICTP)</t>
  </si>
  <si>
    <t>Justino, F (corresponding author), Univ Fed Vicosa, Dept Agr Engn, Ave Peter Henry Rolfs S-N, Vicosa, MG, Brazil.</t>
  </si>
  <si>
    <t>fjustino@ufv.br</t>
  </si>
  <si>
    <t>Flavio, Justino/AAT-2037-2020; Kucharski, Fred/HKV-9960-2023; Pereira, Marcos/G-6010-2019; Stordal, Frode/R-6672-2017</t>
  </si>
  <si>
    <t>Pereira, Marcos/0000-0003-4694-2370; Stordal, Frode/0000-0002-5190-6473; Kucharski, Fred/0000-0002-8710-8051; SILVA, ALEX/0000-0002-6365-5659</t>
  </si>
  <si>
    <t>FAPEMIG [551-13]; CNPq [407681]</t>
  </si>
  <si>
    <t>FAPEMIG(Fundacao de Amparo a Pesquisa do Estado de Minas Gerais (FAPEMIG)); CNPq(Conselho Nacional de Desenvolvimento Cientifico e Tecnologico (CNPQ))</t>
  </si>
  <si>
    <t>We are pleased to acknowledge useful conversations with David Pollard on the subject of this paper and for making available the topography files. The authors thank three anonymous reviewers for their valuable contributions. Research support has been provided through the FAPEMIG Grant 551-13 and CNPq 407681.</t>
  </si>
  <si>
    <t>0894-8755</t>
  </si>
  <si>
    <t>1520-0442</t>
  </si>
  <si>
    <t>J CLIMATE</t>
  </si>
  <si>
    <t>J. Clim.</t>
  </si>
  <si>
    <t>10.1175/JCLI-D-14-00284.1</t>
  </si>
  <si>
    <t>AZ4WB</t>
  </si>
  <si>
    <t>hybrid, Green Published</t>
  </si>
  <si>
    <t>WOS:000348220100013</t>
  </si>
  <si>
    <t>Eaves, SR; Winckler, G; Schaefer, JM; Vandergoes, MJ; Alloway, BV; Mackintosh, AN; Townsend, DB; Ryan, MT; Li, X</t>
  </si>
  <si>
    <t>Eaves, Shaun R.; Winckler, Gisela; Schaefer, Joerg M.; Vandergoes, Marcus J.; Alloway, Brent V.; Mackintosh, Andrew N.; Townsend, Dougal B.; Ryan, Matthew T.; Li, Xun</t>
  </si>
  <si>
    <t>A test of the cosmogenic 3He production rate in the south-west Pacific (39°S)</t>
  </si>
  <si>
    <t>JOURNAL OF QUATERNARY SCIENCE</t>
  </si>
  <si>
    <t>cosmogenic He-3; debris avalanche; New Zealand; pyroxene production rate calibration; radiocarbon dating</t>
  </si>
  <si>
    <t>PRODUCTION-RATE CALIBRATION; SURFACE EXPOSURE AGES; HOLOCENE LAVA FLOWS; DEBRIS AVALANCHE; RUAPEHU VOLCANO; SCALING FACTORS; DRY VALLEYS; USA; 40AR/39AR; NUCLIDES</t>
  </si>
  <si>
    <t>Calculation of surface exposure ages, using in situ cosmogenic nuclides, requires accurate knowledge of local production rates. Here, we report the first attempt to calibrate cosmogenic He-3 production in the south-west Pacific region. We present a new radiocarbon chronology that precisely dates the emplacement of the Murimotu Formation, a large debris avalanche deposit in central North Island, New Zealand (ca. 830m asl; 39 degrees S), which occurred 10.4-10.6cal ka BP. Measurements of cosmogenic He-3 in pyroxene separated from large andesitic blocks exposed during this event yield a sea-level high-latitude production rate of 120 +/- 12 atoms g(-1) a(-1) (Lm' scaling). This is consistent with a recent global compilation, comprised predominantly of calibration sites located in the Northern Hemisphere. Thus, we conclude that the globally compiled cosmogenic He-3 production rate is valid in the south-west Pacific. Using independent, proximal calibrations of cosmogenic isotopes Be-10 and C-14 from quartz in New Zealand, we derive cosmogenic He-3/Be-10 and He-3/C-14 production ratios of 32.2 +/- 3.2 and 10.6 +/- 1.6, respectively.</t>
  </si>
  <si>
    <t>[Eaves, Shaun R.; Mackintosh, Andrew N.; Ryan, Matthew T.] Victoria Univ Wellington, Antarctic Res Ctr, Wellington, New Zealand; [Eaves, Shaun R.; Alloway, Brent V.; Mackintosh, Andrew N.; Ryan, Matthew T.] Victoria Univ Wellington, Sch Geog Environm &amp; Earth Sci, Wellington, New Zealand; [Winckler, Gisela; Schaefer, Joerg M.] Columbia Univ, Lamont Doherty Earth Observ, Palisades, NY USA; [Vandergoes, Marcus J.; Townsend, Dougal B.; Li, Xun] GNS Sci, Lower Hutt, New Zealand</t>
  </si>
  <si>
    <t>Victoria University Wellington; Victoria University Wellington; Columbia University; GNS Science - New Zealand</t>
  </si>
  <si>
    <t>Eaves, SR (corresponding author), Victoria Univ Wellington, Antarctic Res Ctr, Wellington, New Zealand.</t>
  </si>
  <si>
    <t>shaun.eaves@vuw.ac.nz</t>
  </si>
  <si>
    <t>Mackintosh, Andrew/0000-0002-6430-4711; Eaves, Shaun/0000-0003-0444-631X</t>
  </si>
  <si>
    <t>Victoria University; VUW; Antarctic Research Centre Endowed Development Fund; Lamont Climate Center; Comer Science and Educational Foundation; NSF-EAR [0823521]; New Zealand Government through the GNS Science 'Global Change through Time' Programme; Division Of Earth Sciences; Directorate For Geosciences [0823521] Funding Source: National Science Foundation</t>
  </si>
  <si>
    <t>Victoria University; VUW; Antarctic Research Centre Endowed Development Fund; Lamont Climate Center; Comer Science and Educational Foundation; NSF-EAR(National Science Foundation (NSF)); New Zealand Government through the GNS Science 'Global Change through Time' Programme; Division Of Earth Sciences; Directorate For Geosciences(National Science Foundation (NSF)NSF - Directorate for Geosciences (GEO))</t>
  </si>
  <si>
    <t>S.R.E. was supported by the Victoria University Doctoral Scholarship, a VUW Faculty Strategic Research Grant and the Antarctic Research Centre Endowed Development Fund. J.M.S. and G.W. acknowledge support by the Lamont Climate Center and the Comer Science and Educational Foundation as well as by the NSF-EAR award No. 0823521. M.V. was supported by the New Zealand Government through the GNS Science 'Global Change through Time' Programme. We are grateful to the Department of Conservation and the landowners for permission to undertake fieldwork and sample collection. Julia Collins assisted with fieldwork. Roseanne Schwartz, Linda Baker and Sascha Serno provided invaluable assistance with sample preparation and mass spectrometry. We also thank Fred Luiszer (University of Colorado) for major and trace element analyses. This is LDEO contribution number 7852.</t>
  </si>
  <si>
    <t>0267-8179</t>
  </si>
  <si>
    <t>1099-1417</t>
  </si>
  <si>
    <t>J QUATERNARY SCI</t>
  </si>
  <si>
    <t>J. Quat. Sci.</t>
  </si>
  <si>
    <t>10.1002/jqs.2760</t>
  </si>
  <si>
    <t>CA2EG</t>
  </si>
  <si>
    <t>WOS:000348721100009</t>
  </si>
  <si>
    <t>Brodie, DC; Dunn, RA</t>
  </si>
  <si>
    <t>Brodie, Dana C.; Dunn, Robert A.</t>
  </si>
  <si>
    <t>Low frequency baleen whale calls detected on ocean-bottom seismometers in the Lau basin, southwest Pacific Ocean</t>
  </si>
  <si>
    <t>JOURNAL OF THE ACOUSTICAL SOCIETY OF AMERICA</t>
  </si>
  <si>
    <t>EASTERN TROPICAL PACIFIC; BALAENOPTERA-EDENI; FIN WHALES; BLUE; VOCALIZATIONS; CALIFORNIA; SEPARATION; SIGNALS; SOUNDS; GULF</t>
  </si>
  <si>
    <t>Ten months of broadband seismic data, recorded on six ocean-bottom seismographs located in the Lau Basin, were examined to identify baleen whale species. As the first systematic survey of baleen whales in this part of the southwest Pacific Ocean, this study reveals the variety of species present and their temporal occurrence in and near the basin. Baleen whales produce species-specific low frequency calls that can be identified by distinct patterns in data spectrograms. By matching spectrograms with published accounts, fin, Bryde's, Antarctic blue, and New Zealand blue whale calls were identified. Probable whale sounds that could not be matched to published spectrograms, as well as non-biologic sounds that are likely of volcanogenic origin, were also recorded. Detections of fin whale calls (mid-June to mid-October) and blue whale calls (June through September) suggest that these species migrate through the region seasonally. Detections of Bryde's whale calls (primarily February to June, but also other times of the year) suggest this species resides around the basin nearly year round. The discovery of previously unpublished call types emphasizes the limited knowledge of the full call repertoires of baleen whales and the utility of using seismic survey data to enhance understanding in understudied regions. (C) 2015 Acoustical Society of America.</t>
  </si>
  <si>
    <t>[Brodie, Dana C.; Dunn, Robert A.] Univ Hawaii Manoa, Dept Geol &amp; Geophys, Honolulu, HI 96822 USA</t>
  </si>
  <si>
    <t>University of Hawaii System; University of Hawaii Manoa</t>
  </si>
  <si>
    <t>Brodie, DC (corresponding author), Univ Hawaii Manoa, Dept Geol &amp; Geophys, 1680 East West Rd, Honolulu, HI 96822 USA.</t>
  </si>
  <si>
    <t>dbrodie@hawaii.edu</t>
  </si>
  <si>
    <t>Dunn, Robert/L-9892-2014</t>
  </si>
  <si>
    <t>Dunn, Robert/0000-0003-1434-5512</t>
  </si>
  <si>
    <t>National Science Foundation [OCE042642]; Fred M. Bullard Endowed Graduate Fellowship via the Department of Geology and Geophysics, University of Hawaii; Directorate For Geosciences [0961151] Funding Source: National Science Foundation; Division Of Ocean Sciences [0961151] Funding Source: National Science Foundation</t>
  </si>
  <si>
    <t>National Science Foundation(National Science Foundation (NSF)); Fred M. Bullard Endowed Graduate Fellowship via the Department of Geology and Geophysics, University of Hawaii; Directorate For Geosciences(National Science Foundation (NSF)NSF - Directorate for Geosciences (GEO)); Division Of Ocean Sciences(National Science Foundation (NSF)NSF - Directorate for Geosciences (GEO))</t>
  </si>
  <si>
    <t>We thank the captain, crew, and science parties of the R/V Revelle leg RR0915 and the R/V Kilo Moana leg KM1023. We also thank Neil Frazer, Eva-Marie Nosal, Fred Dunnebier, Mike Garcia, and Bob Dziak. All maps were produced using GENERIC MAPPING TOOLS software (Wessel and Smith, 1998). This project was partially funded by National Science Foundation Grant No. OCE042642 to R.A.D. and Fred M. Bullard Endowed Graduate Fellowship to D.C.B. via the Department of Geology and Geophysics, University of Hawaii. SOEST Contribution No. 9040.</t>
  </si>
  <si>
    <t>ACOUSTICAL SOC AMER AMER INST PHYSICS</t>
  </si>
  <si>
    <t>MELVILLE</t>
  </si>
  <si>
    <t>STE 1 NO 1, 2 HUNTINGTON QUADRANGLE, MELVILLE, NY 11747-4502 USA</t>
  </si>
  <si>
    <t>0001-4966</t>
  </si>
  <si>
    <t>1520-8524</t>
  </si>
  <si>
    <t>J ACOUST SOC AM</t>
  </si>
  <si>
    <t>J. Acoust. Soc. Am.</t>
  </si>
  <si>
    <t>10.1121/1.4904556</t>
  </si>
  <si>
    <t>Acoustics; Audiology &amp; Speech-Language Pathology</t>
  </si>
  <si>
    <t>AZ6ZX</t>
  </si>
  <si>
    <t>WOS:000348369000026</t>
  </si>
  <si>
    <t>de Laat, ATJ; van der A, RJ; van Weele, M</t>
  </si>
  <si>
    <t>de Laat, A. T. J.; van der A, R. J.; van Weele, M.</t>
  </si>
  <si>
    <t>Tracing the second stage of ozone recovery in the Antarctic ozone-hole with a big data approach to multivariate regressions</t>
  </si>
  <si>
    <t>QUASI-BIENNIAL OSCILLATION; BREWER-DOBSON CIRCULATION; STRATOSPHERIC OZONE; VARIABILITY; PINATUBO; IMPACT; CYCLE; REANALYSIS; ERUPTION; MODES</t>
  </si>
  <si>
    <t>This study presents a sensitivity analysis of multivariate regressions of recent springtime Antarctic vortex ozone trends using a big data ensemble approach. Our results indicate that the poleward heat flux (Eliassen-Palm flux) and the effective chlorine loading respectively explain most of the short-term and long-term variability in different Antarctic springtime total ozone records. The inclusion in the regression of stratospheric volcanic aerosols, solar variability and the quasi-biennial oscillation is shown to increase rather than decrease the overall uncertainty in the attribution of Antarctic springtime ozone because of large uncertainties in their respective records. Calculating the trend significance for the ozone record from the late 1990s onwards solely based on the fit of the effective chlorine loading is not recommended, as this does not take fit residuals into account, resulting in too narrow uncertainty intervals, while the fixed temporal change of the effective chlorine loading does not allow for any flexibility in the trends. When taking fit residuals into account in a piecewise linear trend fit, we find that approximately 30-60% of the regressions in the full ensemble result in a statistically significant positive springtime ozone trend over Antarctica from the late 1990s onwards. Analysis of choices and uncertainties in time series show that, depending on choices in time series and parameters, the fraction of statistically significant trends in parts of the ensemble can range from negligible to a complete 100% significance. We also find that, consistent with expectations, the number of statistically significant trends increases with increasing record length. Although our results indicate that the use multivariate regressions is a valid approach for assessing the state of Antarctic ozone hole recovery, and it can be expected that results will move towards more confidence in recovery with increasing record length, uncertainties in choices currently do not yet support formal identification of recovery of the Antarctic ozone hole.</t>
  </si>
  <si>
    <t>[de Laat, A. T. J.; van der A, R. J.; van Weele, M.] Royal Netherlands Meteorol Inst, NL-3730 AE De Bilt, Netherlands</t>
  </si>
  <si>
    <t>Royal Netherlands Meteorological Institute</t>
  </si>
  <si>
    <t>de Laat, ATJ (corresponding author), Royal Netherlands Meteorol Inst, POB 201, NL-3730 AE De Bilt, Netherlands.</t>
  </si>
  <si>
    <t>laatdej@knmi.nl</t>
  </si>
  <si>
    <t>de Laat, Jos/0000-0003-1078-5334</t>
  </si>
  <si>
    <t>10.5194/acp-15-79-2015</t>
  </si>
  <si>
    <t>AZ0TQ</t>
  </si>
  <si>
    <t>WOS:000347958200006</t>
  </si>
  <si>
    <t>Kao, SJ; Wang, BY; Zheng, LW; Selvaraj, K; Hsu, SC; Wan, XHS; Xu, M; Chen, CTA</t>
  </si>
  <si>
    <t>Kao, S. -J.; Wang, B. -Y.; Zheng, L. -W.; Selvaraj, K.; Hsu, S. -C.; Wan, X. H. Sean; Xu, M.; Chen, C. -T. Arthur</t>
  </si>
  <si>
    <t>Spatiotemporal variations of nitrogen isotopic records in the Arabian Sea</t>
  </si>
  <si>
    <t>OXYGEN MINIMUM ZONE; NUTRIENT UTILIZATION; LATE QUATERNARY; INDIAN-OCEAN; PRIMARY PRODUCTIVITY; SINKING PARTICLES; MARINE NITROGEN; ATMOSPHERIC N2O; ORGANIC-MATTER; CHINA SEA</t>
  </si>
  <si>
    <t>Available reports of dissolved oxygen, delta N-15 of nitrate (delta N-15(NO3)) and delta N-15 of total nitrogen (delta N-15(bulk)) for trap material and surface/downcore sediments from the Arabian Sea (AS) were synthesized to explore the AS' past nitrogen dynamics. Based on 25 mu mol kg 1 dissolved oxygen isopleth at a depth of 150 m, we classified all reported data into northern and southern groups. By using delta N-15(bulk) of the sediments, we obtained geographically distinctive bottom-depth effects for the northern and southern AS at different climate stages. After eliminating the bias caused by bottom depth, the modern-day sedimentary delta N-15(bulk) values largely reflect the delta(15)NNO3 supply from the bottom of the euphotic zone. Additionally to the data set, nitrogen and carbon contents vs. their isotopic compositions of a sediment core (SK177/11) collected from the most southeastern part of the AS were measured for comparison. We found a one-step increase in delta N-15(bulk) starting at the deglaciation with a corresponding decrease in delta C-13(TOC) similar to reports elsewhere revealing a global coherence. By synthesizing and reanalyzing all reported down core delta N-15(bulk), we derived bottom-depth correction factors at different climate stages, respectively, for the northern and southern AS. The diffusive sedimentary delta N-15(bulk) values in compiled cores became confined after bias correction revealing a more consistent pattern except recent 6 ka. Such high similarity to the global temporal pattern indicates that the nitrogen cycle in the entire AS had responded to open-ocean changes until 6 ka BP. Since 6 ka BP, further enhanced denitrification (i.e., increase in delta N-15(bulk)) in the northern AS had occurred and was likely driven by monsoon, while, in the southern AS, we observed a synchronous reduction in delta N-15(bulk), implying that nitrogen fixation was promoted correspondingly as the intensification of local denitrification at the northern AS basin.</t>
  </si>
  <si>
    <t>[Kao, S. -J.; Wang, B. -Y.; Zheng, L. -W.; Selvaraj, K.; Wan, X. H. Sean; Xu, M.] Xiamen Univ, State Key Lab Marine Environm Sci, Xiamen, Peoples R China; [Hsu, S. -C.] Acad Sinica, Res Ctr Environm Changes, Taipei 115, Taiwan; [Chen, C. -T. Arthur] Natl Sun Yat Sen Univ, Dept Oceanog, Kaohsiung 80424, Taiwan</t>
  </si>
  <si>
    <t>Xiamen University; Academia Sinica - Taiwan; National Sun Yat Sen University</t>
  </si>
  <si>
    <t>Kao, SJ (corresponding author), Xiamen Univ, State Key Lab Marine Environm Sci, Xiamen, Peoples R China.</t>
  </si>
  <si>
    <t>sjkao@xmu.edu.cn</t>
  </si>
  <si>
    <t>Xu, Min/N-6142-2018; Kandasamy, Selvaraj/JJD-9543-2023; CHEN, CHEN/HDM-6657-2022; chen, chen/GRY-7085-2022; Kao, Shuh-Ji/F-8418-2015; Chen, Chen-Tung Arthur/C-8901-2011; Kandasamy, Selvaraj/H-5812-2013</t>
  </si>
  <si>
    <t>Chen, Chen-Tung Arthur/0000-0002-5170-6471; Kandasamy, Selvaraj/0000-0003-2916-5055; Xu, Min/0000-0002-4345-8375; Zheng, Li-Wei/0000-0001-9772-9698; Wan, Xianhui/0000-0002-4870-7369</t>
  </si>
  <si>
    <t>National Natural Science Foundation of China [NSFC 41176059, 91328207, 41273083]; Shanhai Fund [2013SH012]; Division Of Environmental Biology; Direct For Biological Sciences [1026415] Funding Source: National Science Foundation; Division Of Ocean Sciences; Directorate For Geosciences [1334848] Funding Source: National Science Foundation</t>
  </si>
  <si>
    <t>National Natural Science Foundation of China(National Natural Science Foundation of China (NSFC)); Shanhai Fund; Division Of Environmental Biology; Direct For Biological Sciences(National Science Foundation (NSF)NSF - Directorate for Biological Sciences (BIO)); Division Of Ocean Sciences; Directorate For Geosciences(National Science Foundation (NSF)NSF - Directorate for Geosciences (GEO))</t>
  </si>
  <si>
    <t>This research was supported by the National Natural Science Foundation of China (NSFC 41176059, 91328207, and 41273083) and Shanhai Fund (2013SH012). K. Selvaraj personally thanks the director of the National Center for Antarctic and Ocean Research, Goa and the Secretary, the Department of Ocean Development, New Delhi, for providing the ship time, and also the crew of ORV Sagar Kanya for coring operation. K. Selvaraj also thanks V. Yoganandan for onboard help of subsampling, and the coordinator of Ocean Science and Technology Cell of Mangalore University, for their kind encouragement.</t>
  </si>
  <si>
    <t>10.5194/bg-12-1-2015</t>
  </si>
  <si>
    <t>AZ0UR</t>
  </si>
  <si>
    <t>WOS:000347960800001</t>
  </si>
  <si>
    <t>Matthews, KJ; Williams, SE; Whittaker, JM; Müller, RD; Seton, M; Clarke, GL</t>
  </si>
  <si>
    <t>Matthews, Kara J.; Williams, Simon E.; Whittaker, Joanne M.; Mueller, R. Dietrnar; Seton, Maria; Clarke, Geoffrey L.</t>
  </si>
  <si>
    <t>Geologic and kinematic constraints on Late Cretaceous to mid Eocene plate boundaries in the southwest Pacific</t>
  </si>
  <si>
    <t>EARTH-SCIENCE REVIEWS</t>
  </si>
  <si>
    <t>Southwest Pacific; Lord Howe Rise; South Loyalty Basin; Late Cretaceous; Subduction; Plate circuit</t>
  </si>
  <si>
    <t>NORTHERN NEW-ZEALAND; NE NEW-CALEDONIA; MARIE-BYRD-LAND; FISSION-TRACK ANALYSIS; TECTONIC EVOLUTION; SW PACIFIC; TRANSANTARCTIC MOUNTAINS; CONTINENTAL-MARGIN; SHEAR ZONE; NORTHLAND OPHIOLITE</t>
  </si>
  <si>
    <t>Starkly contrasting tectonic reconstructions have been proposed for the Late Cretaceous to mid Eocene (similar to 85-45 Ma) evolution of the southwest Pacific, reflecting sparse and ambiguous data. Furthermore, uncertainty in the timing of and motion at plate boundaries in the region has led to controversy around how to implement a robust southwest Pacific plate circuit. It is agreed that the southwest Pacific comprised three spreading ridges during this time: in the Southeast Indian Ocean, Tasman Sea and Amundsen Sea. However, one and possibly two other plate boundaries also accommodated relative plate motions: in the West Antarctic Rift System (WARS) and between the Lord Howe Rise (LHR) and Pacific. Relevant geologic and kinematic data from the region are reviewed to better constrain its plate motion history during this period, and determine the time-dependent evolution of the southwest Pacific regional plate circuit. A model of (1) west-dipping subduction and basin opening to the east of the LHR from 85-55 Ma, and (2) initiation of northeast-dipping subduction and basin closure east of New Caledonia at similar to 55 Ma is supported. West-dipping subduction and basin opening were not driven by convergence, as has previously been proposed. Our plate circuit analysis suggests that between at least 74 Ma and subduction initiation at similar to 55 Ma there was little net relative motion between the Pacific plate and LHR, &lt;20 km of-convergence with a component of strike-slip motion. Subduction must therefore have been primarily driven by the negative buoyancy of the slab, or perhaps forced trench retreat due to orogenic collapse. We propose that at least two plate boundaries separated the Pacific plate from the LHR during this time, however, as there was little to no motion between these plates then a plate circuit which treats the Pacific plate and LHR as a single plate (Australian circuit) will produce similar kinematic results to a circuit which leaves their relative motion unconstrained and treats them as separate plates (Antarctic circuit). Prior to 74 Ma the reliability of magnetic anomalies from southwest Pacific spreading systems is questionable and it is difficult to properly test alternative plate circuits. After 55 Ma we advocate using an Antarctic plate circuit as the Australian plate circuit models that were tested predict significant net compression in the WARS, for which evidence is absent. Our preferred model makes testable predictions, such as burial of an arc beneath the Tonga and Vitiaz ridges, and Late Cretaceous to Eocene slabs in the mantle beneath the southwest Pacific, both of which can be investigated by future work. These predictions are particularly important for testing the earlier 85-55 Ma phase of the model, which is largely underpinned by ages and interpretations of South Loyalty Basin crust abducted onto New Caledonia, rather than an extinct arc or arc-related rocks. (C) 2014 Elsevier B.V. All rights reserved.</t>
  </si>
  <si>
    <t>[Matthews, Kara J.; Williams, Simon E.; Mueller, R. Dietrnar; Seton, Maria; Clarke, Geoffrey L.] Univ Sydney, Sch Geosci, EarthByte Grp, Sydney, NSW 2006, Australia; [Whittaker, Joanne M.] Univ Tasmania, Inst Marine &amp; Antarctic Studies, Hobart, Tas 7001, Australia</t>
  </si>
  <si>
    <t>University of Sydney; University of Tasmania</t>
  </si>
  <si>
    <t>Matthews, KJ (corresponding author), Univ Sydney, Sch Geosci, Madsen Bldg F09, Sydney, NSW 2006, Australia.</t>
  </si>
  <si>
    <t>kara.matthews@sydney.edu.au</t>
  </si>
  <si>
    <t>Clarke, Geoffrey/O-9307-2019; Müller, Dietmar/L-1200-2019; Seton, Maria/H-8272-2013; Whittaker, Joanne/B-3695-2010</t>
  </si>
  <si>
    <t>Clarke, Geoffrey/0000-0001-6909-6643; Müller, Dietmar/0000-0002-3334-5764; Seton, Maria/0000-0001-8541-1367; Whittaker, Joanne/0000-0002-3170-3935; Matthews, Kara/0000-0003-3249-3869; Williams, Simon/0000-0003-4670-8883</t>
  </si>
  <si>
    <t>Australian Postgraduate Award; ARC [FL0992245, DP0987713, A39600827]; Statoil</t>
  </si>
  <si>
    <t>Australian Postgraduate Award(Australian Government); ARC(Australian Research Council); Statoil</t>
  </si>
  <si>
    <t>K.J.M. was supported by an Australian Postgraduate Award, S.E.W. and R.D.M. were supported by ARC grant FL0992245, M.S. was supported by ARC grant DP0987713 and would like to thank support from Statoil, and G.L.C. was supported by ARC grant A39600827. Discussions on southwest Pacific geology held at the Southwest Pacific New Cruise Results Workshop hosted by the Geological Survey of New Caledonia, June 2013, were extremely helpful during preparation of this manuscript. This manuscript also benefitted from discussions with Nick Mortimer, Nicolas Flament and Patrice Rey. We are grateful to Pierre Maurizot for providing outlines for obducted terranes in New Caledonia, Pavel Doubrovine for providing a global set of finite rotation poles, and Daniel Schulte for providing sample locations in New Zealand. All figures (excluding Figs. 2 and 9) were prepared using the Generic Mapping Tools software (Wessel et al., 2013). We thank the Editor Carlo Doglioni, Julien Collot and Roi Granot for their thoughtful and constructive reviews that greatly improved the manuscript.</t>
  </si>
  <si>
    <t>ELSEVIER</t>
  </si>
  <si>
    <t>RADARWEG 29, 1043 NX AMSTERDAM, NETHERLANDS</t>
  </si>
  <si>
    <t>0012-8252</t>
  </si>
  <si>
    <t>1872-6828</t>
  </si>
  <si>
    <t>EARTH-SCI REV</t>
  </si>
  <si>
    <t>Earth-Sci. Rev.</t>
  </si>
  <si>
    <t>10.1016/j.earscirev.2014.10.008</t>
  </si>
  <si>
    <t>AY9IJ</t>
  </si>
  <si>
    <t>Green Submitted, Green Accepted</t>
  </si>
  <si>
    <t>WOS:000347863500005</t>
  </si>
  <si>
    <t>Salcedo-Castro, J; Montiel, A; Jara, B; Vásquez, O</t>
  </si>
  <si>
    <t>Salcedo-Castro, Julio; Montiel, Americo; Jara, Bibiana; Vasquez, Osvaldo</t>
  </si>
  <si>
    <t>Influence of a Glacier Melting Cycle on the Seasonal Hydrographic Conditions and Sediment Flux in a Subantarctic Glacial Fjord</t>
  </si>
  <si>
    <t>ESTUARIES AND COASTS</t>
  </si>
  <si>
    <t>Glaciers; Suspended particulate matter; Patagonia; Seasonality; Glacial sedimentation</t>
  </si>
  <si>
    <t>CHILEAN PATAGONIA; MELTWATER DISCHARGE; PARTICULATE MATTER; FIELD ASSESSMENT; SOUTH-AMERICA; WEDDELL SEA; DYNAMICS; FLOW; PHYTOPLANKTON; KONGSFJORDEN</t>
  </si>
  <si>
    <t>Four hydrographic surveys were carried out in Gallegos Sound (54 degrees 28'58 '' S-69 degrees 50'55 '' W), a subantarctic glacial fjord. This is the first comprehensive seasonal study for the extreme isolated areas in the Cordillera Darwin Ice Field, Chile. The fjord exhibits a strong seasonal pattern in its oceanographic characteristics. The highest values of total suspended solid concentrations were observed in summer (&gt;15 mg L-1), with the lowest concentrations in winter (&lt;5mg L-1). Seasonality of the oceanographic characteristics in Gallegos Sound is significantly correlated with the air temperature. In spite of the high pluviosity and maritime climate in this region, the Cordillera Darwin mountain range creates drier conditions that contrast with the climate that influences glacial fjords of Alaska. The relatively high salinity observed in the surface layer during winter confirms that the influence of precipitacion on freshwater and TSS concentration is negligible. As Garibaldi Glacier is the most significant freshwater source in the basin of Gallegos Sound, ice melting represents the main forcing that influences the seasonal characteristics of the surface layer. The mean TSS concentrations observed in Gallegos Sound exhibit a higher range in comparison to other Chilean fjords and are more similar to the concentrations observed in the ice-proximal environment of an Antarctic fjords. In general, TSS concentrations in Gallegos Sound are much lower than those of glacial fjords of the Northern Hemisphere.</t>
  </si>
  <si>
    <t>[Salcedo-Castro, Julio] Univ Playa Ancha, Ctr Estudios Avanzados, Vina Del Mar, Chile; [Montiel, Americo] Univ Magallanes, Inst Patagonia, Punta Arenas, Chile; [Jara, Bibiana] Univ Magallanes, Fac Ciencias, Punta Arenas, Chile; [Vasquez, Osvaldo] Magallanes &amp; Antartica Chilena, Serv Nacl Pesca &amp; Acuicultura, Puerto Natales, Chile</t>
  </si>
  <si>
    <t>Universidad de Playa Ancha; Universidad de Magallanes; Universidad de Magallanes</t>
  </si>
  <si>
    <t>Salcedo-Castro, J (corresponding author), Univ Playa Ancha, Ctr Estudios Avanzados, Traslavina 450, Vina Del Mar, Chile.</t>
  </si>
  <si>
    <t>julio.salcedo@upla.cl</t>
  </si>
  <si>
    <t>Salcedo-Castro, Julio/P-1198-2019; Salcedo-Castro, Julio/AAF-5108-2021</t>
  </si>
  <si>
    <t>Salcedo-Castro, Julio/0000-0002-8035-3513; Montiel, Americo/0000-0002-2644-4879</t>
  </si>
  <si>
    <t>National Fund for Science and Technology (FONDECYT)-Government of Chile [11090208]</t>
  </si>
  <si>
    <t>National Fund for Science and Technology (FONDECYT)-Government of Chile(Comision Nacional de Investigacion Cientifica y Tecnologica (CONICYT)CONICYT FONDECYT)</t>
  </si>
  <si>
    <t>This research was carried out through the Patterns in benthic communities off the Marinelli glacier (Darwin Ice Field, South Chile: Response to glacier retreat? National Fund for Science and Technology (FONDECYT 11090208)-Government of Chile. We appreciate the constructive comments and suggestions of Dr. Vera Novak and Dr. Prasanth Divakaran as they significantly helped to improve this manuscript. We thank the anonymous reviewers for their valuable comments.</t>
  </si>
  <si>
    <t>SPRINGER</t>
  </si>
  <si>
    <t>ONE NEW YORK PLAZA, SUITE 4600, NEW YORK, NY, UNITED STATES</t>
  </si>
  <si>
    <t>1559-2723</t>
  </si>
  <si>
    <t>1559-2731</t>
  </si>
  <si>
    <t>ESTUAR COAST</t>
  </si>
  <si>
    <t>Estuaries Coasts</t>
  </si>
  <si>
    <t>10.1007/s12237-014-9825-2</t>
  </si>
  <si>
    <t>Environmental Sciences; Marine &amp; Freshwater Biology</t>
  </si>
  <si>
    <t>Environmental Sciences &amp; Ecology; Marine &amp; Freshwater Biology</t>
  </si>
  <si>
    <t>AY6MM</t>
  </si>
  <si>
    <t>WOS:000347680300003</t>
  </si>
  <si>
    <t>Martin, AP; Price, RC; Cooper, AF; McCammon, CA</t>
  </si>
  <si>
    <t>Martin, Adam P.; Price, Richard C.; Cooper, Alan F.; McCammon, Catherine A.</t>
  </si>
  <si>
    <t>Petrogenesis of the Rifted Southern Victoria Land Lithospheric Mantle, Antarctica, Inferred from Petrography, Geochemistry, Thermobarometry and Oxybarometry of Peridotite and Pyroxenite Xenoliths from the Mount Morning Eruptive Centre</t>
  </si>
  <si>
    <t>JOURNAL OF PETROLOGY</t>
  </si>
  <si>
    <t>lithospheric mantle; oxygen fugacity; pyroxenite; spinel peridotite; eclogite</t>
  </si>
  <si>
    <t>SPINEL OXYGEN GEOBAROMETER; TRACE-ELEMENT COMPOSITIONS; MARIE-BYRD-LAND; FERRIC IRON; CONTINENTAL-CRUST; INTRAPLATE VOLCANISM; RONDA PERIDOTITE; OXIDATION-STATE; NEW-ZEALAND; ROSS SEA</t>
  </si>
  <si>
    <t>The lithospheric mantle beneath West Antarctica has been characterized using petrology, whole-rock and mineral major element geochemistry, whole-rock trace element chemistry and Mossbauer spectroscopy data obtained on a suite of peridotite (lherzolite and harzburgite) and pyroxenite xenoliths from the Mount Morning eruptive centre, Southern Victoria Land. The timing of pyroxenite formation in Victoria Land overlaps with subduction of the Palaeo-Pacific plate beneath the Gondwana margin and pyroxenite is likely to have formed when fluids derived from, or modified by, melting of the subducting, eclogitic, oceanic crustal plate percolated through peridotite of the lithospheric mantle. Subsequent melting of lithospheric pyroxenite veins similar to those represented in the Mount Morning xenolith suite has contributed to the enriched trace element (and isotope) signatures seen in Cenozoic volcanic rocks from Mount Morning, elsewhere in Victoria Land and Zealandia. In general, the harzburgite xenoliths reflect between 20 and 30% melt depletion. Their depleted element budgets are consistent with Archaean cratonization ages and they have mantle-normalized trace element patterns comparable with typical subcontinental lithospheric mantle. The spinel lherzolite mineral data suggest a similar amount of depletion to that recorded in the harzburgites (20-30%), whereas plagioclase lherzolite mineral data suggest &lt;15% melt depletion. The lherzolite (spinel and plagioclase) xenolith whole-rocks have compositions indicating &lt;20% melt depletion, consistent with Proterozoic to Phanerozoic cratonization ages, and have mantle-normalized trace element patterns comparable with typical depleted mid-ocean ridge mantle. All peridotite xenoliths have undergone a number of melt-rock reaction events. Melting took place mainly in the spinel peridotite stability field, but one plagioclase peridotite group containing high-sodium clinopyroxenes is best modelled by melting in the garnet field. Median oxygen fugacity estimates based on Mossbauer spectroscopy measurements of spinel and pyroxene for spinel-facies conditions in the rifted Antarctic lithosphere are -0.6 Delta log fO(2) at Mount Morning and -1.0 +/- 0.1 (1 sigma) Delta log fO(2) for all of Victoria Land, relative to the fayalite-magnetite-quartz buffer. These values are in good agreement with a calculated global median value of -0.9 +/- 0.1 (1 sigma) Delta log fO(2) for mantle spinel-facies rocks from continental rift systems.</t>
  </si>
  <si>
    <t>[Martin, Adam P.; Cooper, Alan F.] Univ Otago, Dept Geol, Dunedin, New Zealand; [Price, Richard C.] Univ Waikato, Hamilton, New Zealand; [McCammon, Catherine A.] Univ Bayreuth, Bayer Geoinst, D-95440 Bayreuth, Germany</t>
  </si>
  <si>
    <t>University of Otago; University of Waikato; University of Bayreuth</t>
  </si>
  <si>
    <t>Martin, AP (corresponding author), GNS Sci, Private Bag 1930, Dunedin, New Zealand.</t>
  </si>
  <si>
    <t>adammartin2000@yahoo.com</t>
  </si>
  <si>
    <t>McCammon, Catherine/B-4983-2010</t>
  </si>
  <si>
    <t>McCammon, Catherine/0000-0001-5680-9106; Martin, A. P./0000-0002-4676-8344</t>
  </si>
  <si>
    <t>Antarctica New Zealand (NZ Post) Antarctic scholarship; University of Otago award from the Department of Geology; European Commission [MEST-CT-2005-019700]</t>
  </si>
  <si>
    <t>Antarctica New Zealand (NZ Post) Antarctic scholarship; University of Otago award from the Department of Geology; European Commission(European Union (EU)European Commission Joint Research Centre)</t>
  </si>
  <si>
    <t>A.P.M. was supported by an Antarctica New Zealand (NZ Post) Antarctic scholarship, a University of Otago award from the Department of Geology and a Marie Curie Fellowship supported by the European Commission under the Marie Curie Action for Early Stage Training of Researchers within the 6th Framework Program (contract number MEST-CT-2005-019700). Antarctica New Zealand provided fieldwork logistical support.</t>
  </si>
  <si>
    <t>0022-3530</t>
  </si>
  <si>
    <t>1460-2415</t>
  </si>
  <si>
    <t>J PETROL</t>
  </si>
  <si>
    <t>J. Petrol.</t>
  </si>
  <si>
    <t>10.1093/petrology/egu075</t>
  </si>
  <si>
    <t>AZ4RH</t>
  </si>
  <si>
    <t>Green Submitted, Green Published, Bronze</t>
  </si>
  <si>
    <t>WOS:000348209800008</t>
  </si>
  <si>
    <t>Stuart-Smith, RD; Bates, AE; Lefcheck, JS; Duffy, JE; Baker, SC; Thomson, RJ; Stuart-Smith, JF; Hill, NA; Kininmonth, SJ; Airoldi, L; Becerro, MA; Campbell, SJ; Dawson, TP; Navarrete, SA; Soler, G; Strain, EMA; Willis, TJ; Edgar, GJ</t>
  </si>
  <si>
    <t>Stuart-Smith, Rick D.; Bates, Amanda E.; Lefcheck, Jonathan S.; Duffy, J. Emmett; Baker, Susan C.; Thomson, Russell J.; Stuart-Smith, Jemina F.; Hill, Nicole A.; Kininmonth, Stuart J.; Airoldi, Laura; Becerro, Mikel A.; Campbell, Stuart J.; Dawson, Terence P.; Navarrete, Sergio A.; Soler, German; Strain, Elisabeth M. A.; Willis, Trevor J.; Edgar, Graham J.</t>
  </si>
  <si>
    <t>The potential of trait-based approaches to contribute to marine conservation</t>
  </si>
  <si>
    <t>MARINE POLICY</t>
  </si>
  <si>
    <t>Evenness; Functional diversity; Macroecology; Marine fish; Reef ecosystems; Underwater visual census (UVC)</t>
  </si>
  <si>
    <t>SPECIES-DIVERSITY; FISH ASSEMBLAGES; ABUNDANCE; HOTSPOTS; ECOLOGY; SOUTH</t>
  </si>
  <si>
    <t>The value of diversity metrics to represent ecological communities and inform broad-scale conservation objectives and policy has often been subject to debate and uncertainty [1,2]. In practice, diversity metrics are important in setting management and conservation priorities, just as economic indices contribute to global monetary and financial policies. Thus, key challenges for ecologists are to identify new ways to view and summarise patterns in biodiversity and improve on the metrics available for management purposes. In a recent paper on functional diversity patterns in reef fishes [3], we highlighted the potential of new insights gained from functional trait-based approaches to inform marine management, stressing the need to develop and refine biodiversity measures that are linked to ecology (rather than taxonomy). We used a unique, fisheries-independent reef fish identity and abundance dataset, collected using standardised methods from equatorial to high latitude regions all over the world, to provide the first global view of the distribution of individuals amongst species (including a measure of evenness) and functional traits amongst marine communities. A recent paper by Robinson et al. [4] published in Marine Policy criticised the use of our evenness index as a measure of biodiversity, and questioned the use of functional trait-based metrics derived from surveys of standardised areas for decisions relating to broad-scale management of marine systems. In this paper we respond to Robinson et al. and rebut their claims related to sampling bias and broad-scale applicability of trait-based approaches. (C) 2014 Elsevier Ltd. All rights reserved.</t>
  </si>
  <si>
    <t>[Stuart-Smith, Rick D.; Thomson, Russell J.; Stuart-Smith, Jemina F.; Hill, Nicole A.; Soler, German; Strain, Elisabeth M. A.; Edgar, Graham J.] Univ Tasmania, Inst Marine &amp; Antarctic Studies, Hobart, Tas 7001, Australia; [Bates, Amanda E.] Univ Southampton, Natl Oceanog Ctr Southampton, Southampton SO14 3ZH, Hants, England; [Lefcheck, Jonathan S.] Virginia Inst Marine Sci, Gloucester Point, VA 23062 USA; [Duffy, J. Emmett] Smithsonian Inst, Tennenbaum Marine Observ Network, Washington, DC 20013 USA; [Baker, Susan C.] Univ Tasmania, Sch Biol Sci, Hobart, Tas 7001, Australia; [Kininmonth, Stuart J.] Stockholm Univ, Stockholm Resilience Ctr, SE-11419 Stockholm, Sweden; [Airoldi, Laura] Univ Bologna, Dipartimento Sci Biol Geol &amp; Ambientali, I-163148123 Ravenna, Italy; [Airoldi, Laura] Stanford Univ, Hopkins Marine Stn, Pacific Grove, CA 93950 USA; [Becerro, Mikel A.] CSIC, Nat Prod &amp; Agrobiol Inst IPNA, Tenerife 38206, Canary Islands, Spain; [Campbell, Stuart J.] Wildlife Conservat Soc, Indonesia Marine Program, Bogor Jawa Barat 16151, Indonesia; [Dawson, Terence P.] Univ Dundee, Sch Environm, Dundee DD1 4HN, Scotland; [Navarrete, Sergio A.] Pontificia Univ Catolica Chile, Estn Costera Invest Marinas, Santiago, Chile; [Navarrete, Sergio A.] Pontificia Univ Catolica Chile, Ctr Marine Conservat, Santiago, Chile; [Willis, Trevor J.] Univ Portsmouth, Inst Marine Sci, Portsmouth PO4 9LY, Hants, England</t>
  </si>
  <si>
    <t>University of Tasmania; University of Southampton; NERC National Oceanography Centre; William &amp; Mary; Virginia Institute of Marine Science; Smithsonian Institution; Smithsonian National Museum of Natural History; University of Tasmania; Stockholm University; University of Bologna; Stanford University; Consejo Superior de Investigaciones Cientificas (CSIC); CSIC - Instituto de Productos Naturales y Agrobiologia (IPNA); Wildlife Conservation Society - Indonesia; University of Dundee; Pontificia Universidad Catolica de Chile; Pontificia Universidad Catolica de Chile; University of Portsmouth</t>
  </si>
  <si>
    <t>Stuart-Smith, RD (corresponding author), Univ Tasmania, Inst Marine &amp; Antarctic Studies, Private Bag 49, Hobart, Tas 7001, Australia.</t>
  </si>
  <si>
    <t>Lefcheck, Jonathan/H-8768-2019; Navarrete, Sergio A/D-4645-2013; Stuart-Smith, Rick/I-5214-2019; Stuart-Smith, Rick D/M-1829-2013; Bates, Amanda E./ABD-6874-2021; Baker, Susan C/F-9307-2011; Duffy, J. Emmett/ABF-9200-2020; Kininmonth, Stuart/N-9299-2013; Dawson, Terence Peter/E-4724-2011; Becerro, Mikel/ABC-9478-2021; Willis, Trevor/F-5337-2012; Edgar, Graham/AAY-3797-2020; Airoldi, Laura/I-3553-2019; Baker, Susan/O-8482-2019; Hill, Nicole/AAI-7323-2021; Thomson, Russell/H-5653-2012; Strain, Elisabeth/U-3520-2017</t>
  </si>
  <si>
    <t>Lefcheck, Jonathan/0000-0002-8787-1786; Stuart-Smith, Rick/0000-0002-8874-0083; Stuart-Smith, Rick D/0000-0002-8874-0083; Bates, Amanda E./0000-0002-0198-4537; Duffy, J. Emmett/0000-0001-8595-6391; Kininmonth, Stuart/0000-0001-9198-3396; Dawson, Terence Peter/0000-0002-4314-1378; Becerro, Mikel/0000-0002-6047-350X; Willis, Trevor/0000-0002-0357-1189; Edgar, Graham/0000-0003-0833-9001; Airoldi, Laura/0000-0001-5046-0871; Baker, Susan/0000-0002-7593-0267; Hill, Nicole/0000-0001-9329-6717; Thomson, Russell/0000-0003-4949-4120; Strain, Elisabeth/0000-0003-2165-9544; Campbell, Stuart/0000-0002-1158-3200; Navarrete, Sergio Andres/0000-0003-4021-3863</t>
  </si>
  <si>
    <t>0308-597X</t>
  </si>
  <si>
    <t>1872-9460</t>
  </si>
  <si>
    <t>MAR POLICY</t>
  </si>
  <si>
    <t>Mar. Pol.</t>
  </si>
  <si>
    <t>10.1016/j.marpol.2014.07.002</t>
  </si>
  <si>
    <t>Environmental Studies; International Relations</t>
  </si>
  <si>
    <t>Environmental Sciences &amp; Ecology; International Relations</t>
  </si>
  <si>
    <t>AZ1MS</t>
  </si>
  <si>
    <t>WOS:000348003700017</t>
  </si>
  <si>
    <t>Spada, M; Jorba, O; García-Pando, CP; Janjic, Z; Baldasano, JM</t>
  </si>
  <si>
    <t>Spada, M.; Jorba, O.; Garcia-Pando, C. Perez; Janjic, Z.; Baldasano, J. M.</t>
  </si>
  <si>
    <t>On the evaluation of global sea-salt aerosol models at coastal/orographic sites</t>
  </si>
  <si>
    <t>ATMOSPHERIC ENVIRONMENT</t>
  </si>
  <si>
    <t>Sea-salt aerosol; Global model evaluation; University of Miami Network; Surface concentration measurements; Coastal sites; Orographic effects</t>
  </si>
  <si>
    <t>ZEALAND PRECIPITATION EVENTS; SOUTHERN ALPS; MESOSCALE RAINFALL; CLIMATE; PARAMETERIZATION; SENSITIVITY; SIMULATION; DUST; MASS</t>
  </si>
  <si>
    <t>Sea-salt aerosol global models are typically evaluated against concentration observations at coastal stations that are unaffected by local surf conditions and thus considered representative of open ocean conditions. Despite recent improvements in sea-salt source functions, studies still show significant model errors in specific regions. Using a multiscale model, we investigated the effect of high model resolution (0.1 degrees x 0.1 degrees vs. 1 degrees x 1.4 degrees) upon sea-salt patterns in four stations from the University of Miami Network: Baring Head, Chatam Island, and Invercargill in New Zealand, and Marion Island in the sub-antarctic Indian Ocean. Normalized biases improved from +63.7% to +3.3% and correlation increased from 0.52 to 0.84. The representation of sea/land interfaces, mesoscale circulations, and precipitation with the higher resolution model played a major role in the simulation of annual concentration trends. Our results recommend caution when comparing or constraining global models using surface concentration observations from coastal stations. (C) 2014 The Authors. Published by Elsevier Ltd.</t>
  </si>
  <si>
    <t>[Spada, M.; Jorba, O.; Baldasano, J. M.] Ctr Nacl Supercomputac, Barcelona Supercomp Ctr, Barcelona, Spain; [Garcia-Pando, C. Perez] NASA Goddard Inst Space Studies, New York, NY USA; [Garcia-Pando, C. Perez] Columbia Univ, Dept Appl Phys &amp; Appl Math, New York, NY USA; [Janjic, Z.] Natl Ctr Environm Predict, College Pk, MD USA; [Baldasano, J. M.] Univ Politecn Cataluna, Barcelona, Spain</t>
  </si>
  <si>
    <t>Universitat Politecnica de Catalunya; Barcelona Supercomputer Center (BSC-CNS); National Aeronautics &amp; Space Administration (NASA); NASA Goddard Space Flight Center; Goddard Institute for Space Studies; Columbia University; National Oceanic Atmospheric Admin (NOAA) - USA; Universitat Politecnica de Catalunya</t>
  </si>
  <si>
    <t>Spada, M (corresponding author), BSC CNS, Dept Earth Sci, Edificio Nexus II,C Jordi Girona 29, Barcelona 08034, Spain.</t>
  </si>
  <si>
    <t>michele.spada@bsc.es</t>
  </si>
  <si>
    <t>Perez Garcia-Pando, Carlos/HHN-6201-2022; Baldasano, Jose M./A-3852-2016; Jorba, Oriol/AAW-2134-2020</t>
  </si>
  <si>
    <t>Perez Garcia-Pando, Carlos/0000-0002-4456-0697; Baldasano, Jose M./0000-0002-6191-635X; Jorba, Oriol/0000-0001-5872-0244</t>
  </si>
  <si>
    <t>Supercomputacion and e-ciencia Project from the Consolider-Ingenio program of the Spanish Ministry of Economy and Competitiveness [CSD2007-0050]; Severo Ochoa Program - Spanish Government [SEV-2011-00067]; [CGL2013-46736-R]</t>
  </si>
  <si>
    <t>Supercomputacion and e-ciencia Project from the Consolider-Ingenio program of the Spanish Ministry of Economy and Competitiveness; Severo Ochoa Program - Spanish Government;</t>
  </si>
  <si>
    <t>We would like to thank the scientists of the University of Miami Ocean Aerosol Network, the National Institute of Water and Atmospheric Research, and the South African Weather Service for establishing and providing data from the stations used in this work. In particular, we thank J. Prospero for his personal communications, M. Schulz for providing postprocessing of the University of Miami Ocean Aerosol Network dataset, and A. Tait for providing postprocessing of the National Institute of Water and Atmospheric Research climatological maps. We also thank F. Benincasa for technical support. BSC acknowledges the support from projects CGL2013-46736-R and Supercomputacion and e-ciencia Project (CSD2007-0050) from the Consolider-Ingenio 2010 program of the Spanish Ministry of Economy and Competitiveness and the support from the grant SEV-2011-00067 of Severo Ochoa Program, awarded by the Spanish Government. Carlos Perez Garcia-Pando acknowledges DoE and NASA Roses.</t>
  </si>
  <si>
    <t>1352-2310</t>
  </si>
  <si>
    <t>1873-2844</t>
  </si>
  <si>
    <t>ATMOS ENVIRON</t>
  </si>
  <si>
    <t>Atmos. Environ.</t>
  </si>
  <si>
    <t>10.1016/j.atmosenv.2014.11.019</t>
  </si>
  <si>
    <t>AZ1SB</t>
  </si>
  <si>
    <t>Green Published, hybrid</t>
  </si>
  <si>
    <t>WOS:000348017000005</t>
  </si>
  <si>
    <t>Plancherel, Y</t>
  </si>
  <si>
    <t>Plancherel, Yves</t>
  </si>
  <si>
    <t>Hydrographic biases in global coupled climate models and their relation to the meridional overturning circulation</t>
  </si>
  <si>
    <t>CLIMATE DYNAMICS</t>
  </si>
  <si>
    <t>Hydrography; Overturning circulation; Diagnostic; Climate model; Quasi-equilibrium mean state; Prediction; Water mass; CMIP3</t>
  </si>
  <si>
    <t>ATLANTIC THERMOHALINE CIRCULATION; ANTARCTIC INTERMEDIATE WATER; NORTH-ATLANTIC; FRESH-WATER; BOTTOM WATER; DEEP-WATER; GULF-STREAM; SEA-ICE; TEMPORAL VARIABILITY; CIRCUMPOLAR CURRENT</t>
  </si>
  <si>
    <t>Comparison of the volumetric theta/S distribution of models participating in the Climate Model Intercomparison Project 3 (CMIP3) indicates that these models differ widely in their ability to represent the thermohaline properties of water masses. Relationships between features of the quasi-equilibrium hydrographic mean state of these models and aspects of their overturning circulations are investigated. This is achieved quantitatively with the help of seven diagnostic hydrographic stations. These few stations were specifically selected to provide a minimalist schematic of the global water mass system. Relationships between hydrographic conditions in the North Atlantic measured with a subset of these stations suggest that hydrographic properties in the subpolar North Atlantic are set by the circulation field of each model, pointing towards deficiencies in the models ability to resolve the Gulf Stream-North Atlantic Current system as a major limitation. Since diapycnal mixing and viscosity parameterizations differ across CMIP3 models and exert a strong control on the overturning, it is likely that these architectural differences ultimately explain the main across-model differences in overturning circulation, temperature and salinity in the North Atlantic. The analysis of properties across the quasi-equilibrium states of the CMIP3 models agrees with previously reported relationships between meridional steric height gradients or horizontal density contrasts at depth and the strength of the deep water cell. Robust relationships are also found in the Southern Ocean linking measures of vertical stratification with the strength of the abyssal circulations across the CMIP3 models. Consistent correlations between aspects of the quasi-equilibrium hydrography in the Southern Ocean and the sensitivity of the abyssal cell to increasing radiative forcing by 2100 were found. Using these relations in conjunction with modern hydrographic observations to interpolate the fate of the abyssal cell suggests that the Southern abyssal cell may decrease by roughly 20 % by the end of the century. Similar systematic relationships between the quasi-equilibrium hydrographic states of the models and the sensitivity of their Atlantic deep water cell could not be found.</t>
  </si>
  <si>
    <t>Univ Oxford, Dept Earth Sci, Oxford OX1 3PR, England</t>
  </si>
  <si>
    <t>University of Oxford</t>
  </si>
  <si>
    <t>Plancherel, Y (corresponding author), Univ Oxford, Dept Earth Sci, Oxford OX1 3PR, England.</t>
  </si>
  <si>
    <t>yvesp@earth.ox.ac.uk</t>
  </si>
  <si>
    <t>Plancherel, Yves/0000-0002-3624-0757</t>
  </si>
  <si>
    <t>US National Science Foundation [OCE-0327189, OCE-0727170]; Office of Science (BER), U.S. Department of Energy [DE-FG02-07ER64467]; BP through the Carbon Mitigation Initiative; Ford Motor Company through the Carbon Mitigation Initiative; 21st Century Ocean Insitute at the Oxford Martin School; Department of Earth Sciences in the University of Oxford, UK</t>
  </si>
  <si>
    <t>US National Science Foundation(National Science Foundation (NSF)); Office of Science (BER), U.S. Department of Energy(United States Department of Energy (DOE)); BP through the Carbon Mitigation Initiative; Ford Motor Company through the Carbon Mitigation Initiative; 21st Century Ocean Insitute at the Oxford Martin School; Department of Earth Sciences in the University of Oxford, UK</t>
  </si>
  <si>
    <t>This material is largely based on work performed while I was a graduate student in Princeton University and was made possible by the generous support of Jorge L. Sarmiento through grants from the US National Science Foundation No. OCE-0327189 and OCE-0727170, the Office of Science (BER), U.S. Department of Energy under Award No. DE-FG02-07ER64467, and BP and Ford Motor Company through the Carbon Mitigation Initiative. Completion and publication were made possible thanks to a post-doctoral James Martin Fellowship from the 21st Century Ocean Insitute at the Oxford Martin School and the Department of Earth Sciences in the University of Oxford, UK. I acknowledge especially Syukuro Manabe and Kirk Bryan for many inspiring and motivating discussions on various aspects of climate dynamics, climate modelling, model interpretation and model limitations, and J. L. Sarmiento, A. Gnanadesikan, R. M. Key, K. B. Rodgers, T. Kuhlbrodt and C. Lique for providing comments on various versions of this manuscript.</t>
  </si>
  <si>
    <t>233 SPRING ST, NEW YORK, NY 10013 USA</t>
  </si>
  <si>
    <t>0930-7575</t>
  </si>
  <si>
    <t>1432-0894</t>
  </si>
  <si>
    <t>CLIM DYNAM</t>
  </si>
  <si>
    <t>Clim. Dyn.</t>
  </si>
  <si>
    <t>1-2</t>
  </si>
  <si>
    <t>10.1007/s00382-014-2263-9</t>
  </si>
  <si>
    <t>AY6ZF</t>
  </si>
  <si>
    <t>WOS:000347710400001</t>
  </si>
  <si>
    <t>Teitler, L; Florindo, F; Warnke, DA; Filippelli, GM; Kupp, G; Taylor, B</t>
  </si>
  <si>
    <t>Teitler, Lora; Florindo, Fabio; Warnke, Detlef A.; Filippelli, Gabriel M.; Kupp, Gary; Taylor, Brian</t>
  </si>
  <si>
    <t>Antarctic Ice Sheet response to a long warm interval across Marine Isotope Stage 31: A cross-latitudinal study of iceberg-rafted debris</t>
  </si>
  <si>
    <t>EARTH AND PLANETARY SCIENCE LETTERS</t>
  </si>
  <si>
    <t>paleoclimatology; iceberg-rafted debris; Antarctic Ice Sheet stability; Marine Isotope Stage 31; Middle Pleistocene Transition</t>
  </si>
  <si>
    <t>SOUTH ATLANTIC; MIDPLEISTOCENE TRANSITION; INSOLATION QUANTITIES; EAST ANTARCTICA; PRYDZ BAY; CLIMATE; RECORD; OCEAN; HISTORY; MIOCENE</t>
  </si>
  <si>
    <t>Constraining the nature of Antarctic Ice Sheet (AIS) response to major past climate changes may provide a window onto future ice response and rates of sea level rise. One approach to tracking AIS dynamics, and differentiating whole system versus potentially heterogeneous ice sheet sector changes, is to integrate multiple climate proxies for a specific time slice across widely distributed locations. This study presents new iceberg-rafted debris (IRD) data across the interval that includes Marine Isotope Stage 31 (MIS 31: 1.081-1.062 Ma, a span of similar to 19 kyr; Lisiecki and Raymo, 2005), which lies on the cusp of the mid-Brunhes climate transition (as glacial cycles shifted from similar to 41,000 yr to similar to 100,000 yr duration). Two sites are studied distal Ocean Drilling Program (ODP) Leg 177 Site 1090 (Site 1090) in the eastern subantarctic sector of the South Atlantic Ocean, and proximal ODP Leg 188 Site 1165 (Site 1165), near Prydz Bay, in the Indian Ocean sector of the Antarctic margin. At each of these sites, MIS 31 is marked by the presence of the Jaramillo Subchron (0.988-1.072 Ma; Lourens et al., 2004) which provides a time-marker to correlate these two sites with relative precision. At both sites, records of multiple climate proxies are available to aid in interpretation. The presence of IRD in sediments from our study areas, which include garnets indicating a likely East Antarctic Ice Sheet (EAIS) origin, supports the conclusion that although the EAIS apparently withdrew significantly over MIS 31 in the Prydz Bay region and other sectors, some sectors of the EAIS must still have maintained marine margins capable of launching icebergs even through the warmest intervals. Thus, the EAIS did not respond in complete synchrony even to major climate changes such as MIS 31. Further, the record at Site 1090 (supported by records from other subantarctic locations) indicates that the glacial MIS 32 should be reduced to no more than a stadial, and the warm interval of Antarctic ice retreat that includes MIS 31 should be expanded to MIS 33-31. This revised warm interval lasted about 52 kyr, in line with several other interglacials in the benthic delta O-18 records stack of Lisiecki and Raymo (2005), including the super-interglacials MIS 11 (duration of 50 kyr) and MIS 5 (duration of 59 kyr). The record from Antarctica-proximal Site 1165, when interpreted in accord with the record from ANDRILL-1B, indicates that in these southern high latitude sectors, ice sheet retreat and the effects of warming lasted longer than at Site 1090, perhaps until MIS 27. In the current interpretations of the age models of the proximal sites, ice sheet retreat began relatively slowly, and was not really evident until the start of MIS 31. In another somewhat more speculative interpretation, ice sheet retreat began noticeably with MIS 33, and accelerated during MIS 31. Ice sheet inertia (the lag-times in the large-scale responses of major ice sheets to a forcing) likely plays an important part in the timing and scale of these events in vulnerable sectors of the AIS. (C) 2014 Elsevier B.V. All rights reserved.</t>
  </si>
  <si>
    <t>[Teitler, Lora; Warnke, Detlef A.; Kupp, Gary] Calif State Univ Hayward, Dept Earth &amp; Environm Sci, Hayward, CA 94542 USA; [Florindo, Fabio] Ist Nazl Geofis &amp; Vulcanol, Rome, Italy; [Filippelli, Gabriel M.] Indiana Univ Purdue Univ, Dept Earth Sci, Indianapolis, IN 46202 USA; [Taylor, Brian] Stantec Consulting Ltd, Dartmouth, NS B3A 0A3, Canada</t>
  </si>
  <si>
    <t>California State University System; California State University East Bay; Istituto Nazionale Geofisica e Vulcanologia (INGV); Indiana University System; Indiana University-Purdue University Indianapolis</t>
  </si>
  <si>
    <t>Teitler, L (corresponding author), Calif State Univ Hayward, Dept Earth &amp; Environm Sci, East Bay, Hayward, CA 94542 USA.</t>
  </si>
  <si>
    <t>lora.teitler@csueastbay.edu</t>
  </si>
  <si>
    <t>Florindo, Fabio/M-1459-2019; Filippelli, Gabriel/R-6009-2019; Florindo, Fabio/F-4119-2010; Florindo, Fabio/AAU-2548-2021</t>
  </si>
  <si>
    <t>Florindo, Fabio/0000-0002-6058-9748; Filippelli, Gabriel/0000-0003-3434-5982; Florindo, Fabio/0000-0002-6058-9748;</t>
  </si>
  <si>
    <t>U.S. National Science Foundation (NSF); U.S. NSF [OCE-9711957, OCE-045248, USSSP-228, USSSP-253]</t>
  </si>
  <si>
    <t>U.S. National Science Foundation (NSF)(National Science Foundation (NSF)); U.S. NSF(National Science Foundation (NSF))</t>
  </si>
  <si>
    <t>Dedicated to the memory of Dr. Detlef Dietz Warnke, exceptional scientist, extraordinary mentor, wonderful friend. The original concept for this study is his; any errors of interpretation are those of the authors. Thanks are due to Dr. Lloyd Burckle, who first pointed out some of the earlier studies used for comparison. Thanks also to Dr. Patrick Quilty, who generously reviewed the paper and made helpful suggestions. This research used samples and/or data provided by the Ocean Drilling Program (ODP). ODP is sponsored by the U.S. National Science Foundation (NSF) and participating countries under management of Joint Oceanographic Institutions (JOI), Inc. Any opinions, findings, and conclusions or recommendations expressed in this material are those of the authors, and do not necessarily reflect the views of the NSF. Filippelli acknowledges research support from the U.S. NSF (grants OCE-9711957 and OCE-045248). Warnke received support from the U.S. NSF (grants USSSP-228 and USSSP-253). We also are grateful to three anonymous reviewers for their constructive comments that helped to improve the paper.</t>
  </si>
  <si>
    <t>0012-821X</t>
  </si>
  <si>
    <t>1385-013X</t>
  </si>
  <si>
    <t>EARTH PLANET SC LETT</t>
  </si>
  <si>
    <t>Earth Planet. Sci. Lett.</t>
  </si>
  <si>
    <t>10.1016/j.epsl.2014.10.037</t>
  </si>
  <si>
    <t>AY7UF</t>
  </si>
  <si>
    <t>WOS:000347763500011</t>
  </si>
  <si>
    <t>Bassis, JN; Ma, Y</t>
  </si>
  <si>
    <t>Bassis, J. N.; Ma, Y.</t>
  </si>
  <si>
    <t>Evolution of basal crevasses links ice shelf stability to ocean forcing</t>
  </si>
  <si>
    <t>ice sheet; ice shelf; iceberg; fracture; climate change; damage</t>
  </si>
  <si>
    <t>MODEL; GLACIERS; PROPAGATION; ANTARCTICA; BOUDINAGE; ENVELOPE; NECKING; FOLDS; FLOW; LAW</t>
  </si>
  <si>
    <t>Iceberg calving is one of the primary mechanisms responsible for transferring ice from the Antarctic ice shelves to the ocean, but remains poorly understood. Previous theories of calving have sought to explain the calving process as a brittle phenomenon that occurs rapidly when surface or basal crevasses penetrate the entire ice thickness. Here we show that the strain-rate-weakening nature of ice permits initially narrow basal crevasses to seed an instability that gives rise to locally enhanced ductile deformation and thinning over length scales that are large compared to the ice thickness. This ductile failure process, called necking, amplifies long wavelength features of bottom topography and allows basal crevasses to penetrate an increasing fraction of the ice thickness as they advect downstream. Application of the model to the four largest Antarctic ice shelves shows that necking occurs downstream of pinning points and sharp protrusions in the ice shelf embayment where stress is highly concentrated. However, model predictions are sensitive to assumptions about basal melting and refreezing within crevasses, suggesting that the combination of mechanical instability and ice-ocean interaction on the scale of an individual crevasse may play a leading role in controlling ice shelf stability. (C) 2014 Elsevier B.V. All rights reserved.</t>
  </si>
  <si>
    <t>[Bassis, J. N.; Ma, Y.] Univ Michigan, Dept Atmospher Ocean &amp; Space Sci, Ann Arbor, MI 48104 USA</t>
  </si>
  <si>
    <t>University of Michigan System; University of Michigan</t>
  </si>
  <si>
    <t>Bassis, JN (corresponding author), Univ Michigan, Dept Atmospher Ocean &amp; Space Sci, Ann Arbor, MI 48104 USA.</t>
  </si>
  <si>
    <t>jbassis@umich.edu</t>
  </si>
  <si>
    <t>Bassis, Jeremy/ABB-8628-2021</t>
  </si>
  <si>
    <t>Bassis, Jeremy/0000-0003-2946-7176; Ma, Yue/0000-0002-7124-8025</t>
  </si>
  <si>
    <t>NSF [NSF-ANT 114085, NSF-ARC 1064535]; NSF Polar Programs [PLR 1341568]; NOAA [NA13OAR4310096]; Directorate For Geosciences [1064535] Funding Source: National Science Foundation; Office of Polar Programs (OPP) [1064535] Funding Source: National Science Foundation; Office of Polar Programs (OPP); Directorate For Geosciences [1341568] Funding Source: National Science Foundation</t>
  </si>
  <si>
    <t>NSF(National Science Foundation (NSF)); NSF Polar Programs(National Science Foundation (NSF)); NOAA(National Oceanic Atmospheric Admin (NOAA) - USA);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</si>
  <si>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The authors would like to thank the editor, Yanick Ricard, two anonymous reviewers and R. Fletcher whose comments substantially improved the manuscript. The authors were generously supported by NSF grants NSF-ANT 114085, NSF-ARC 1064535, NSF Polar Programs PLR 1341568 and NOAA Award NA13OAR4310096.</t>
  </si>
  <si>
    <t>10.1016/j.epsl.2014.11.003</t>
  </si>
  <si>
    <t>WOS:000347763500020</t>
  </si>
  <si>
    <t>Siebeck, UE; O'Connor, J; Braun, C; Leis, JM</t>
  </si>
  <si>
    <t>Siebeck, Ulrike E.; O'Connor, Jack; Braun, Christoph; Leis, Jeffrey M.</t>
  </si>
  <si>
    <t>Do human activities influence survival and orientation abilities of larval fishes in the ocean?</t>
  </si>
  <si>
    <t>INTEGRATIVE ZOOLOGY</t>
  </si>
  <si>
    <t>International Conference to Evaluate the Effects of Environmental Changes on the Sensory World of Fish/Aquatic Animals and Fisheries</t>
  </si>
  <si>
    <t>OCT 29-NOV 01, 2012</t>
  </si>
  <si>
    <t>Shanghai Ocean Univ, Shanghai, PEOPLES R CHINA</t>
  </si>
  <si>
    <t>Shanghai Ocean Univ</t>
  </si>
  <si>
    <t>climate change; larval fish; pollution; sensory systems; teleost fish</t>
  </si>
  <si>
    <t>CORAL-REEF FISHES; LATERAL-LINE; ULTRAVIOLET-RADIATION; ELECTROMAGNETIC-FIELDS; VERTICAL-DISTRIBUTION; ELEVATED-TEMPERATURE; OLFACTORY ABILITIES; MAGNETIC COMPASS; SOLAR-RADIATION; PELAGIC LARVAE</t>
  </si>
  <si>
    <t>The larval stages of most marine fishes spend days to weeks in the pelagic environment, where they must find food and avoid predators in order to survive. Some fish only spend part of their life history in the pelagic environment before returning to their adult habitat, for example, a coral reef. The sensory systems of larval fish develop rapidly during the first few days of their lives, and here we concentrate on the various sensory cues the fish have available to them for survival in the pelagic environment. We focus on the larvae of reef fishes because most is known about them. We also review the major threats caused by human activities that have been identified to have worldwide impact and evaluate how these threats may impact larval-fish survival and orientation abilities. Many human activities negatively affect larval-fish sensory systems or the cues the fish need to detect. Ultimately, this could lead to decreased numbers of larvae surviving to settlement, and, therefore, to decreased abundance of adult fishes. Although we focus on species wherein the larvae and adults occupy different habitats (pelagic and demersal, respectively), it is important to acknowledge that the potential anthropogenic effects we identify may also apply to larvae of species like tuna and herring, where both larvae and adults are pelagic.</t>
  </si>
  <si>
    <t>[Siebeck, Ulrike E.; Braun, Christoph] Univ Queensland, Sch Biomed Sci, Brisbane, Qld 4072, Australia; [O'Connor, Jack; Leis, Jeffrey M.] Australian Museum, Sydney, NSW 2000, Australia; [O'Connor, Jack] Univ Technol Sydney, Dept Environm Studies, Ultimo, Australia; [Leis, Jeffrey M.] Univ Tasmania, Inst Marine &amp; Antarctic Studies, Hobart, Tas, Australia</t>
  </si>
  <si>
    <t>University of Queensland; Australian Museum; University of Technology Sydney; University of Tasmania</t>
  </si>
  <si>
    <t>Siebeck, UE (corresponding author), Univ Queensland, Sch Biomed Sci, Brisbane, Qld 4072, Australia.</t>
  </si>
  <si>
    <t>u.siebeck@uq.edu.au</t>
  </si>
  <si>
    <t>Braun, Christoph/AFO-4446-2022; Leis, Jeffrey M/JCE-0397-2023; Leis, Jeffrey M/E-7502-2012; Siebeck, Ulrike E/J-6190-2014</t>
  </si>
  <si>
    <t>Leis, Jeffrey M/0000-0003-0603-3447; Leis, Jeffrey M/0000-0003-0603-3447; Siebeck, Ulrike E/0000-0003-2024-1568</t>
  </si>
  <si>
    <t>ARC [DP 110100695]</t>
  </si>
  <si>
    <t>ARC(Australian Research Council)</t>
  </si>
  <si>
    <t>We would like to thank Prof. Jiakun Song for inviting our participation in the symposium and for supporting UES' travel to and around Shanghai, Professor Jiakun Song, Professor Art Popper and Professor Shaun Collin for co-organizing the meeting in Shanghai and stimulating the discussions on human impacts on marine organisms. This work was supported by an ARC Discovery grant (DP 110100695) to UES and JML.</t>
  </si>
  <si>
    <t>1749-4877</t>
  </si>
  <si>
    <t>1749-4869</t>
  </si>
  <si>
    <t>INTEGR ZOOL</t>
  </si>
  <si>
    <t>Integr. Zool.</t>
  </si>
  <si>
    <t>10.1111/1749-4877.12096</t>
  </si>
  <si>
    <t>AZ2KN</t>
  </si>
  <si>
    <t>WOS:000348062700006</t>
  </si>
  <si>
    <t>Barkan, R; Winters, KB; Smith, SGL</t>
  </si>
  <si>
    <t>Barkan, Roy; Winters, Kraig B.; Smith, Stefan G. Llewellyn</t>
  </si>
  <si>
    <t>Energy Cascades and Loss of Balance in a Reentrant Channel Forced by Wind Stress and Buoyancy Fluxes</t>
  </si>
  <si>
    <t>JOURNAL OF PHYSICAL OCEANOGRAPHY</t>
  </si>
  <si>
    <t>CALIFORNIA CURRENT SYSTEM; SUBMESOSCALE TRANSITION; BAROCLINIC INSTABILITY; OCEAN FRONTS; OVERTURNING CIRCULATION; SYMMETRIC INSTABILITY; VERTICAL MOTION; SOUTHERN-OCEAN; PART I; CONVECTION</t>
  </si>
  <si>
    <t>A large fraction of the kinetic energy in the ocean is stored in the quasigeostrophic eddy field. This balanced eddy field is expected, according to geostrophic turbulence theory, to transfer energy to larger scales. In order for the general circulation to remain approximately steady, instability mechanisms leading to loss of balance (LOB) have been hypothesized to take place so that the eddy kinetic energy (EKE) may be transferred to small scales where it can be dissipated. This study examines the kinetic energy pathways in fully resolved direct numerical simulations of flow in a flat-bottomed reentrant channel, externally forced by surface buoyancy fluxes and wind stress in a configuration that resembles the Antarctic Circumpolar Current. The flow is allowed to reach a statistical steady state at which point it exhibits both a forward and an inverse energy cascade. Flow interactions with irregular bathymetry are excluded so that bottom drag is the sole mechanism available to dissipate the upscale EKE transfer. The authors show that EKE is dissipated preferentially at small scales near the surface via frontal instabilities associated with LOB and a forward energy cascade rather than by bottom drag after an inverse energy cascade. This is true both with and without forcing by the wind. These results suggest that LOB caused by frontal instabilities near the ocean surface could provide an efficient mechanism, independent of boundary effects, by which EKE is dissipated. Ageostrophic anticyclonic instability is the dominant frontal instability mechanism in these simulations. Symmetric instability is also important in a deep convection region, where it can be sustained by buoyancy loss.</t>
  </si>
  <si>
    <t>[Barkan, Roy; Winters, Kraig B.] Univ Calif San Diego, Scripps Inst Oceanog, La Jolla, CA 92093 USA; [Winters, Kraig B.; Smith, Stefan G. Llewellyn] Univ Calif San Diego, Dept Mech &amp; Aerosp Engn, La Jolla, CA 92093 USA</t>
  </si>
  <si>
    <t>University of California System; University of California San Diego; Scripps Institution of Oceanography; University of California System; University of California San Diego</t>
  </si>
  <si>
    <t>Barkan, R (corresponding author), Univ Calif San Diego, Scripps Inst Oceanog, 9500 Gilman Dr, La Jolla, CA 92093 USA.</t>
  </si>
  <si>
    <t>rbarkan@ucsd.edu</t>
  </si>
  <si>
    <t>Smith, Stefan Llewellyn/B-3153-2012; Barkan, Roy/GZK-9665-2022</t>
  </si>
  <si>
    <t>Smith, Stefan Llewellyn/0000-0002-1419-6505;</t>
  </si>
  <si>
    <t>National Science Foundation [OCE-0926481, OCE-1259580]; [TG-OCE120004]; Directorate For Geosciences; Division Of Ocean Sciences [1259580] Funding Source: National Science Foundation</t>
  </si>
  <si>
    <t>National Science Foundation(National Science Foundation (NSF)); ; Directorate For Geosciences; Division Of Ocean Sciences(National Science Foundation (NSF)NSF - Directorate for Geosciences (GEO))</t>
  </si>
  <si>
    <t>RB thanks George Carnevale for useful discussion on spectral fluxes. Comments from two anonymous referees greatly impoved this manuscript. This work was supported by the National Science Foundation, Grant Numbers OCE-0926481 and OCE-1259580. XSEDE computing resources at the National Institute of Computational Sciences, University of Tennessee were made available under Grant TG-OCE120004.</t>
  </si>
  <si>
    <t>0022-3670</t>
  </si>
  <si>
    <t>1520-0485</t>
  </si>
  <si>
    <t>J PHYS OCEANOGR</t>
  </si>
  <si>
    <t>J. Phys. Oceanogr.</t>
  </si>
  <si>
    <t>10.1175/JPO-D-14-0068.1</t>
  </si>
  <si>
    <t>AY4GI</t>
  </si>
  <si>
    <t>Bronze, Green Submitted</t>
  </si>
  <si>
    <t>WOS:000347535800015</t>
  </si>
  <si>
    <t>Benthuysen, J; Thomas, LN; Lentz, SJ</t>
  </si>
  <si>
    <t>Benthuysen, Jessica; Thomas, Leif N.; Lentz, Steven J.</t>
  </si>
  <si>
    <t>Rapid Generation of Upwelling at a Shelf Break Caused by Buoyancy Shutdown</t>
  </si>
  <si>
    <t>MIDDLE ATLANTIC BIGHT; WESTERN NORTH-ATLANTIC; BOTTOM BOUNDARY-LAYER; MEAN CIRCULATION; FRONT; SLOPE; STRATIFICATION; SUMMER; MODEL</t>
  </si>
  <si>
    <t>Model analyses of an alongshelf flow over a continental shelf and slope reveal upwelling near the shelf break. A stratified, initially uniform, alongshelf flow undergoes a rapid adjustment with notable differences onshore and offshore of the shelf break. Over the shelf, a bottom boundary layer and an offshore bottom Ekman transport develop within an inertial period. Over the slope, the bottom offshore transport is reduced from the shelf's bottom transport by two processes. First, advection of buoyancy downslope induces vertical mixing, destratifying, and thickening the bottom boundary layer. The downward-tilting isopycnals reduce the geostrophic speed near the bottom. The reduced bottom stress weakens the offshore Ekman transport, a process known as buoyancy shutdown of the Ekman transport. Second, the thickening bottom boundary layer and weakening near-bottom speeds are balanced by an upslope ageostrophic transport. The convergence in the bottom transport induces adiabatic upwelling offshore of the shelf break. For a time period after the initial adjustment, scalings are identified for the upwelling speed and the length scale over which it occurs. Numerical experiments are used to test the scalings for a range of initial speeds and stratifications. Upwelling occurs within an inertial period, reaching values of up to 10 m day(-1) within 2 to 7 km offshore of the shelf break. Upwelling drives an interior secondary circulation that accelerates the alongshelf flow over the slope, forming a shelfbreak jet. The model results are compared with upwelling estimates from other models and observations near the Middle Atlantic Bight shelf break.</t>
  </si>
  <si>
    <t>[Benthuysen, Jessica] Univ Tasmania, Hobart, Tas 7001, Australia; [Thomas, Leif N.] Stanford Univ, Stanford, CA 94305 USA; [Lentz, Steven J.] Woods Hole Oceanog Inst, Woods Hole, MA 02543 USA</t>
  </si>
  <si>
    <t>University of Tasmania; Stanford University; Woods Hole Oceanographic Institution</t>
  </si>
  <si>
    <t>Benthuysen, J (corresponding author), Univ Tasmania, Inst Marine &amp; Antarctic Studies, Private Bag 129, Hobart, Tas 7001, Australia.</t>
  </si>
  <si>
    <t>jessica.benthuysen@utas.edu.au</t>
  </si>
  <si>
    <t>Benthuysen, Jessica/0000-0001-7615-6587; Lentz, Steven/0000-0001-7498-0281</t>
  </si>
  <si>
    <t>ARC Centre of Excellence for Climate System Science [CE110001028]; MIT/WHOI Joint Program</t>
  </si>
  <si>
    <t>ARC Centre of Excellence for Climate System Science(Australian Research Council); MIT/WHOI Joint Program</t>
  </si>
  <si>
    <t>J. Benthuysen acknowledges support from the ARC Centre of Excellence for Climate System Science (CE110001028) and the MIT/WHOI Joint Program, where this work was initiated. We thank Ken Brink, Glen Gawarkiewicz, and Trevor McDougall for discussions over the course of this study. We thank two anonymous reviewers for their constructive comments.</t>
  </si>
  <si>
    <t>10.1175/JPO-D-14-0104.1</t>
  </si>
  <si>
    <t>WOS:000347535800016</t>
  </si>
  <si>
    <t>Schrader, DL; Connolly, HC; Lauretta, DS; Zega, TJ; Davidson, J; Domanik, KJ</t>
  </si>
  <si>
    <t>Schrader, Devin L.; Connolly, Harold C., Jr.; Lauretta, Dante S.; Zega, Thomas J.; Davidson, Jemma; Domanik, Kenneth J.</t>
  </si>
  <si>
    <t>The formation and alteration of the Renazzo-like carbonaceous chondrites III: Toward understanding the genesis of ferromagnesian chondrules</t>
  </si>
  <si>
    <t>METEORITICS &amp; PLANETARY SCIENCE</t>
  </si>
  <si>
    <t>O-ISOTOPE COMPOSITION; FE-NI METAL; AQUEOUS ALTERATION; PRIMITIVE METEORITES; CR CHONDRITES; MAGNESIAN CHONDRULES; THERMAL HISTORIES; OPAQUE MINERALS; PHASE-RELATIONS; ORGANIC-MATTER</t>
  </si>
  <si>
    <t>To better understand the formation conditions of ferromagnesian chondrules from the Renazzo-like carbonaceous (CR) chondrites, a systematic study of 210 chondrules from 15 CR chondrites was conducted. The texture and composition of silicate and opaque minerals from each observed FeO-rich (type II) chondrule, and a representative number of FeO-poor (type I) chondrules, were studied to build a substantial and self-consistent data set. The average abundances and standard deviations of Cr2O3 in FeO-rich olivine phenocrysts are consistent with previous work that the CR chondrites are among the least thermally altered samples from the early solar system. Type II chondrules from the CR chondrites formed under highly variable conditions (e.g., precursor composition, redox conditions, cooling rate), with each chondrule recording a distinct igneous history. The opaque minerals within type II chondrules are consistent with formation during chondrule melting and cooling, starting as S-and Ni-rich liquids at 988-1350 degrees C, then cooling to form monosulfide solid solution (mss) that crystallized around olivine/pyroxene phenocrysts. During cooling, Fe, Ni-metal crystallized from the S-and Ni-rich liquid, and upon further cooling mss decomposed into pentlandite and pyrrhotite, with pentlandite exsolving from mss at 400-600 degrees C. The composition, texture, and inferred formation temperature of pentlandite within chondrules studied here is inconsistent with formation via aqueous alteration. However, some opaque minerals (Fe, Ni-metal versus magnetite and panethite) present in type II chondrules are a proxy for the degree of whole-rock aqueous alteration. The texture and composition of sulfide-bearing opaque minerals in Graves Nunataks 06100 and Grosvenor Mountains 03116 suggest that they are the most thermally altered CR chondrites.</t>
  </si>
  <si>
    <t>[Schrader, Devin L.] Smithsonian Inst, Natl Museum Nat Hist, Dept Mineral Sci, Washington, DC 20560 USA; [Schrader, Devin L.; Connolly, Harold C., Jr.; Lauretta, Dante S.; Zega, Thomas J.; Domanik, Kenneth J.] Univ Arizona, Lunar &amp; Planetary Lab, Tucson, AZ 85721 USA; [Connolly, Harold C., Jr.] CUNY, Kingsborough Community Coll, Dept Phys Sci, Brooklyn, NY 11235 USA; [Connolly, Harold C., Jr.] CUNY, Grad Ctr, Dept Earth &amp; Environm Sci, New York, NY 10016 USA; [Connolly, Harold C., Jr.] AMNH, Dept Earth &amp; Planetary Sci, New York, NY 10024 USA; [Davidson, Jemma] Carnegie Inst Sci, Dept Terr Magnetism, Washington, DC 20015 USA</t>
  </si>
  <si>
    <t>Smithsonian Institution; Smithsonian National Museum of Natural History; University of Arizona; City University of New York (CUNY) System; City University of New York (CUNY) System; American Museum of Natural History (AMNH); Carnegie Institution for Science</t>
  </si>
  <si>
    <t>Schrader, DL (corresponding author), Smithsonian Inst, Natl Museum Nat Hist, Dept Mineral Sci, 10th &amp; Constitut NW, Washington, DC 20560 USA.</t>
  </si>
  <si>
    <t>schraderd@si.edu</t>
  </si>
  <si>
    <t>Schrader, Devin L/H-6293-2012; Davidson, Jemma/G-5760-2018; Davidson, Jemma/ABB-2655-2021</t>
  </si>
  <si>
    <t>Davidson, Jemma/0000-0002-3725-2960; Davidson, Jemma/0000-0002-3725-2960; Schrader, Devin/0000-0001-5282-232X</t>
  </si>
  <si>
    <t>NSF; NASA; Carson Fellowship at LPL; NASA [NNX07AF96G, NNX09AD35G, NNX10AG46G, 63378-00-41, NNX12AK47G]; NASA [NNX10AG46G, 133770, NNX12AK47G, 43694, 120185, NNX09AD35G] Funding Source: Federal RePORTER</t>
  </si>
  <si>
    <t>NSF(National Science Foundation (NSF)); NASA(National Aeronautics &amp; Space Administration (NASA)); Carson Fellowship at LPL; NASA(National Aeronautics &amp; Space Administration (NASA)); NASA(National Aeronautics &amp; Space Administration (NASA))</t>
  </si>
  <si>
    <t>For supplying the many samples that were necessary for this work, the authors thank: the members of the Meteorite Working Group, and Cecilia Satterwhite and Kevin Righter (NASA, Johnson Space Center).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authors also thank the NIPR, NMNH, Mike Farmer, and Jack Schrader for samples. We thank Diane Johnson and Ian Franchi for assistance with the scanning electron microscope. We also thank Dolores Hill for assistance with sample curation. The authors are grateful to constructive and thorough reviews from Rhian Jones, Alan Rubin, Alex Ruzicka, anonymous reviewers, and Associate Editor Adrian Brearley. This research was funded in part by the Carson Fellowship at LPL (DLS), NASA grants NNX07AF96G (DSL, PI), and NNX09AD35G (HCCJr, PI), NNX10AG46G (HCCJr, PI), PSC-CUNY Grant #63378-00-41 (HCCJr, PI), and NNX12AK47G (TJZ, PI).</t>
  </si>
  <si>
    <t>1086-9379</t>
  </si>
  <si>
    <t>1945-5100</t>
  </si>
  <si>
    <t>METEORIT PLANET SCI</t>
  </si>
  <si>
    <t>Meteorit. Planet. Sci.</t>
  </si>
  <si>
    <t>10.1111/maps.12402</t>
  </si>
  <si>
    <t>AY6XW</t>
  </si>
  <si>
    <t>WOS:000347707000002</t>
  </si>
  <si>
    <t>Ortiz, S; Thomas, E</t>
  </si>
  <si>
    <t>Ortiz, S.; Thomas, E.</t>
  </si>
  <si>
    <t>Deep-sea benthic foraminiferal turnover during the early-middle Eocene transition at Walvis Ridge (SE Atlantic)</t>
  </si>
  <si>
    <t>PALAEOGEOGRAPHY PALAEOCLIMATOLOGY PALAEOECOLOGY</t>
  </si>
  <si>
    <t>Early-middle Eocene transition; Benthic foraminifera; Stable isotopes; Cenozoic cooling; ODP Leg 208; Walvis Ridge; Ocean stratification</t>
  </si>
  <si>
    <t>CARBON-DIOXIDE CONCENTRATIONS; LATE PALEOCENE; THERMAL MAXIMUM; EQUATORIAL PACIFIC; WATER PRODUCTION; SOUTHWEST PACIFIC; SOUTHERN-OCEAN; MAUD RISE; CLIMATE; PALEOCEANOGRAPHY</t>
  </si>
  <si>
    <t>The early-middle Eocene transition (EMET, similar to 51-47 Ma) was a pivotal time in Cenozoic global climate development, encompassing the end of the Early Eocene Climate Optimum (EECO) and the start of high-latitude cooling, culminating in the early Oligocene Glacial Maximum (34-33 Ma). We studied benthic foraminiferal assemblages and stable isotopes at upper abyssal Site 1263 (paleodepth similar to 1800 m) and lower abyssal Site 1267 (paleodepth similar to 3500 m) on Walvis Ridge (SE Atlantic) across the EMET. Benthic delta O-18 values at both sites rose from similar to 49.7 Ma on, becoming slightly higher at the shallower site than at the deeper site from similar to 44 Ma on. Benthic delta C-13 values show a broad maximum at similar to 49-48 Ma. Benthic foraminiferal assemblages at both sites are dominated by calcareous taxa, particularly Nuttallides truempyi, indicative of oligotrophic conditions. Large species of Bulimina, indicative of more food-rich conditions, were less rare at the shallower site, where benthic foraminiferal accumulation rates were generally higher. Specimens intermediate in morphology between N. truempyi (a cosmopolitan warm-water species which died out in the latest Eocene) and its extant also cosmopolitan, cold-water descendant Nuttallides umbonifera (indicative of corrosive bottom waters), are present, as well as various Epistominella species, indicative of seasonal delivery of phytodetritus to the sea floor, and globally more common after the Eocene-Oligocene transition. These assemblages indicate that deep water environments started a gradual evolution from conditions typical for the warm early Eocene greenhouse to those typical for icehouse conditions by the end of the early Eocene. Characteristic early Eocene species such as Aragonia aragonensis and Quadrimorphina profunda persisted at least until 48 Ma (the end of the studied interval) at the deeper site, whereas at the shallower site, they had their last appearances at similar to 49.7 Ma, the time of increase in delta O-18 values, i.e., high latitude and deep-water cooling. The benthic foraminiferal transition towards assemblages typical for a glaciated world thus started close to the end of the early Eocene in the SE Atlantic, with the middle Eocene already representing a transitional world. The faunal changes in the SE Atlantic began earlier at upper abyssal than at lower abyssal depths. This suggests that a more stratified ocean started to develop in the SE Atlantic at the end of the EECO, possibly due to changes in source regions of intermediate water masses due to polar cooling and/or circulation changes around the Antarctic continent. (C) 2014 Elsevier B.V. All rights reserved.</t>
  </si>
  <si>
    <t>[Ortiz, S.] Univ Basque Country, Fac Ciencia &amp; Tecnol, Dept Estratig &amp; Paleontol, Leioa 48940, Spain; [Ortiz, S.] PetroStrat Ltd, Tany Graig, Conwy LL32 8FA, Wales; [Thomas, E.] Yale Univ, Dept Geol &amp; Geophys, New Haven, CT 06520 USA; [Thomas, E.] Wesleyan Univ, Dept Earth &amp; Environm Sci, Middletown, CT 06459 USA</t>
  </si>
  <si>
    <t>University of Basque Country; Yale University; Wesleyan University</t>
  </si>
  <si>
    <t>Ortiz, S (corresponding author), PetroStrat Ltd, Tany Graig, Parc Caer Seion, Conwy LL32 8FA, Wales.</t>
  </si>
  <si>
    <t>silvia.ortiz@petrostrat.com</t>
  </si>
  <si>
    <t>Thomas, Ellen/JVO-1734-2024; Ortiz, Silvia/AAA-4174-2019</t>
  </si>
  <si>
    <t>Thomas, Ellen/0000-0002-7141-9904; Ortiz, Silvia/0000-0002-3027-7970</t>
  </si>
  <si>
    <t>Spanish Government FEDER projects [CGL 201123770, CGL 2007-63724, CGL2011-23077]; Spanish Government</t>
  </si>
  <si>
    <t>Spanish Government FEDER projects; Spanish Government(Spanish Government)</t>
  </si>
  <si>
    <t>The authors acknowledge Mimi Katz and an anonymous reviewer for their useful and constructive comments. This research was funded by the Spanish Government FEDER projects CGL 201123770, CGL 2007-63724 and CGL2011-23077 (to SO). SO acknowledges the Spanish Government for a Juan de la Cierva research contract. Samples were provided by the Integrated Ocean Drilling Program. ET thanks the Leverhulme Trust.</t>
  </si>
  <si>
    <t>0031-0182</t>
  </si>
  <si>
    <t>1872-616X</t>
  </si>
  <si>
    <t>PALAEOGEOGR PALAEOCL</t>
  </si>
  <si>
    <t>Paleogeogr. Paleoclimatol. Paleoecol.</t>
  </si>
  <si>
    <t>10.1016/j.palaeo.2014.10.023</t>
  </si>
  <si>
    <t>Geography, Physical; Geosciences, Multidisciplinary; Paleontology</t>
  </si>
  <si>
    <t>Physical Geography; Geology; Paleontology</t>
  </si>
  <si>
    <t>AY9HY</t>
  </si>
  <si>
    <t>WOS:000347862400013</t>
  </si>
  <si>
    <t>Recasens, C; Ariztegui, D; Maidana, NI; Zolitschka, B</t>
  </si>
  <si>
    <t>Recasens, Cristina; Ariztegui, Daniel; Maidana, Nora I.; Zolitschka, Bernd</t>
  </si>
  <si>
    <t>PASADO Sci Team</t>
  </si>
  <si>
    <t>Diatoms as indicators of hydrological and climatic changes in Laguna Potrok Aike (Patagonia) since the Late Pleistocene</t>
  </si>
  <si>
    <t>Lacustrine sediments; Diatoms; Late Quaternary; Patagonia; Antarctic warm events</t>
  </si>
  <si>
    <t>LAST GLACIAL MAXIMUM; SOUTHERN-HEMISPHERE WESTERLIES; TIERRA-DEL-FUEGO; PALEOENVIRONMENTAL CHANGES; ENVIRONMENTAL HISTORY; LACUSTRINE RECORD; LAKE-SEDIMENTS; VOLCANIC FIELD; LAGO-CARDIEL; WIND CHANGES</t>
  </si>
  <si>
    <t>Southern South America is a key site to study climate variability in the Southern Hemisphere, allowing for a wide variety of climatic archives. Recently, several investigations using lacustrine sediments have provided an enormous amount of information to reconstruct past environmental changes. In the framework of the Potrok Aike Maar Lake Sediment Archive Drilling Project (PASADO) more than 500 m of sediment cores were retrieved from the center of this lake. This contribution is centered in the diatom record of a core covering over the last 50 cal. ka BP. Nine statistically significant zones were determined based on changes in the assemblages of more than 200 species of diatoms, showing changes in productivity throughout time. Although it appears that the presence of mass waste events may have triggered some peaks in productivity, large fluctuations in diatom abundance and changes in species assemblages coincide with distinctive Antarctic warm events, A2 and A1, described for Antarctic ice cores at around 44.5 and 38.5 kyr BP respectively (Blunier and Brook, 2001). Furthermore, a smaller diatom peak may account for the A3 event compatible with a new OSL-based chronological model. Up to now they have only been described for Antarctica, but the fact that these events are recorded in southern Patagonia indicates their magnitude and importance for climate in the Southem Hemisphere. (C) 2014 Elsevier B.V. All rights reserved.</t>
  </si>
  <si>
    <t>[Recasens, Cristina; Ariztegui, Daniel] Univ Geneva, CH-1205 Geneva, Switzerland; [Maidana, Nora I.] FCEyN UBA, Dept Biodivers &amp; Biol Expt, Buenos Aires, DF, Argentina; [Zolitschka, Bernd] Univ Bremen, Inst Geog, Geomorphol &amp; Polar Res GEOPOLAR, D-28359 Bremen, Germany</t>
  </si>
  <si>
    <t>University of Geneva; University of Buenos Aires; University of Bremen</t>
  </si>
  <si>
    <t>Recasens, C (corresponding author), Columbia Univ, Lamont Doherty Earth Observ, 61 Route 9 W, Palisades, NY 10964 USA.</t>
  </si>
  <si>
    <t>recasens@ldeo.columbia.edu</t>
  </si>
  <si>
    <t>Ariztegui, Daniel/AFU-2302-2022; Zolitschka, Bernd/P-1487-2019</t>
  </si>
  <si>
    <t>Ariztegui, Daniel/0000-0001-7775-5127; Zolitschka, Bernd/0000-0001-8256-0420; Maidana, Nora/0000-0002-1429-4834</t>
  </si>
  <si>
    <t>ICDP; German Science Foundation (DFG); Swiss National Science Foundation [SNF 200020-134545]; Natural Sciences and Engineering Research Council of Canada (NSERC); Swedish Vetenskapsradet (VR); University of Bremen</t>
  </si>
  <si>
    <t>ICDP; German Science Foundation (DFG)(German Research Foundation (DFG)); Swiss National Science Foundation(Swiss National Science Foundation (SNSF)); Natural Sciences and Engineering Research Council of Canada (NSERC)(Natural Sciences and Engineering Research Council of Canada (NSERC)); Swedish Vetenskapsradet (VR)(Swedish Research Council); University of Bremen</t>
  </si>
  <si>
    <t>This study is supported by the ICDP, the German Science Foundation (DFG), the Swiss National Science Foundation (SNF 200020-134545), the Natural Sciences and Engineering Research Council of Canada (NSERC), the Swedish Vetenskapsradet (VR), and the University of Bremen. We thank all members of the PASADO team for their help and support during fieldwork at the lake in 2008. For their valuable help in drilling and field logistics we thank the staff of INTA Santa Cruz, Facundo Gomez Mura and Maria Jose Baldrati, the Moreteau family and the DOSECC crew. We also thank C. Ohlendorf and F. Sylvestre for reviewing earlier versions of this manuscript, and two anonymous reviewers for their detailed and useful comments.</t>
  </si>
  <si>
    <t>PO BOX 211, 1000 AE AMSTERDAM, NETHERLANDS</t>
  </si>
  <si>
    <t>10.1016/j.palaeo.2014.09.021</t>
  </si>
  <si>
    <t>WOS:000347862400025</t>
  </si>
  <si>
    <t>Zanazzi, A; Judd, E; Fletcher, A; Bryant, H; Kohn, MJ</t>
  </si>
  <si>
    <t>Zanazzi, Alessandro; Judd, Emily; Fletcher, Andrew; Bryant, Harold; Kohn, Matthew J.</t>
  </si>
  <si>
    <t>Eocene-Oligocene latitudinal climate gradients in North America inferred from stable isotope ratios in perissodactyl tooth enamel</t>
  </si>
  <si>
    <t>Eocene-Oligocene; Climate; Perissodactyl; Stable isotope; Tooth enamel</t>
  </si>
  <si>
    <t>OXYGEN-ISOTOPE; ANTARCTIC GLACIATION; CYPRESS HILLS; TRANSITION; TEMPERATURE; DIET; FRACTIONATION; COMPENSATION; PALEOCLIMATE; DELTA-O-18</t>
  </si>
  <si>
    <t>The Eocene-Oligocene transition (similar to 34 Ma) was one of the most pronounced episodes of climate change of the Cenozoic. In order to investigate this episode of global climate cooling in North America, we analyzed the carbon and oxygen stable isotope composition of the carbonate component of 19 perissodactyl (horse and rhino) tooth enamel samples from the Eocene-Oligocene rocks of the Cypress Hills Formation (southwestern Saskatchewan, Canada); we then compared the results with previously published data from the US Great Plains (Nebraska, South Dakota, and Wyoming). Average (+/- 1 sigma) perissodactyl enamel delta C-13 values (vs. V-PDB) in the Eocene (-8.8 +/- 0.3%.) and Oligocene (-9.0 +/- 0.3%.) are indistinguishable, suggesting no major change in mean annual precipitation in Saskatchewan across the transition. The delta C-13 values in Saskatchewan indicate the presence of arid ecosystems and are slightly higher than those in the US Great Plains, suggesting drier conditions at higher latitudes. With respect to oxygen isotopes, average (+/- 1 sigma) perissodactyl enamel delta O-18 values (vs. V-SMOW) in the Eocene (19.8 +/- 2.0%.) and Oligocene (20.1 +/- 3.6%.) are also indistinguishable, suggesting no change in the delta O-18 of meteoric precipitation across the transition in Saskatchewan. Enamel delta O-18 variability is much larger in the Oligocene vs. Eocene, indicating a large increase in temperature seasonality. This increase in enamel delta O-18 variability is much larger than that recorded in the US Great Plains, suggesting that higher latitudes are more sensitive to major episodes of climate change with respect to temperature seasonality. Finally, our data indicate no major change in the Oligocene vs. Eocene latitudinal gradient in local water delta O-18 in North America, which suggests no change in mean annual temperature gradients across the transition. This result supports the hypothesis that ascribes the climate change of the transition to a drop in atmospheric pCO(2) because climate models show that this mechanism produces uniform cooling at mid-latitudes. Published by Elsevier B.V.</t>
  </si>
  <si>
    <t>[Zanazzi, Alessandro; Judd, Emily; Fletcher, Andrew] Utah Valley Univ, Dept Earth Sci, Orem, UT 84058 USA; [Bryant, Harold] Royal Saskatchewan Museum, Regina, SK, Canada; [Kohn, Matthew J.] Boise State Univ, Dept Geosci, Boise, ID 83725 USA</t>
  </si>
  <si>
    <t>Utah System of Higher Education; Utah Valley University; Idaho; Boise State University</t>
  </si>
  <si>
    <t>Zanazzi, A (corresponding author), Utah Valley Univ, Dept Earth Sci, Orem, UT 84058 USA.</t>
  </si>
  <si>
    <t>alessandro.zanazzi@uvu.edu; emilyjudd28@gmail.com; awfletcher711@gmail.com; Harold.Bryant@gov.sk.ca; mattkohn@boisestate.edu</t>
  </si>
  <si>
    <t>Kohn, Matthew J/A-2562-2012</t>
  </si>
  <si>
    <t>UVU Scholarly Activity Grants; NSF [EAR1251443, EAR1349749]; Division Of Earth Sciences; Directorate For Geosciences [1349749] Funding Source: National Science Foundation</t>
  </si>
  <si>
    <t>UVU Scholarly Activity Grants; NSF(National Science Foundation (NSF)); Division Of Earth Sciences; Directorate For Geosciences(National Science Foundation (NSF)NSF - Directorate for Geosciences (GEO))</t>
  </si>
  <si>
    <t>The authors thank Brad Erkkila and Suvankar Chakraborty for performing the isotope analyses, the Royal Saskatchewan Museum for allowing the partially destructive analyses of the fossil teeth, and two anonymous reviewers for providing comments that improved the quality of this manuscript. The project was funded by UVU Scholarly Activity Grants to AZ and EJ and by NSF grants EAR1251443 and EAR1349749 to MJK.</t>
  </si>
  <si>
    <t>10.1016/j.palaeo.2014.10.024</t>
  </si>
  <si>
    <t>WOS:000347862400042</t>
  </si>
  <si>
    <t>Gelfo, JN; Mörs, T; Lorente, M; López, GM; Reguero, M</t>
  </si>
  <si>
    <t>Gelfo, Javier N.; Moers, Thomas; Lorente, Malena; Lopez, Guillermo M.; Reguero, Marcelo</t>
  </si>
  <si>
    <t>THE OLDEST MAMMALS FROM ANTARCTICA, EARLY EOCENE OF THE LA MESETA FORMATION, SEYMOUR ISLAND</t>
  </si>
  <si>
    <t>PALAEONTOLOGY</t>
  </si>
  <si>
    <t>West Antarctica; Palaeogene; Ypresian; tooth and bone morphology; ungulates; Sparnotheriodontidae</t>
  </si>
  <si>
    <t>ITABORAI BASIN; PALEOCENE; CONDYLARTHRA; XENUNGULATA; LITOPTERNA</t>
  </si>
  <si>
    <t>New fossil mammals found at the base of Acantilados II Allomember of the La Meseta Formation, from the early Eocene (Ypresian) of Seymour Island, represent the oldest evidence of this group in Antarctica. Two specimens are here described; the first belongs to a talonid portion of a lower right molar assigned to the sparnotheriodontid litoptern Notiolofos sp. cf. N.arquinotiensis. Sparnotheriodontid were medium- to large-sized ungulates, with a wide distribution in the Eocene of South America and Antarctica. The second specimen is an intermediate phalanx referred to an indeterminate Eutheria, probably a South American native ungulate. These Antarctic findings in sediments of 55.3Ma query the minimum age needed for terrestrial mammals to spread from South America to Antarctica, which should have occurred before the final break-up of Gondwana. This event involves the disappearance of the land bridge formed by the Weddellian Isthmus, which connected West Antarctica and southern South America from the Late Cretaceous until sometime in the earliest Palaeogene.</t>
  </si>
  <si>
    <t>[Gelfo, Javier N.; Lorente, Malena; Lopez, Guillermo M.; Reguero, Marcelo] Museo La Plata, Div Paleontol Vertebrados, La Plata, Buenos Aires, Argentina; [Gelfo, Javier N.; Lorente, Malena; Reguero, Marcelo] Consejo Nacl Invest Cient &amp; Tecn, RA-1033 Buenos Aires, DF, Argentina; [Gelfo, Javier N.; Lopez, Guillermo M.] Univ Nacl La Plata, Fac Ciencias Nat &amp; Museo, Catedra Paleontol Vertebrados, RA-1900 La Plata, Argentina; [Moers, Thomas] Swedish Museum Nat Hist, Dept Paleobiol, SE-10405 Stockholm, Sweden; [Reguero, Marcelo] Inst Antartico Argentino, Buenos Aires, DF, Argentina</t>
  </si>
  <si>
    <t>National University of La Plata; Museo La Plata; Consejo Nacional de Investigaciones Cientificas y Tecnicas (CONICET); National University of La Plata; Museo La Plata; Swedish Museum of Natural History; Instituto Antartico Argentino</t>
  </si>
  <si>
    <t>Gelfo, JN (corresponding author), Museo La Plata, Div Paleontol Vertebrados, Paseo Bosque S-N,B1900FWA, La Plata, Buenos Aires, Argentina.</t>
  </si>
  <si>
    <t>jgelfo@fcnym.unlp.edu.ar; thomas.mors@nrm.se; mlorente@fcnym.unlp.edu.ar; glopez@fcnym.unlp.edu.ar; regui@fcnym.unlp.edu.ar</t>
  </si>
  <si>
    <t>Gelfo, Javier N./AAW-1905-2021; Reguero, Marcelo A./JHS-4893-2023; Lorente, Malena/ITV-7471-2023; Gelfo, Javier N./KFQ-7820-2024</t>
  </si>
  <si>
    <t>Gelfo, Javier N./0000-0002-9989-5902; Lorente, Malena/0000-0002-3723-0710;</t>
  </si>
  <si>
    <t>ANPCyT-Agencia Nacional de Promocion Cientifica y Tecnologica [PICTO 2010-0093]; CONICET-Consejo Nacional de Investigaciones Cientificas y Tecnicas [PIP 0462]; Swedish Research Council [2009-4447]; Swedish Polar Research Secretariat [2010-84]</t>
  </si>
  <si>
    <t>ANPCyT-Agencia Nacional de Promocion Cientifica y Tecnologica(ANPCyT); CONICET-Consejo Nacional de Investigaciones Cientificas y Tecnicas(Consejo Nacional de Investigaciones Cientificas y Tecnicas (CONICET)); Swedish Research Council(Swedish Research Council); Swedish Polar Research Secretariat</t>
  </si>
  <si>
    <t>Our sincere thanks to both Instituto Antartico Argentino-Direccion Nacional del Antartico and Fuerza Aerea Argentina which provided great logistic support for our Antarctic fieldwork. We thank the support in the PRE-CAV fieldtrip of Luis Bouchet and the rest of Heidi Group: Carolina Acosta Hospitaleche, Sergio Santillana and Jacobo Daniel; and in the CAV fieldtrip of Leonel Acosta, Carolina Vieytes, Juan Jose Moly, Claudia Tambussi and Alejandra Abello. Cecilia Deschamps improved the English grammar. We thank Michael O. Woodburne, Darin Croft, Hannah O'Regan and Sally Thomas for their valuable comments and suggestions. The authors were supported by PICTO 2010-0093 (ANPCyT-Agencia Nacional de Promocion Cientifica y Tecnologica), PIP 0462 (CONICET-Consejo Nacional de Investigaciones Cientificas y Tecnicas), the Swedish Research Council (2009-4447) and the Swedish Polar Research Secretariat (2010-84).</t>
  </si>
  <si>
    <t>0031-0239</t>
  </si>
  <si>
    <t>1475-4983</t>
  </si>
  <si>
    <t>10.1111/pala.12121</t>
  </si>
  <si>
    <t>AY4IU</t>
  </si>
  <si>
    <t>hybrid, Green Published, Green Submitted</t>
  </si>
  <si>
    <t>WOS:000347542300007</t>
  </si>
  <si>
    <t>Le Roy, L; Bardyn, A; Briois, C; Cottin, H; Fray, N; Thirkell, L; Hilchenbach, M</t>
  </si>
  <si>
    <t>Le Roy, Lena; Bardyn, Anais; Briois, Christelle; Cottin, Herve; Fray, Nicolas; Thirkell, Laurent; Hilchenbach, Martin</t>
  </si>
  <si>
    <t>COSIMA calibration for the detection and characterization of the cometary solid organic matter</t>
  </si>
  <si>
    <t>PLANETARY AND SPACE SCIENCE</t>
  </si>
  <si>
    <t>Organic compounds; Calibration; COSIMA; Rosetta; TOF SIMS cometary grains; Comet</t>
  </si>
  <si>
    <t>ION MASS-SPECTROMETRY; POLYCYCLIC AROMATIC MOLECULE; PARENT BODY PROCESSES; SOLAR-SYSTEM; AMINO-ACID; ANTARCTIC MICROMETEORITES; CARBONACEOUS MATTER; MURCHISON METEORITE; ORGUEIL METEORITE; TITANS ATMOSPHERE</t>
  </si>
  <si>
    <t>On the orbiter of the Rosetta spacecraft, the Cometary Secondary Ion Mass Analyser (COSIMA) will provide new in situ insights about the chemical composition of cometary grains all along 67P/Churyumov-Gerasimenko (67P/CG) journey until the end of December 2015 nominally. The aim of this paper is to present the pre-calibration which has already been performed as well as the different methods which have been developed in order to facilitate the interpretation of the COSIMA mass spectra and more especially of their organic content. The first step was to establish a mass spectra library in positive and negative ion mode of targeted molecules and to determine the specific features of each compound and chemical family analyzed. As the exact nature of the refractory cometary organic matter is nowadays unknown, this library is obviously not exhaustive. Therefore this library has also been the starting point for the research of indicators, which enable to highlight the presence of compounds containing specific atom or structure. These indicators correspond to the intensity ratio of specific peaks in the mass spectrum. They have allowed us to identify sample containing nitrogen atom, aliphatic chains or those containing polyaromatic hydrocarbons. From these indicators, a preliminary calibration line, from which the N/C ratio could be derived, has also been established. The research of specific mass difference could also be helpful to identify peaks related to quasi-molecular ions in an unknown mass spectrum. The Bayesian Positive Source Separation (BPSS) technique will also be very helpful for data analysis. This work is the starting point for the analysis of the cometary refractory organic matter. Nevertheless, calibration work will continue in order to reach the best possible interpretation of the COSIMA observations. (C) 2014 Elsevier Ltd. All rights reserved.</t>
  </si>
  <si>
    <t>[Le Roy, Lena; Bardyn, Anais; Briois, Christelle; Thirkell, Laurent] Univ Orleans, CNRS, Lab Phys &amp; Chim Environnem &amp; Espace LPCE2, UMR 7328, F-45071 Orleans 2, France; [Le Roy, Lena; Bardyn, Anais; Cottin, Herve; Fray, Nicolas] UPEC, CNRS, LISA, UMR 7583, F-94010 Creteil, France; [Le Roy, Lena; Bardyn, Anais; Cottin, Herve; Fray, Nicolas] UPD, Inst Pierre Simon, F-94010 Creteil, France; [Hilchenbach, Martin] Max Planck Inst Solar Syst Res MPS, D-37077 Gottingen, Germany</t>
  </si>
  <si>
    <t>Centre National de la Recherche Scientifique (CNRS); Universite de Orleans; Universite Paris-Est-Creteil-Val-de-Marne (UPEC); Universite Paris Cite; Centre National de la Recherche Scientifique (CNRS); CNRS - National Institute for Earth Sciences &amp; Astronomy (INSU); Universite Gustave-Eiffel; Max Planck Society</t>
  </si>
  <si>
    <t>Le Roy, L (corresponding author), Univ Bern, Ctr Space &amp; Habitabil, Sidlerstr 5, CH-2012 Bern, Switzerland.</t>
  </si>
  <si>
    <t>lena.leroy@csh.unibe.ch</t>
  </si>
  <si>
    <t>Cottin, Hervé/H-5654-2013; Cottin, Hervé/M-6154-2019; briois, christelle/B-2170-2015</t>
  </si>
  <si>
    <t>Cottin, Hervé/0000-0001-9170-5265; Cottin, Hervé/0000-0001-9170-5265; BRIOIS, Christelle/0000-0002-5616-0180; Fray, Nicolas/0000-0002-9140-5462; Le Roy, Lena/0000-0002-5984-6153</t>
  </si>
  <si>
    <t>national funding agency Germany (DLR); national funding agency of France (CNES); national funding agency of Austria; national funding agency of Finland; ESA Technical Directorate</t>
  </si>
  <si>
    <t>national funding agency Germany (DLR)(Helmholtz AssociationGerman Aerospace Centre (DLR)); national funding agency of France (CNES); national funding agency of Austria; national funding agency of Finland; ESA Technical Directorate</t>
  </si>
  <si>
    <t>The support of the national funding agencies of Germany (DLR), France (CNES), Austria and Finland and the ESA Technical Directorate is gratefully acknowledged.</t>
  </si>
  <si>
    <t>0032-0633</t>
  </si>
  <si>
    <t>1873-5088</t>
  </si>
  <si>
    <t>PLANET SPACE SCI</t>
  </si>
  <si>
    <t>Planet Space Sci.</t>
  </si>
  <si>
    <t>10.1016/j.pss.2014.08.015</t>
  </si>
  <si>
    <t>AZ2SZ</t>
  </si>
  <si>
    <t>WOS:000348083900001</t>
  </si>
  <si>
    <t>Paillard, D</t>
  </si>
  <si>
    <t>Paillard, Didier</t>
  </si>
  <si>
    <t>Quaternary glaciations: from observations to theories</t>
  </si>
  <si>
    <t>QUATERNARY SCIENCE REVIEWS</t>
  </si>
  <si>
    <t>Quaternary; Paleoclimatology; Ice ages; Models; Carbon cycle</t>
  </si>
  <si>
    <t>ANTARCTIC ICE-SHEET; SEA-LEVEL RECORD; ATMOSPHERIC CO2; CARBON-DIOXIDE; ASTRONOMICAL THEORY; INTERGLACIAL CYCLE; NORTHEAST ATLANTIC; CLIMATE MODEL; OCEAN; TEMPERATURE</t>
  </si>
  <si>
    <t>Ice ages are known since the mid-nineteenth century. From the beginning, they have been at the center of theories of climate and climate change. Still, the mechanisms behind these large amplitude oscillations remain poorly understood. In order to position our current knowledge of glacial interglacial cycles, it is useful to present how the notion of climate change appeared in the XIXth century with the discovery of glacial periods, and how the two main theories, the astronomical one and the geochemical one, emerged progressively both from sound physical principles but also from extravagant ideas. Major progresses in geochemistry in the XXth century led first to the firm evidence of an astronomical pacemaker of these cycles thanks to the accumulation of paleoceanographic data. Still, the Milankovitch's theory predicts an ice age cyclicity of about 41,000 years, while the major periodicity found in the records is 100,000 yr. Besides, ice cores from Antarctica proved unambiguously that the atmospheric carbon dioxide was lower during glacial periods. Even more importantly, during the last termination, the atmospheric pCO(2) increases significantly by about 50 ppm, several millenia before any important change in continental ice volume. This fact, together with many other pieces of information, strongly suggests an active role of greenhouse gases in the ice age problem, at least during deglaciations. Since terminations are precisely at the heart of the 100-ka problem, we need to formulate a new synthesis of the astronomical and geochemical theories in order to unravel this almost two-century-old question of ice ages. The foundations of such a theory have already been put forward, and its predictions appear in surprisingly good agreement with many recent observations. (C) 2014 Elsevier Ltd. All rights reserved.</t>
  </si>
  <si>
    <t>CEA CNRS UVSQ, Ctr Etudes Saclay, IPSL, Lab Sci Climat &amp; Environnement, F-91191 Gif Sur Yvette, France</t>
  </si>
  <si>
    <t>Paillard, D (corresponding author), CEA CNRS UVSQ, Ctr Etudes Saclay, IPSL, Lab Sci Climat &amp; Environnement, F-91191 Gif Sur Yvette, France.</t>
  </si>
  <si>
    <t>didier.paillard@lsce.ipsl.fr</t>
  </si>
  <si>
    <t>Kuzmin, Yaroslav/A-5286-2014; Paillard, Didier/G-4776-2012</t>
  </si>
  <si>
    <t>Paillard, Didier/0000-0002-9995-2794</t>
  </si>
  <si>
    <t>0277-3791</t>
  </si>
  <si>
    <t>1873-457X</t>
  </si>
  <si>
    <t>QUATERNARY SCI REV</t>
  </si>
  <si>
    <t>Quat. Sci. Rev.</t>
  </si>
  <si>
    <t>10.1016/j.quascirev.2014.10.002</t>
  </si>
  <si>
    <t>AY5AO</t>
  </si>
  <si>
    <t>WOS:000347586100002</t>
  </si>
  <si>
    <t>Möller, P; Alexanderson, H; Funder, S; Hjort, C</t>
  </si>
  <si>
    <t>Moeller, Per; Alexanderson, Helena; Funder, Svend; Hjort, Christian</t>
  </si>
  <si>
    <t>The Taimyr Peninsula and the Severnaya Zemlya archipelago, Arctic Russia: a synthesis of glacial history and palaeo-environmental change during the Last Glacial cycle (MIS 5e-2)</t>
  </si>
  <si>
    <t>Eurasian ice sheet; Taimyr; Glaciation history; Palaeoenvironmental reconstruction; Weichselian chronology</t>
  </si>
  <si>
    <t>LATE QUATERNARY STRATIGRAPHY; WESTERN YAMAL PENINSULA; WEICHSELIAN ICE SHEETS; KARA SEA; TAYMYR PENINSULA; NORTHERN EURASIA; PALEOENVIRONMENTAL HISTORY; GLOBAL CLIMATE; MARGINAL ZONE; SIBERIA</t>
  </si>
  <si>
    <t>We here suggest a glacial and climate history of the Taimyr Peninsula and Severnaya Zemlya archipelago in arctic Siberia for the last about 150 000 years (ka). Primarily it is based on results from seven field seasons between 1996 and 2012, to a large extent already published in papers referred to in the text and on data presented by Russian workers from the 1930s to our days and by German colleagues working there since the 1990s. Although glaciations even up here often started in the local mountains, their culminations in this region invariably seems to have centred on the shallow Kara Sea continental shelf - most likely due to expanding marine ice-shelves grounding there, as a combined effect of thickening ice and eustatically lowered sea-levels. The most extensive glaciation so far identified in this region (named the Taz glaciation) took place during Marine Isotope Stage 6 (MIS 6), i.e. being an equivalent to the late Saale/Illinoian glaciations. It reached c. 400 km southeast of the Kara Sea coast, across and well beyond the Byrranga Mountain range and ended c. 130 ka. It was followed by the MIS 5e (Karginsky/Eemian) interglacial, with an extensive marine transgression to 140 m above present sea level - facilitated by strong isostatic downloading during the preceding glaciation. During the latest (Zyryankan/Weichselian/Wisconsinan) glacial cycle followed a series of major glacial advances. The earliest and most extensive, culminating C. 110-100 ka (MIS 5d-5e), also reached south of the Byrranga mountains and its post-glacial marine limit there was c. 100 m a.s.l. The later glacial phases (around 70-60 ka and 20 ka) terminated at the North Taimyr Ice Marginal Zone (NTZ), along or some distance inland from the present northwest coast of Taimyr. They dammed glacial lakes, which caused the Taimyr River to flow southwards where to-day it flows northwards into the Kara Sea. The c. 20 ka glacial phase, contemporary with the maximum (LGM) glaciation in NW Europe, was this glacial cycle's least extensive one up here probably an effect of precipitation shadow caused by the major glaciations to the west. From the Kara Sea shelf this advance only reached c. 100 km inland, over some limited parts of NW Taimyr. The Severnaya Zemlya islands were only locally glaciated at this time. The lowlands south of the Byrranga Mountains have been a terrestrial Mammoth steppe environment during the last c. 50 ka and periglacial permafrosted sediments here have preserved excellent information on its megafauna and vegetation. The latter, according to new DNA-data, had considerably more (for grazing animals nourishing) flowering plants growing than earlier pollen-based (grass dominated) spectra have suggested. (C) 2014 Elsevier Ltd. All rights reserved.</t>
  </si>
  <si>
    <t>[Moeller, Per; Alexanderson, Helena; Hjort, Christian] Lund Univ, Dept Geol, SE-22362 Lund, Sweden; [Funder, Svend] Univ Copenhagen, Geol Museum, DK-1350 Copenhagen, Denmark</t>
  </si>
  <si>
    <t>Lund University; University of Copenhagen</t>
  </si>
  <si>
    <t>Möller, P (corresponding author), Lund Univ, Dept Geol, Solvegatan 12, SE-22362 Lund, Sweden.</t>
  </si>
  <si>
    <t>per.moller@geol.lu.se</t>
  </si>
  <si>
    <t>Möller, Per/AAJ-7963-2020</t>
  </si>
  <si>
    <t>Möller, Per/0000-0001-5365-2668</t>
  </si>
  <si>
    <t>European Union [ENV4-CT97-0563]; Swedish Natural Science Research Council [G-650-199815671/2000, 621-2008-3759]; Swedish Polar Research Secretariat (SPRS)</t>
  </si>
  <si>
    <t>European Union(European Union (EU)); Swedish Natural Science Research Council; Swedish Polar Research Secretariat (SPRS)</t>
  </si>
  <si>
    <t>This work has been carried out as a cooperative venture between Lund University (Sweden) and the Arctic and Antarctic Research Institute (AARI, St. Petersburg, Russia) within the European Union financed 'Eurasian ice sheets' project (contract no. ENV4-CT97-0563) under the European Science Foundation's Quaternary Environments of the Eurasian North (QUEEN) programme umbrella, later followed by the APEX (Arctic Palaeoenvironments and its Extremes) research umbrella. Specific project funding for research on Taimyr was provided through grants from the Swedish Natural Science Research Council (VR) to P. Moller (contract nos. G-650-199815671/2000 and 621-2008-3759) and logistics were mainly arranged and, to a large extent paid for, by the Swedish Polar Research Secretariat (SPRS), and through subcontracts to INTAARI (St Petersburg, Russia). Special thanks go to Magnus Augner, Asa Lindgren and Magnus Tannerfeldt at SPRS and Dimitry Bolshiyanov at AARI for painstaking work with logistical planning, expedition permits and handling of all equipment and samples in and out of Russia. Anatoly Molodkov, Tallin Technical University, Estonia, performed ESR datings and provided background information on ESR dating. Andrew Murray at the Nordic Laboratory for Luminescence Dating, Rise), Denmark and Mark D. Bateman at Sheffield luminescence laboratory, Sheffield University, England, performed OSL datings and provided background information and discussion on OSL dating problems. QSR reviewers Jon Landvik and Frank Niessen came with utterly constructive criticism and comments of the original draft of the paper. Thanks to you all!</t>
  </si>
  <si>
    <t>10.1016/j.quascirev.2014.10.018</t>
  </si>
  <si>
    <t>WOS:000347586100011</t>
  </si>
  <si>
    <t>Wesche, C; Dierking, W</t>
  </si>
  <si>
    <t>Wesche, Christine; Dierking, Wolfgang</t>
  </si>
  <si>
    <t>Near-coastal circum-Antarctic iceberg size distributions determined from Synthetic Aperture Radar images</t>
  </si>
  <si>
    <t>REMOTE SENSING OF ENVIRONMENT</t>
  </si>
  <si>
    <t>Icebergs; SAR; Iceberg mass; Southern Ocean</t>
  </si>
  <si>
    <t>WEDDELL SEA; DRIFT; ICE</t>
  </si>
  <si>
    <t>The Radarsat-1 Antarctic Mapping Project (RAMP) compiled a mosaic of Antarctica and the adjacent ocean zone from more than 3000 high-resolution Synthetic Aperture Radar (SAR) images acquired in September and October 1997. The mosaic with a pixel size of 100 m was used to determine iceberg size distributions around Antarctica, combining an automated detection with a visual control of all icebergs larger than 5 km(2) and correction of recognized false detections. For icebergs below 5 km(2) in size, the numbers of false detections and accuracies of size retrievals were analyzed for three test sites. Nearly 7000 icebergs with horizontal areas between 0.3 and 4717.7 km(2) were identified in a near-coastal zone of varying width between 20 and 300 km. The spatial distributions of icebergs around Antarctica were calculated for zonal segments of 20 degrees angular width and related to the types of the calving fronts in the respective section. Results reveal that regional variations of the size distributions cannot be neglected. The highest ice mass accumulations were found at positions of giant icebergs (&gt;18.5 km) but also in front of ice shelves from which larger numbers of smaller icebergs calve almost continuously. Although the coastal oceanic zone covered by RAMP is too narrow compared to the spatial coverage needed for oceanographic research, this study nevertheless demonstrates the usefulness of SAR images for iceberg research and the need for repeated data acquisitions extending ocean-wards over distances of 500 km and more from the coast to monitor iceberg melt and disintegration and the related freshwater input into the ocean. (C) 2014 Elsevier Inc. All rights reserved.</t>
  </si>
  <si>
    <t>[Wesche, Christine; Dierking, Wolfgang] Helmholtz Zentrum Polar &amp; Meeresforsch, Alfred Wegener Inst, D-27570 Bremerhaven, Germany</t>
  </si>
  <si>
    <t>Wesche, C (corresponding author), Helmholtz Zentrum Polar &amp; Meeresforsch, Alfred Wegener Inst, Bussestr 24, D-27570 Bremerhaven, Germany.</t>
  </si>
  <si>
    <t>christine.wesche@awi.de; wolfgang.dierking@awi.de</t>
  </si>
  <si>
    <t>Wesche, Christine/0000-0002-9786-4010</t>
  </si>
  <si>
    <t>German Research Foundation (DFG) Priority Programme 1158 Antarctic research with comparative investigations in Arctic ice areas [WE 4772/1]</t>
  </si>
  <si>
    <t>German Research Foundation (DFG) Priority Programme 1158 Antarctic research with comparative investigations in Arctic ice areas</t>
  </si>
  <si>
    <t>The SAR mosaic was provided by the Byrd Polar Research Center at the Ohio State University (http://bprc.osu.edu/rsl/radarsat/data/). The authors thank two anonymous reviewers for constructive and helpful comments. C. Wesche is funded by the German Research Foundation (DFG) Priority Programme 1158 Antarctic research with comparative investigations in Arctic ice areas (WE 4772/1).</t>
  </si>
  <si>
    <t>ELSEVIER SCIENCE INC</t>
  </si>
  <si>
    <t>STE 800, 230 PARK AVE, NEW YORK, NY 10169 USA</t>
  </si>
  <si>
    <t>0034-4257</t>
  </si>
  <si>
    <t>1879-0704</t>
  </si>
  <si>
    <t>REMOTE SENS ENVIRON</t>
  </si>
  <si>
    <t>Remote Sens. Environ.</t>
  </si>
  <si>
    <t>10.1016/j.rse.2014.10.025</t>
  </si>
  <si>
    <t>Environmental Sciences; Remote Sensing; Imaging Science &amp; Photographic Technology</t>
  </si>
  <si>
    <t>Environmental Sciences &amp; Ecology; Remote Sensing; Imaging Science &amp; Photographic Technology</t>
  </si>
  <si>
    <t>AY4YC</t>
  </si>
  <si>
    <t>WOS:000347579900046</t>
  </si>
  <si>
    <t>Han, HW; Li, ZJ; Huang, WF; Lu, P; Lei, RB</t>
  </si>
  <si>
    <t>Han Hongwei; Li Zhijun; Huang Wenfeng; Lu Peng; Lei Ruibo</t>
  </si>
  <si>
    <t>The uniaxial compressive strength of the Arctic summer sea ice</t>
  </si>
  <si>
    <t>ACTA OCEANOLOGICA SINICA</t>
  </si>
  <si>
    <t>Arctic sea ice; compressive strength; porosity; density; temperature</t>
  </si>
  <si>
    <t>MASS-BALANCE; STRAIN-RATE; MODEL; SALINITY; TESTS</t>
  </si>
  <si>
    <t>The results on the uniaxial compressive strength of Arctic summer sea ice are presented based on the samples collected during the fifth Chinese National Arctic Research Expedition in 2012 (CHINARE-2012). Experimental studies were carried out at different testing temperatures (-3, -6 and -9A degrees C), and vertical samples were loaded at stress rates ranging from 0.001 to 1 MPa/s. The temperature, density, and salinity of the ice were measured to calculate the total porosity of the ice. In order to study the effects of the total porosity and the density on the uniaxial compressive strength, the measured strengths for a narrow range of stress rates from 0.01 to 0.03 MPa/s were analyzed. The results show that the uniaxial compressive strength decreases linearly with increasing total porosity, and when the density was lower than 0.86 g/cm(3), the uniaxial compressive strength increases in a power-law manner with density. The uniaxial compressive behavior of the Arctic summer sea ice is sensitive to the loading rate, and the peak uniaxial compressive strength is reached in the brittle-ductile transition range. The dependence of the strength on the temperature shows that the calculated average strength in the brittle-ductile transition range, which was considered as the peak uniaxial compressive strength, increases steadily in the temperature range from -3 to -9 degrees C.</t>
  </si>
  <si>
    <t>[Han Hongwei; Li Zhijun; Lu Peng] Dalian Univ Technol, State Key Lab Coastal &amp; Offshore Engn, Dalian 116024, Peoples R China; [Huang Wenfeng] Changan Univ, Sch Environm Sci &amp; Engn, Xian 710054, Peoples R China; [Lei Ruibo] State Ocean Adm, Polar Res Inst China, Shanghai 200136, Peoples R China</t>
  </si>
  <si>
    <t>Dalian University of Technology; Chang'an University; Polar Research Institute of China</t>
  </si>
  <si>
    <t>Han, HW (corresponding author), Dalian Univ Technol, State Key Lab Coastal &amp; Offshore Engn, Dalian 116024, Peoples R China.</t>
  </si>
  <si>
    <t>hhw777@sina.com</t>
  </si>
  <si>
    <t>Li, Zhijun/A-5299-2019; Han, Hongwei/I-1057-2014; Lu, Peng/HNR-4786-2023</t>
  </si>
  <si>
    <t>Li, Zhijun/0000-0002-2897-0450;</t>
  </si>
  <si>
    <t>National Natural Science Foundation of China [41376186]; Public Science and Technology Research Funds Projects of Ocean, State Oceanic Administration of China [201205007]; Ministry of Industry and Information Technology of China [2013417-01]; International Science and Technology Cooperation Program of China [2011DFA22260]; International Science and Technology Cooperation Program of the Chinese Arctic and Antarctic Administration, State Oceanic Administration of China [IC201209]</t>
  </si>
  <si>
    <t>National Natural Science Foundation of China(National Natural Science Foundation of China (NSFC)); Public Science and Technology Research Funds Projects of Ocean, State Oceanic Administration of China; Ministry of Industry and Information Technology of China; International Science and Technology Cooperation Program of China; International Science and Technology Cooperation Program of the Chinese Arctic and Antarctic Administration, State Oceanic Administration of China</t>
  </si>
  <si>
    <t>The National Natural Science Foundation of China under contract No. 41376186; the Public Science and Technology Research Funds Projects of Ocean, State Oceanic Administration of China under contract No. 201205007; the High Technology of Ship Research Project of the Ministry of Industry and Information Technology of China under contract No. 2013417-01; the International Science and Technology Cooperation Program of China under contract No. 2011DFA22260; the International Science and Technology Cooperation Program of the Chinese Arctic and Antarctic Administration, State Oceanic Administration of China under contract No. IC201209.</t>
  </si>
  <si>
    <t>0253-505X</t>
  </si>
  <si>
    <t>1869-1099</t>
  </si>
  <si>
    <t>ACTA OCEANOL SIN</t>
  </si>
  <si>
    <t>Acta Oceanol. Sin.</t>
  </si>
  <si>
    <t>10.1007/s13131-015-0598-7</t>
  </si>
  <si>
    <t>AY6MI</t>
  </si>
  <si>
    <t>WOS:000347679900017</t>
  </si>
  <si>
    <t>Melia, F; Wei, JJ; Wu, XF</t>
  </si>
  <si>
    <t>Melia, Fulvio; Wei, Jun-Jie; Wu, Xue-Feng</t>
  </si>
  <si>
    <t>A COMPARISON OF COSMOLOGICAL MODELS USING STRONG GRAVITATIONAL LENSING GALAXIES</t>
  </si>
  <si>
    <t>ASTRONOMICAL JOURNAL</t>
  </si>
  <si>
    <t>cosmology: observations; cosmology: theory; galaxies: halos; galaxies: structure; gravitational lensing: strong; quasars: general</t>
  </si>
  <si>
    <t>ACS SURVEY; INTERNAL STRUCTURE; DARK-MATTER; CT UNIVERSE; R-H; EVOLUTION; DYNAMICS; Z-APPROXIMATE-TO-1; SUPERNOVAE; SELECTION</t>
  </si>
  <si>
    <t>Strongly gravitationally lensed quasar-galaxy systems allow us to compare competing cosmologies as long as one can be reasonably sure of the mass distribution within the intervening lens. In this paper, we assemble a catalog of 69 such systems from the Sloan Lens ACS and Lens Structure and Dynamics surveys suitable for this analysis, and carry out a one-on-one comparison between the standard model, Lambda CDM, and the R-h = ct universe, which has thus far been favored by the application of model selection tools to other kinds of data. We find that both models account for the lens observations quite well, though the precision of these measurements does not appear to be good enough to favor one model over the other. Part of the reason is the so-called bulge-halo conspiracy that, on average, results in a baryonic velocity dispersion within a fraction of the optical effective radius virtually identical to that expected for the whole luminous-dark matter distribution modeled as a singular isothermal ellipsoid, though with some scatter among individual sources. Future work can greatly improve the precision of these measurements by focusing on lensing systems with galaxies as close as possible to the background sources. Given the limitations of doing precision cosmological testing using the current sample, we also carry out Monte Carlo simulations based on the current lens measurements to estimate how large the source catalog would have to be in order to rule out either model at a similar to 99.7% confidence level. We find that if the real cosmology is Lambda CDM, a sample of similar to 200 strong gravitational lenses would be sufficient to rule out R-h = ct at this level of accuracy, while similar to 300 strong gravitational lenses would be required to rule out Lambda CDM if the real universe were instead R-h = ct. The difference in required sample size reflects the greater number of free parameters available to fit the data with Lambda CDM. We point out that, should the R-h = ct universe eventually emerge as the correct cosmology, its lack of any free parameters for this kind of work will provide a remarkably powerful probe of the mass structure in lensing galaxies, and a means of better understanding the origin of the bulge-halo conspiracy.</t>
  </si>
  <si>
    <t>[Melia, Fulvio; Wei, Jun-Jie; Wu, Xue-Feng] Chinese Acad Sci, Purple Mt Observ, Nanjing 210008, Jiangsu, Peoples R China; [Melia, Fulvio] Univ Arizona, Dept Astron, Program Appl Math, Tucson, AZ 85721 USA; [Melia, Fulvio] Univ Arizona, Dept Phys, Tucson, AZ 85721 USA; [Wei, Jun-Jie] Univ Chinese Acad Sci, Beijing 100049, Peoples R China; [Wu, Xue-Feng] Chinese Ctr Antarctic Astron, Nanjing 210008, Jiangsu, Peoples R China; [Wu, Xue-Feng] Nanjing Univ, Purple Mt Observ, Joint Ctr Particle Nucl Phys &amp; Cosmol, Nanjing 210008, Jiangsu, Peoples R China</t>
  </si>
  <si>
    <t>Purple Mountain Observatory, CAS; Chinese Academy of Sciences; Nanjing Institute of Astronomical Optics &amp; Technology, NAOC, CAS; University of Arizona; University of Arizona; Chinese Academy of Sciences; University of Chinese Academy of Sciences, CAS; Nanjing University; Chinese Academy of Sciences; Nanjing Institute of Astronomical Optics &amp; Technology, NAOC, CAS; Purple Mountain Observatory, CAS</t>
  </si>
  <si>
    <t>Melia, F (corresponding author), Chinese Acad Sci, Purple Mt Observ, Nanjing 210008, Jiangsu, Peoples R China.</t>
  </si>
  <si>
    <t>fmelia@email.arizona.edu; jjwei@pmo.ac.cn; xfwu@pmo.ac.cn</t>
  </si>
  <si>
    <t>Melia, Fulvio/V-4197-2018; Wu, Xuefeng/G-5316-2015</t>
  </si>
  <si>
    <t>Melia, Fulvio/0000-0002-8014-0593; Wei, Jun-Jie/0000-0003-0162-2488; Wu, Xuefeng/0000-0002-6299-1263</t>
  </si>
  <si>
    <t>National Basic Research Program (973 Program) of China [2014CB845800, 2013CB834900]; National Natural Science Foundation of China [11322328, 11373068, 11173064, 11233008]; One-Hundred-Talents Program; Youth Innovation Promotion Association; Strategic Priority Research Program The Emergence of Cosmological Structures of the Chinese Academy of Sciences [XDB09000000]; Natural Science Foundation of Jiangsu Province; Amherst College; Chinese Academy of Sciences Visiting Professorships for Senior International Scientists [2012T1J0011]; Chinese State Administration of Foreign Experts Affairs [GDJ20120491013]</t>
  </si>
  <si>
    <t>National Basic Research Program (973 Program) of China(National Basic Research Program of China); National Natural Science Foundation of China(National Natural Science Foundation of China (NSFC)); One-Hundred-Talents Program(Chinese Academy of Sciences); Youth Innovation Promotion Association; Strategic Priority Research Program The Emergence of Cosmological Structures of the Chinese Academy of Sciences; Natural Science Foundation of Jiangsu Province(Natural Science Foundation of Jiangsu Province); Amherst College; Chinese Academy of Sciences Visiting Professorships for Senior International Scientists; Chinese State Administration of Foreign Experts Affairs</t>
  </si>
  <si>
    <t>We are grateful to the anonymous referee for providing a thoughtful review and for suggesting several improvements to the manuscript. This work is partially supported by the National Basic Research Program (973 Program) of China (grants 2014CB845800 and 2013CB834900), the National Natural Science Foundation of China (grant Nos. 11322328, 11373068, 11173064 and 11233008), the One-Hundred-Talents Program and the Youth Innovation Promotion Association, and the Strategic Priority Research Program The Emergence of Cosmological Structures (grant No. XDB09000000) of the Chinese Academy of Sciences, and the Natural Science Foundation of Jiangsu Province. F.M. is also grateful to Amherst College for its support through a John Woodruff Simpson Lectureship, and to Purple Mountain Observatory in Nanjing, China, for its hospitality while this work was being carried out. This work was partially supported by grant 2012T1J0011 from The Chinese Academy of Sciences Visiting Professorships for Senior International Scientists, and grant GDJ20120491013 from the Chinese State Administration of Foreign Experts Affairs.</t>
  </si>
  <si>
    <t>IOP PUBLISHING LTD</t>
  </si>
  <si>
    <t>BRISTOL</t>
  </si>
  <si>
    <t>TEMPLE CIRCUS, TEMPLE WAY, BRISTOL BS1 6BE, ENGLAND</t>
  </si>
  <si>
    <t>0004-6256</t>
  </si>
  <si>
    <t>1538-3881</t>
  </si>
  <si>
    <t>ASTRON J</t>
  </si>
  <si>
    <t>Astron. J.</t>
  </si>
  <si>
    <t>10.1088/0004-6256/149/1/2</t>
  </si>
  <si>
    <t>AY0SY</t>
  </si>
  <si>
    <t>Bronze, Green Submitted, Green Published</t>
  </si>
  <si>
    <t>WOS:000347308300002</t>
  </si>
  <si>
    <t>Rocha, AJD; Botelho, MT; Hasue, FM; Passos, MJDCR; Vignardi, CP; Ngan, PV; Gomes, V</t>
  </si>
  <si>
    <t>da Silva Rocha, Arthur Jose; Botelho, Marina Tenorio; Hasue, Fabio Matsu; Campos Rocha Passos, Maria Jose de Arruda; Vignardi, Caroline Patricio; Phan Van Ngan; Gomes, Vicente</t>
  </si>
  <si>
    <t>GENOTOXICITY OF SHALLOW WATERS NEAR THE BRAZILIAN ANTARCTIC STATION COMANDANTE FERRAZ (EACF), ADMIRALTY BAY, KING GEORGE ISLAND, ANTARCTICA</t>
  </si>
  <si>
    <t>BRAZILIAN JOURNAL OF OCEANOGRAPHY</t>
  </si>
  <si>
    <t>Antarctica; Environmental biomonitoring; Gondogeneia antarctica; Genotoxicity; Cometassay</t>
  </si>
  <si>
    <t>SOUTH SHETLAND ISLANDS; COMET ASSAY; DNA-DAMAGE; MARINE-ENVIRONMENT; AROMATIC-HYDROCARBONS; SURFACE SEDIMENTS; SEWAGE POLLUTION; ECOTOXICOLOGY; SENSITIVITY; BIOMARKERS</t>
  </si>
  <si>
    <t>Series of biomonitoring surveys were undertaken weekly in February 2012 to investigate the genotoxicity of the shallow waters around the Brazilian Antarctic Station Comandante Ferraz (EACF). The comet assay was applied to assess the damage to the DNA of hemocytes of the crustacean amphipods Gondogeneia antarctica collected from shallow waters near the Fuel Tanks (FT) and Sewage Treatment Outflow (STO) of the research station, and compare it to the DNA damage of animals from Punta Plaza (PPL) and Yellow Point (YP), natural sites far from the EACF defined as experimental controls. The damage to the DNA of hemocytes of G. antarctica was not significantly different between sites in the biomonitoring surveys I and II. In survey III, the damage to the DNA of animals captured in shallow waters near the Fuel Tanks (FT) and Sewage Treatment Outflow (STO) was significantly higher than that of the control site of Punta Plaza (PPL). In biomonitoring survey IV, a significant difference was detected only between the FT and PPL sites. Results demonstrated that the shallow waters in front of the station may be genotoxic and that the comet assay and hemocytes of G. antarctica are useful tools for assessing genotoxicity in biomonitoring studies of Antarctic marine coastal habitats.</t>
  </si>
  <si>
    <t>[da Silva Rocha, Arthur Jose; Botelho, Marina Tenorio; Hasue, Fabio Matsu; Campos Rocha Passos, Maria Jose de Arruda; Vignardi, Caroline Patricio; Phan Van Ngan; Gomes, Vicente] Univ Sao Paulo, Inst Oceanog, BR-05508120 Sao Paulo, Brazil</t>
  </si>
  <si>
    <t>Universidade de Sao Paulo</t>
  </si>
  <si>
    <t>Gomes, V (corresponding author), Univ Sao Paulo, Inst Oceanog, Praca Oceanog 191, BR-05508120 Sao Paulo, Brazil.</t>
  </si>
  <si>
    <t>vicgomes@usp.br</t>
  </si>
  <si>
    <t>Gomes, Vicente/C-5880-2015; Botelho, Marina/U-5680-2018; Patricio Vignardi, Caroline/N-4557-2017</t>
  </si>
  <si>
    <t>Botelho, Marina/0000-0003-1648-9173; Gomes, Vicente/0000-0001-8201-2301; Patricio Vignardi, Caroline/0000-0001-6628-4294</t>
  </si>
  <si>
    <t>National Council for Research and Development (CNPq) [574018/2008- 5]; Carlos Chagas Research Support Foundation of the State of Rio de Janeiro (FAPERJ) [E-16/170.023/2008]; Brazilian Ministries of Science, Technology and Innovation (MCTI); Environment (MMA); Inter-Ministerial Commission for Marine Resources (CIRM)</t>
  </si>
  <si>
    <t>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Brazilian Ministries of Science, Technology and Innovation (MCTI); Environment (MMA); Inter-Ministerial Commission for Marine Resources (CIRM)</t>
  </si>
  <si>
    <t>This study forms part of the National Institute of Science and Technology's Antarctic Environmental Research project (INCT- APA) that receives scientific and financial support from the National Council for Research and Development (CNPq process: no 574018/2008- 5) and the Carlos Chagas Research Support Foundation of the State of Rio de Janeiro (FAPERJ no E-16/170.023/2008). The authors also acknowledge the support received from the Brazilian Ministries of Science, Technology and Innovation (MCTI), of the Environment (MMA) and the Inter-Ministerial Commission for Marine Resources (CIRM). Our special thanks go to the Oceanographic Institute of the University of Sao Paulo (IOUSP), and all the members of the INCT-APA.</t>
  </si>
  <si>
    <t>INST OCEANOGRAFICO, UNIV SAO PAULO</t>
  </si>
  <si>
    <t>SAO PAULO</t>
  </si>
  <si>
    <t>PRACA DO OCEANOGRAFICO, 191, CIDADE UNIVERSITARIA, SAO PAULO, SP 00000, BRAZIL</t>
  </si>
  <si>
    <t>1679-8759</t>
  </si>
  <si>
    <t>1982-436X</t>
  </si>
  <si>
    <t>BRAZ J OCEANOGR</t>
  </si>
  <si>
    <t>Braz. J. Oceanogr.</t>
  </si>
  <si>
    <t>10.1590/S1679-87592015080906301</t>
  </si>
  <si>
    <t>AY5KA</t>
  </si>
  <si>
    <t>WOS:000347609700006</t>
  </si>
  <si>
    <t>Brune, WH</t>
  </si>
  <si>
    <t>Brune, William H.</t>
  </si>
  <si>
    <t>The ozone story: A model for addressing climate change?</t>
  </si>
  <si>
    <t>BULLETIN OF THE ATOMIC SCIENTISTS</t>
  </si>
  <si>
    <t>Antarctic; atmosphere; CFC; chlorofluorocarbons; Montreal Protocol; ozone hole; science controversy; UV</t>
  </si>
  <si>
    <t>At a time when there is still debate in the United States among the public and politicians about the link between climate change and the greenhouse gases expelled into the atmosphere by the activities of human beings, the author looks back to an argument from another era about a man-made pollutant and a dangerous atmospheric problem. In many ways, today's controversy over the causes of climate change and what to do about it are reminiscent of the debate over the link between chlorofluorocarbons (CFCs) and the thinning of the ozone layer over 30 years ago, when the vast majority of scientists who studied the CFC problem were on one side, and industry and lobbyists were on the other. This stalemate was finally resolved only after the discovery of the ozone hole over Antarctica and the irrefutable evidence linking the ozone hole to CFCs. Only then did the major manufacturers of CFCs begin to get on board. In the end, an international agreement was signed to control CFC production, substitutes for the compounds were found and marketed by manufacturers, and the ozone hole stopped growingand it now shows signs of repairing itself, if slowly. This collaboration has been hailed as a landmark that may have implications for how the current debate in this country will eventually play out. But was that the whole story?</t>
  </si>
  <si>
    <t>Penn State Univ, Dept Meteorol, University Pk, PA 16802 USA</t>
  </si>
  <si>
    <t>Pennsylvania Commonwealth System of Higher Education (PCSHE); Pennsylvania State University; Pennsylvania State University - University Park</t>
  </si>
  <si>
    <t>Brune, WH (corresponding author), Penn State Univ, Dept Meteorol, University Pk, PA 16802 USA.</t>
  </si>
  <si>
    <t>Brune, William/U-7661-2017</t>
  </si>
  <si>
    <t>Brune, William/0000-0002-1609-4051</t>
  </si>
  <si>
    <t>SAGE PUBLICATIONS LTD</t>
  </si>
  <si>
    <t>1 OLIVERS YARD, 55 CITY ROAD, LONDON EC1Y 1SP, ENGLAND</t>
  </si>
  <si>
    <t>0096-3402</t>
  </si>
  <si>
    <t>1938-3282</t>
  </si>
  <si>
    <t>B ATOM SCI</t>
  </si>
  <si>
    <t>Bull. Atom. Scient.</t>
  </si>
  <si>
    <t>10.1177/0096340214563685</t>
  </si>
  <si>
    <t>International Relations; Social Issues</t>
  </si>
  <si>
    <t>AY0ZC</t>
  </si>
  <si>
    <t>WOS:000347322200010</t>
  </si>
  <si>
    <t>Singh, VB; Ramanathan, AL; Sharma, P</t>
  </si>
  <si>
    <t>Singh, Virendra Bahadur; Ramanathan, A. L.; Sharma, Parmanand</t>
  </si>
  <si>
    <t>Major ion chemistry and assessment of weathering processes of the Patsio glacier meltwater, Western Himalaya, India</t>
  </si>
  <si>
    <t>ENVIRONMENTAL EARTH SCIENCES</t>
  </si>
  <si>
    <t>Major ion; Chemical weathering; Effective CO2 pressure; Patsio glacier; Western Himalaya</t>
  </si>
  <si>
    <t>SUSPENDED SEDIMENT LOAD; SOLUTE ACQUISITION; GARHWAL HIMALAYA; WATER-QUALITY; GROUNDWATER QUALITY; GANGOTRI GLACIER; RIVER SYSTEM; BASIN; HYDROCHEMISTRY; ENVIRONMENT</t>
  </si>
  <si>
    <t>Major ion chemistry of meltwater draining from Patsio glacier was carried out between 2010 and 2012 to understand the meltwater chemistry and geochemical processes controlling hydrogeochemistry of the study area. Among the anions, bicarbonate is the major anion on average accounting for 52.5 % in 2010, 58.5 % in 2011 and 58.9 % in 2012 of the total anions (TZ(-)). Sulphate is the next dominant anion after bicarbonate on average accounting for 45.9 % in 2010, 36.3 % in 2011 and 39.8 % in 2012 of the total anions (TZ(-)). On the other hand, calcium is the major cation on average accounting for 71.9 % in 2010, 70.3 % in 2011 and 72.5 % in 2012 of the total cations (TZ(+)). The comparatively higher contribution of (Ca + Mg) to the total cations (TZ(+)), high value of (Ca + Mg)/((Na + K), good positive correlation between Ca-HCO3 and low value of (Na + K)/TZ(+) for all 3 years indicate that carbonate weathering is a dominant geochemical process controlling meltwater chemistry of the study area. The average Na/Cl and K/Cl ratios in the meltwater draining from Patsio glacier are much higher than marine aerosols indicating comparatively minor contribution from atmospheric precipitation to the chemical composition of meltwater of the study area. The average pCO(2) (effective CO2 pressure) values of the meltwater of study area are higher than the atmospheric pCO(2) showing disequilibrium with respect to atmosphere and open system weathering. Statistical analysis (correlation matrix and factor analysis) was applied for identification of different factors controlling hydrochemistry of the Patsio glacier meltwater.</t>
  </si>
  <si>
    <t>[Singh, Virendra Bahadur; Ramanathan, A. L.] Jawaharlal Nehru Univ, Sch Environm Sci, New Delhi 110067, India; [Sharma, Parmanand] Natl Ctr Antarctic &amp; Ocean Res, Vasco Da Gama, Goa, India</t>
  </si>
  <si>
    <t>Ramanathan, AL (corresponding author), Jawaharlal Nehru Univ, Sch Environm Sci, New Delhi 110067, India.</t>
  </si>
  <si>
    <t>Department of Science and Technology (DST); Council of Scientific and Industrial Research (CSIR), Govt. of India</t>
  </si>
  <si>
    <t>Department of Science and Technology (DST)(Department of Science &amp; Technology (India)); Council of Scientific and Industrial Research (CSIR), Govt. of India(Council of Scientific &amp; Industrial Research (CSIR) - India)</t>
  </si>
  <si>
    <t>This research work has been supported by the Department of Science and Technology (DST) and Council of Scientific and Industrial Research (CSIR), Govt. of India. We are also grateful to Jawaharlal Nehru University, New Delhi, India for providing infrastructural facilities for completing this research work. The authors are thankful to the Adina Racoviteanu and GLIMS for providing image of the study area. We are also grateful to Arindan Mandal, Thupstan Angchuk and Anurag Linda for his contribution in the preparation of map of the study area and collection of few meltwater samples.</t>
  </si>
  <si>
    <t>1866-6280</t>
  </si>
  <si>
    <t>1866-6299</t>
  </si>
  <si>
    <t>ENVIRON EARTH SCI</t>
  </si>
  <si>
    <t>Environ. Earth Sci.</t>
  </si>
  <si>
    <t>10.1007/s12665-014-3432-1</t>
  </si>
  <si>
    <t>Environmental Sciences; Geosciences, Multidisciplinary; Water Resources</t>
  </si>
  <si>
    <t>Environmental Sciences &amp; Ecology; Geology; Water Resources</t>
  </si>
  <si>
    <t>AY2WD</t>
  </si>
  <si>
    <t>WOS:000347446100031</t>
  </si>
  <si>
    <t>Parra, LP; Espina, G; Devia, J; Salazar, O; Andrews, B; Asenjo, JA</t>
  </si>
  <si>
    <t>Parra, Loreto P.; Espina, Giannina; Devia, Javier; Salazar, Oriana; Andrews, Barbara; Asenjo, Juan A.</t>
  </si>
  <si>
    <t>Identification of lipase encoding genes from Antarctic seawater bacteria using degenerate primers: Expression of a cold-active lipase with high specific activity</t>
  </si>
  <si>
    <t>ENZYME AND MICROBIAL TECHNOLOGY</t>
  </si>
  <si>
    <t>Lipase; Cold-active; High activity; Degenerate primers</t>
  </si>
  <si>
    <t>SEA PSYCHROTROPHIC BACTERIUM; ADAPTED LIPASE; ENGINEERING DATABASE; MICROBIAL LIPASES; CLONING; SEQUENCE; ENZYMES</t>
  </si>
  <si>
    <t>Cold-active enzymes are valuable catalysts showing high activity at low and moderate temperatures and low thermostability. Among cold-active enzymes, lipases offer a great potential in detergent, cosmetic, biofuel and food or feed industries. In this paper we describe the identification of novel lipase coding genes and the expression of a lipase with high activity at low temperatures. The genomic DNA from Antarctic seawater bacteria showing lipolytic activity at 4 degrees C was used to amplify five DNA fragments that partially encode novel lipases using specifically designed COnsensus-DEgenerate Hybrid Oligonucleotide Primers (CODEHOP). All the fragments were found to have a high identity with an alpha/beta-hydrolase domain-containing protein identified by the sequencing of the complete genome of Shewanella frigidimarina NCIMB 400. The complete sequence of one of the lipase-coding gene fragments, lipE13, was obtained by genome walking. Considering that the other fragments had a high identity to the putative lipase from S. frigidimarina NCIMB 400, the complete lipase genes were amplified using oligonucleotide primers designed based on the 5' and 3' regions of the coding sequence of the related protein. This strategy allowed the amplification of 3 lipase-encoding genes of which one was expressed in the periplasm using the Escherichia coli BL21(DE3)/pET-22b(+) expression system. The recombinant protein was obtained with activity toward p-nitrophenyl caproate showing a high specific activity between 15 and 25 degrees C. (C) 2014 Elsevier Inc. All rights reserved.</t>
  </si>
  <si>
    <t>[Parra, Loreto P.; Espina, Giannina; Devia, Javier; Salazar, Oriana; Andrews, Barbara; Asenjo, Juan A.] Univ Chile, Ctr Biotechnol &amp; Bioengn CeBiB, Dept Chem Engn &amp; Biotechnol, Santiago, Chile; [Parra, Loreto P.] Pontificia Univ Catolica Chile, Sch Engn, Dept Chem &amp; Bioproc Engn, Santiago, Chile</t>
  </si>
  <si>
    <t>Universidad de Chile; Pontificia Universidad Catolica de Chile</t>
  </si>
  <si>
    <t>Asenjo, JA (corresponding author), Univ Chile, Ctr Biotechnol &amp; Bioengn CeBiB, Dept Chem Engn &amp; Biotechnol, Beauchef 850, Santiago, Chile.</t>
  </si>
  <si>
    <t>juasenjo@ing.uchile.cl</t>
  </si>
  <si>
    <t>Espina, Giannina/AAD-5275-2020; Parra, Loreto/D-2593-2014; Andrews, Barbara/J-5070-2016; Salazar, María Oriana/J-5061-2016; Salazar, Oriana/O-4070-2018; Asenjo, Juan/L-8336-2013</t>
  </si>
  <si>
    <t>Asenjo, Juan/0000-0002-3475-7664; Espina, Giannina/0000-0002-6308-7217</t>
  </si>
  <si>
    <t>FONDEF; Conicyt; Basal Centre Programme of Conicyt [FB0001]</t>
  </si>
  <si>
    <t>FONDEF; Conicyt(Comision Nacional de Investigacion Cientifica y Tecnologica (CONICYT)); Basal Centre Programme of Conicyt</t>
  </si>
  <si>
    <t>We gratefully acknowledge financial support from FONDEF and from Conicyt for a doctoral scholarship to LPP and the Basal Centre Programme of Conicyt for funding of the Basal Centre CeBiB (Project FB0001).</t>
  </si>
  <si>
    <t>0141-0229</t>
  </si>
  <si>
    <t>1879-0909</t>
  </si>
  <si>
    <t>ENZYME MICROB TECH</t>
  </si>
  <si>
    <t>Enzyme Microb. Technol.</t>
  </si>
  <si>
    <t>10.1016/j.enzmictec.2014.10.004</t>
  </si>
  <si>
    <t>Biotechnology &amp; Applied Microbiology</t>
  </si>
  <si>
    <t>AY7NW</t>
  </si>
  <si>
    <t>WOS:000347747600008</t>
  </si>
  <si>
    <t>Munoz, PA; Correa-Llantén, DN; Blamey, JM</t>
  </si>
  <si>
    <t>Munoz, Patricio A.; Correa-Llanten, Daniela N.; Blamey, Jenny M.</t>
  </si>
  <si>
    <t>Ionic Liquids Increase the Catalytic Efficiency of a Lipase (Lip1) From an Antarctic Thermophilic Bacterium</t>
  </si>
  <si>
    <t>LIPIDS</t>
  </si>
  <si>
    <t>Ionic liquids; Lipase; Kinetic parameters; Thermophilic; Antarctica; Deception Island</t>
  </si>
  <si>
    <t>PURIFICATION; STABILITY; ENZYMES</t>
  </si>
  <si>
    <t>Lipases catalyze the hydrolysis and synthesis of triglycerides and their reactions are widely used in industry. The use of ionic liquids has been explored in order to improve their catalytic properties. However, the effect of these compounds on kinetic parameters of lipases has been poorly understood. A study of the kinetic parameters of Lip1, the most thermostable lipase from the supernatant of the strain ID17, a thermophilic bacterium isolated from Deception Island, Antarctica, and a member of the genus Geobacillus is presented. Kinetic parameters of Lip1 were modulated by the use of ionic liquids BmimPF6 and BmimBF4. The maximum reaction rate of Lip1 was improved in the presence of both salts. The highest effect was observed when BmimPF6 was added in the reaction mix, resulting in a higher hydrolytic activity and in a modulation of the catalytic efficiency of the enzyme. However, the catalytic efficiency did not change in the presence of BmimBF4. The increase of the reaction rates of Lip1 promoted by these ionic liquids could be related to possible changes in the Lip1 structure. This effect was measured by quenching of tryptophan fluorescence of the enzyme, when it was incubated with each liquid salt. In conclusion, the hydrolytic activity of Lip1 is modulated by the ionic liquids BmimBF4 and BmimPF6, improving the reaction rate and the catalytic efficiency of this enzyme when BmimPF6 was used. This effect is probably due to changes in the structure of Lip1 induced by the presence of these ionic liquids, stimulating its catalytic activity.</t>
  </si>
  <si>
    <t>[Munoz, Patricio A.; Correa-Llanten, Daniela N.; Blamey, Jenny M.] Fdn Cient &amp; Cultural Biociencia, Santiago, Chile; [Blamey, Jenny M.] Univ Santiago Chile, Santiago, Chile</t>
  </si>
  <si>
    <t>Universidad de Santiago de Chile</t>
  </si>
  <si>
    <t>Munoz, PA (corresponding author), Fdn Cient &amp; Cultural Biociencia, Jose Domingo Canas 2280, Santiago, Chile.</t>
  </si>
  <si>
    <t>pmunoz@bioscience.cl; dcorrea@bioscience.cl; jblamey@bioscience.cl</t>
  </si>
  <si>
    <t>Blamey, Jenny M/M-2637-2014</t>
  </si>
  <si>
    <t>Blamey, Jenny M/0000-0002-7640-316X</t>
  </si>
  <si>
    <t>Instituto Antartico Chileno; Instituto Antartico Chileno [RG_10-12]</t>
  </si>
  <si>
    <t>Instituto Antartico Chileno; Instituto Antartico Chileno</t>
  </si>
  <si>
    <t>We would like to thank the Instituto Antartico Chileno for its support. This work was funded by Project RG_10-12 from the Instituto Antartico Chileno.</t>
  </si>
  <si>
    <t>0024-4201</t>
  </si>
  <si>
    <t>1558-9307</t>
  </si>
  <si>
    <t>Lipids</t>
  </si>
  <si>
    <t>10.1007/s11745-014-3973-9</t>
  </si>
  <si>
    <t>Biochemistry &amp; Molecular Biology; Nutrition &amp; Dietetics</t>
  </si>
  <si>
    <t>AY0KH</t>
  </si>
  <si>
    <t>WOS:000347285000006</t>
  </si>
  <si>
    <t>Teglhus, FW; Agersted, MD; Arendt, KE; Nielsen, TG</t>
  </si>
  <si>
    <t>Teglhus, Frederik Wolff; Agersted, Mette Dalgaard; Arendt, Kristine Engel; Nielsen, Torkel Gissel</t>
  </si>
  <si>
    <t>Gut evacuation rate and grazing impact of the krill Thysanoessa raschii and T. inermis</t>
  </si>
  <si>
    <t>MARINE BIOLOGY</t>
  </si>
  <si>
    <t>DIEL VERTICAL MIGRATION; MEGANYCTIPHANES-NORVEGICA; ANTARCTIC KRILL; COMMUNITY STRUCTURE; EUPHAUSIA-SUPERBA; PIGMENT DESTRUCTION; CHLOROPHYLL-A; FEEDING RATES; DAILY RATION; PHYTOPLANKTON</t>
  </si>
  <si>
    <t>Gut evacuation rates and ingestion rates were measured for the krill Thysanoessa raschii and T. inermis in GodthAyenbsfjord, SW Greenland. Combined with biomass of the krill community, the grazing potential on phytoplankton along the fjord was estimated. Gut evacuation rates were 3.9 and 2.3 h(-1) for T. raschii and T. inermis, respectively. Ingestion rates were 12.2 +/- A 7.5 A mu g C mg C-1 day(-1) (n = 4) for T. inermis and 4.9 +/- A 3.2 A mu g C mg C-1 day(-1) (n = 4) for T. raschii, corresponding to daily rations of 1.2 and 0.5 % body carbon day(-1). Clearance experiments conducted in parallel to the gut evacuation experiment gave similar results for ingestion rates and daily rations. Krill biomass was highest in the central part of the fjord's length, with T. raschii dominating. Community grazing rates from krill and copepods were comparable; however, their combined impact was low, estimated as &lt; 1 % of phytoplankton standing stock being removed per day during this late spring study.</t>
  </si>
  <si>
    <t>[Teglhus, Frederik Wolff; Agersted, Mette Dalgaard; Nielsen, Torkel Gissel] Tech Univ Denmark, Natl Inst Aquat Resources, Sect Marine Ecol &amp; Oceanog, DK-2920 Charlottenlund, Denmark; [Arendt, Kristine Engel; Nielsen, Torkel Gissel] Greenland Inst Nat Resources, Greenland Climate Res Ctr, Nuuk 3900, Greenland</t>
  </si>
  <si>
    <t>Technical University of Denmark; Greenland Institute of Natural Resources</t>
  </si>
  <si>
    <t>Nielsen, TG (corresponding author), Tech Univ Denmark, Natl Inst Aquat Resources, Sect Marine Ecol &amp; Oceanog, Kavalergarden 6, DK-2920 Charlottenlund, Denmark.</t>
  </si>
  <si>
    <t>tgin@aqua.dtu.dk</t>
  </si>
  <si>
    <t>Nielsen, Torkel Gissel/HLQ-4981-2023; Agersted, Mette Dalgaard/AFW-0709-2022</t>
  </si>
  <si>
    <t>Nielsen, Torkel Gissel/0000-0003-1057-158X</t>
  </si>
  <si>
    <t>marine climate monitoring program MarineBasis-Nuuk, part of the Greenland Ecosystem Monitoring Programme, Government of Greenland (IIKNN); European Union [264933]; Greenland Climate Research Centre [6505, 6514]</t>
  </si>
  <si>
    <t>marine climate monitoring program MarineBasis-Nuuk, part of the Greenland Ecosystem Monitoring Programme, Government of Greenland (IIKNN); European Union(European Union (EU)); Greenland Climate Research Centre</t>
  </si>
  <si>
    <t>The research leading to these results has received funding from The marine climate monitoring program MarineBasis-Nuuk, part of the Greenland Ecosystem Monitoring Programme (www.G-E-M.dk), Government of Greenland (IIKNN), the European Union Seventh Framework Programme project EURO-BASIN (ENV.2010.2.2.1-1) under Grant Agreement No. 264933 and the Greenland Climate Research Centre (project 6505 and 6514). We would like to thank the captain and crew on board RV Sanna for good cooperation and our colleagues who helped and supported the project. A special thanks to Professor Andrew Hirst for constructive advice and proofreading of the manuscript, and to anonymous referees for their constructive comments and suggestions.</t>
  </si>
  <si>
    <t>0025-3162</t>
  </si>
  <si>
    <t>1432-1793</t>
  </si>
  <si>
    <t>MAR BIOL</t>
  </si>
  <si>
    <t>Mar. Biol.</t>
  </si>
  <si>
    <t>10.1007/s00227-014-2573-9</t>
  </si>
  <si>
    <t>AY2FZ</t>
  </si>
  <si>
    <t>WOS:000347405400013</t>
  </si>
  <si>
    <t>Conway, TM; John, SG</t>
  </si>
  <si>
    <t>Conway, Tim M.; John, Seth G.</t>
  </si>
  <si>
    <t>Biogeochemical cycling of cadmium isotopes along a high-resolution section through the North Atlantic Ocean</t>
  </si>
  <si>
    <t>GEOCHIMICA ET COSMOCHIMICA ACTA</t>
  </si>
  <si>
    <t>SOUTHERN-OCEAN; WATER COLUMN; PRECISE DETERMINATION; ZINC; SEAWATER; CD; ELEMENTS; IRON; FRACTIONATION; CONSTRAINTS</t>
  </si>
  <si>
    <t>Cadmium (Cd) is a bioactive trace element in the oceans, with a nutrient-like distribution that closely matches dissolved phosphate. Seawater-dissolved stable Cd isotope ratios (delta Cd-114) are a relatively new parameter, which show much promise for furthering our understanding of the biogeochemical cycling of Cd in the oceans. Here we present a high-resolution paired section of dissolved Cd concentrations and dissolved delta Cd-114 from 21 open-ocean stations along the US GEOTRACES GA03 transect through the North Atlantic Ocean. Dissolved Cd concentrations along the section are strongly influenced by water-mass distribution and the cycling of Cd. The highest dissolved Cd concentrations (400-540 pmol kg(-1)) are associated with Antarctic-sourced water masses, whilst biological uptake in the surface ocean results in a strong vertical gradient in dissolved Cd towards the surface, reaching as low as 0.03 pmol kg(-1) in western surface waters. Dissolved delta Cd-114 is also characterized by a vertical gradient from similar to+0.2 parts per thousand in the deep ocean to +2 parts per thousand to +5 parts per thousand in the Cd-depleted surface ocean (relative to NIST SRM 3108). This variability in delta Cd-114 can be ascribed to mixing of Antarctic and North Atlantic water masses, together with fractionation due to in situ biological uptake of light Cd in the very surface ocean. Subtle deviations from this overall pattern of dissolved Cd concentration and dissolved delta Cd-114 are observed within low-oxygen waters off North Africa, where a dissolved Cd deficit relative to phosphate is associated with higher dissolved delta Cd-114 values. Together with elevated particulate Cd and Ba, this suggests that Cd sulfide precipitation is occurring within the water column of the North Atlantic, constituting a potentially important sink for isotopically light Cd. Additionally, the first measurements of dissolved delta Cd-114 within a hydrothermal plume at the Mid-Atlantic Ridge show that Cd is scavenged from the dissolved phase, leaving the remnant dissolved Cd isotopically heavier. Constraining the significance of these marine sinks for dissolved Cd is important, not only for our understanding of the marine biogeochemical cycling of Cd in the modern oceans, but also for the successful application of the microfossil Cd/Ca proxy and the development of delta Cd-114 as a tracer for past-ocean biogeochemical cycling. (C) 2014 Elsevier Ltd. All rights reserved.</t>
  </si>
  <si>
    <t>[Conway, Tim M.; John, Seth G.] Univ S Carolina, Dept Earth &amp; Ocean Sci, Columbia, SC 29208 USA</t>
  </si>
  <si>
    <t>University of South Carolina System; University of South Carolina Columbia</t>
  </si>
  <si>
    <t>Conway, TM (corresponding author), ETH, Dept Earth Sci, Inst Geochem &amp; Petrol, CH-8092 Zurich, Switzerland.</t>
  </si>
  <si>
    <t>conway.tm@gmail.com</t>
  </si>
  <si>
    <t>John, Sunday/GRS-5348-2022</t>
  </si>
  <si>
    <t>John, Sunday/0000-0003-2296-7653; John, Seth/0000-0002-8257-626X</t>
  </si>
  <si>
    <t>University of South Carolina; National Science Foundation Grant [OCE-1131387]</t>
  </si>
  <si>
    <t>University of South Carolina; National Science Foundation Grant(National Science Foundation (NSF))</t>
  </si>
  <si>
    <t>We thank the Captain, crew and GEOTRACES water sampling and pumping teams on board the R/V Knorr on both USGT10 and USGT11 cruises, and Phoebe Lam and Daniel Ohnemus for providing particulate samples. We also thank Brandi Revels, Florence Hartman, Angela Rosenberg and Beth Bair for technical assistance at USC, Ken Bruland, Rob Middag and Jingfeng Wu for supplying concentration data that informed double-spike calculations. The Ocean Data Facility supplied macronutrients and oceanographic parameters from the cruises, and we thank Bill Jenkins and coauthors for water mass analysis (OMPA). We thank Associate Editor Claudine Stirling, Gregory de Souza and two anonymous reviewers for their insightful comments that allowed us to improve this manuscript. This study was funded by the University of South Carolina and National Science Foundation Grant OCE-1131387.</t>
  </si>
  <si>
    <t>0016-7037</t>
  </si>
  <si>
    <t>1872-9533</t>
  </si>
  <si>
    <t>GEOCHIM COSMOCHIM AC</t>
  </si>
  <si>
    <t>Geochim. Cosmochim. Acta</t>
  </si>
  <si>
    <t>10.1016/j.gca.2014.09.032</t>
  </si>
  <si>
    <t>AX1ZW</t>
  </si>
  <si>
    <t>WOS:000346743900018</t>
  </si>
  <si>
    <t>Ciasto, LM; Simpkins, GR; England, MH</t>
  </si>
  <si>
    <t>Ciasto, Laura M.; Simpkins, Graham R.; England, Matthew H.</t>
  </si>
  <si>
    <t>Teleconnections between Tropical Pacific SST Anomalies and Extratropical Southern Hemisphere Climate</t>
  </si>
  <si>
    <t>EL-NINO; ANNULAR MODE; SURFACE-TEMPERATURE; SEA-ICE; VARIABILITY; ENSO; OSCILLATION; IMPACT; OCEAN; CIRCULATION</t>
  </si>
  <si>
    <t>Teleconnections from tropical Pacific sea surface temperature (SST) anomalies to the high-latitude Southern Hemisphere (SH) are examined using observations and reanalysis. Analysis of tropical Pacific SST anomalies is conducted separately for the central Pacific (CP) and eastern Pacific (EP) regions. During the austral cold season, extratropical SH atmospheric Rossby wave train patterns are observed in association with both EP and CP SST variability. The primary difference between the patterns is the westward displacement of the CP-related atmospheric anomalies, consistent with the westward elongation of CP-related convective SST required for upper-level divergence and Rossby wave generation. Consequently, CP-related patterns of SH SST, Antarctic sea ice, and temperature anomalies also exhibit a westward displacement, but otherwise, the cold season extratropical SH teleconnections are largely similar. During the warm season, however, extratropical SH teleconnections associated with tropical CP and EP SST anomalies differ substantially. EP SST variability is linked to largely zonally symmetric structures in the extratropical atmospheric circulation, which projects onto the southern annular mode (SAM), and is strongly related to the SH temperature and sea ice fields. In contrast, CP SST variability is only weakly related to the SH atmospheric circulation, temperature, or sea ice fields and no longer exhibits any clear association with the SAM. One hypothesized mechanism suggests that the relatively weak CP-related SST anomalies are not able to substantially impact the background flow of the subtropical jet and its subsequent interaction with equatorward-propagating waves associated with variability in the SAM. However, there is currently no widely established mechanism that links tropical Pacific SST anomalies to the SAM.</t>
  </si>
  <si>
    <t>[Ciasto, Laura M.; Simpkins, Graham R.; England, Matthew H.] Univ New S Wales, Climate Change Res Ctr, Sydney, NSW, Australia; [Ciasto, Laura M.] Univ Bergen, Inst Geophys, N-5007 Bergen, Norway; [Ciasto, Laura M.] Bjerknes Ctr Climate Res, Bergen, Norway; [Simpkins, Graham R.; England, Matthew H.] Univ New S Wales, ARC Ctr Excellence Climate Syst Sci, Sydney, NSW, Australia</t>
  </si>
  <si>
    <t>University of New South Wales Sydney; University of Bergen; Bjerknes Centre for Climate Research; ARC Centre of Excellence for Climate System Science; University of New South Wales Sydney</t>
  </si>
  <si>
    <t>Ciasto, LM (corresponding author), Univ Bergen, Inst Geophys, Allegaten 70, N-5007 Bergen, Norway.</t>
  </si>
  <si>
    <t>laura.ciasto@gfi.uib.no</t>
  </si>
  <si>
    <t>England, Matthew/A-7539-2011</t>
  </si>
  <si>
    <t>England, Matthew/0000-0001-9696-2930; Simpkins, Graham/0000-0002-6509-658X</t>
  </si>
  <si>
    <t>Australian Research Council</t>
  </si>
  <si>
    <t>Australian Research Council(Australian Research Council)</t>
  </si>
  <si>
    <t>We thank Drs. Andrea Taschetto, Shayne McGregor, and Justin Wettstein for useful discussions of the results. This research was supported by the Australian Research Council.</t>
  </si>
  <si>
    <t>10.1175/JCLI-D-14-00438.1</t>
  </si>
  <si>
    <t>AX6XJ</t>
  </si>
  <si>
    <t>WOS:000347061200004</t>
  </si>
  <si>
    <t>Klotzbach, PJ; Oliver, ECJ</t>
  </si>
  <si>
    <t>Klotzbach, Philip J.; Oliver, Eric C. J.</t>
  </si>
  <si>
    <t>Modulation of Atlantic Basin Tropical Cyclone Activity by the Madden-Julian Oscillation (MJO) from 1905 to 2011</t>
  </si>
  <si>
    <t>SEA-SURFACE TEMPERATURE; EL-NINO; HURRICANE ACTIVITY; REANALYSIS; DATASET; VARIABILITY; WIND</t>
  </si>
  <si>
    <t>The Madden-Julian oscillation (MJO) has been demonstrated to play a role in tropical cyclone (TC) activity around the globe in a number of recent studies. While the impact of the MJO on TCs in the Atlantic basin since the mid-1970s has been well documented, a newly developed 107-yr-long index for the MJO allows for additional analysis of the impacts of the MJO on Atlantic TC activity. TC activity in the Atlantic increases when MJO-related convection is enhanced over Africa and the Indian Ocean, while TC activity in the Atlantic is suppressed when the MJO enhances convection over the western Pacific. This long-term record of the MJO also allows for the analysis of how the MJO's impacts may be modulated by other climate modes, such as the El Nino-Southern Oscillation (ENSO) over interannual time scales and the Atlantic multidecadal oscillation (AMO) over multidecadal time scales. When climatologically unfavorable conditions such as an El Nino event or a negative AMO phase are present, even TC-favorable MJO conditions are not enough to generate statistically significant increases in TC activity from the long-term average across the Atlantic basin. However, climatologically favorable conditions during a La Nina event or a warm AMO phase act to enhance the modulation of TC activity over the Atlantic basin by the MJO.</t>
  </si>
  <si>
    <t>[Klotzbach, Philip J.] Colorado State Univ, Dept Atmospher Sci, Ft Collins, CO 80523 USA; [Oliver, Eric C. J.] Univ Tasmania, Inst Marine &amp; Antarctic Studies, Hobart, Tas, Australia; [Oliver, Eric C. J.] Australian Res Council, Ctr Excellence Climate Syst Sci, Hobart, Tas, Australia</t>
  </si>
  <si>
    <t>Colorado State University; University of Tasmania</t>
  </si>
  <si>
    <t>Klotzbach, PJ (corresponding author), Colorado State Univ, Dept Atmospher Sci, 200 West Lake St,1371 Campus Delivery, Ft Collins, CO 80523 USA.</t>
  </si>
  <si>
    <t>philk@atmos.colostate.edu</t>
  </si>
  <si>
    <t>Klotzbach, Philip J/P-1911-2014; Oliver, Eric/G-5118-2014</t>
  </si>
  <si>
    <t>Oliver, Eric/0000-0002-4006-2826</t>
  </si>
  <si>
    <t>10.1175/JCLI-D-14-00509.1</t>
  </si>
  <si>
    <t>WOS:000347061200012</t>
  </si>
  <si>
    <t>Ryan, NJ; Walker, KA</t>
  </si>
  <si>
    <t>Ryan, Niall J.; Walker, Kaley A.</t>
  </si>
  <si>
    <t>Characterization and simulation of a ground-based millimeter wave observation system for Arctic atmospheric research</t>
  </si>
  <si>
    <t>JOURNAL OF QUANTITATIVE SPECTROSCOPY &amp; RADIATIVE TRANSFER</t>
  </si>
  <si>
    <t>Millimeter wave radiometer; Retrieval simulation; Optimal estimation method; Observation system simulation experiment; Arctic atmosphere; PEARL,Eureka,Nunavut</t>
  </si>
  <si>
    <t>ANTARCTIC SPRING STRATOSPHERE; CHLORINE MONOXIDE; INSTRUMENT SIMULATION; TRACE CONSTITUENTS; RADIATIVE-TRANSFER; DIURNAL-VARIATION; LOW ALTITUDES; OZONE-LAYER; RADIOMETER; TEMPERATURE</t>
  </si>
  <si>
    <t>A preparatory performance and error characterization was carried out for a ground-based millimeter wave instrument designed for high Arctic atmospheric research. The instrument is a radiometer to measure rotational emission spectra of O-3, CIO, HNO3, and N2O, between 265 and 280 GHz, using a sensitive superconductor-insulator-superconductor detector. Forward and inverse modeling tests have been performed to assess the instrument/inversion system and to determine the sources of the most significant errors in the retrieval of each trace gas. The altitude ranges over which retrievals of concentrations can be made were found to be similar to 13-62 km for O-3, similar to 12.5-39 km for similar to N2O, similar to 12-36 km for HNO3, and similar to 18-46 km for CIO. For each target species the measurement and smoothing errors calculated with an optimal estimation method (OEM) were compared to the errors calculated from inversions of 500 simulated spectra. The absolute error from these inversions agreed well the OEM results, but there were systematic differences that are attributed to nonlinearities in the forward model. The results of these nonlinearities can cause biases of the order of 5-10% of the a priori profile if they are not accounted for when averaging concentration profiles or when analyzing trends in concentration. The techniques used here can be applied to any ground-based remote sounder. (C) 2014 Elsevier Ltd. All rights reserved.</t>
  </si>
  <si>
    <t>[Ryan, Niall J.; Walker, Kaley A.] Univ Toronto, Dept Phys, Toronto, ON M5S 1A7, Canada</t>
  </si>
  <si>
    <t>University of Toronto</t>
  </si>
  <si>
    <t>Walker, KA (corresponding author), Univ Toronto, Dept Phys, 60 St George St, Toronto, ON M5S 1A7, Canada.</t>
  </si>
  <si>
    <t>kwalker@atmosp.physics.utoronto.ca</t>
  </si>
  <si>
    <t>Connaught Research Fund at the University of Toronto; Natural Sciences and Engineering Research Council of Canada (NSERC); NSERC CREATE Training Program in Arctic Atmospheric Science</t>
  </si>
  <si>
    <t>Connaught Research Fund at the University of Toronto; Natural Sciences and Engineering Research Council of Canada (NSERC)(Natural Sciences and Engineering Research Council of Canada (NSERC)); NSERC CREATE Training Program in Arctic Atmospheric Science(European Research Council (ERC))</t>
  </si>
  <si>
    <t>This work was supported by the Connaught Research Fund at the University of Toronto, the Natural Sciences and Engineering Research Council of Canada (NSERC), and the NSERC CREATE Training Program in Arctic Atmospheric Science. We also thank the Canada Foundation for Innovation and the Ontario Research Fund for funding an instrument design study, and the University of Toronto Centre for Global Change Science for providing graduate research funding.</t>
  </si>
  <si>
    <t>0022-4073</t>
  </si>
  <si>
    <t>1879-1352</t>
  </si>
  <si>
    <t>J QUANT SPECTROSC RA</t>
  </si>
  <si>
    <t>J. Quant. Spectrosc. Radiat. Transf.</t>
  </si>
  <si>
    <t>10.1016/j.jqsrt.2014.09.010</t>
  </si>
  <si>
    <t>Optics; Spectroscopy</t>
  </si>
  <si>
    <t>AY0BM</t>
  </si>
  <si>
    <t>WOS:000347263000005</t>
  </si>
  <si>
    <t>Daryabor, F; Abu Samah, A; Ooi, SH</t>
  </si>
  <si>
    <t>Daryabor, Farshid; Abu Samah, Azizan; Ooi, See Hai</t>
  </si>
  <si>
    <t>Dynamical structure of the sea off the east coast of Peninsular Malaysia</t>
  </si>
  <si>
    <t>OCEAN DYNAMICS</t>
  </si>
  <si>
    <t>Regional ocean modelling system; East coast of Peninsular Malaysia; Long-shore wind stress; Upwelling</t>
  </si>
  <si>
    <t>SOUTH CHINA SEA; CIRCULATION; SURFACE; SATELLITE; MODEL; LAYER; TEMPERATURE; VARIABILITY; SIMULATION; EXPLICIT</t>
  </si>
  <si>
    <t>The regional ocean modelling system (ROMS), at a resolution of 9 km, is used to investigate the dynamics of the sea off the east coast of Peninsular Malaysia (ECPM). The model is configured with two, one-way nested domains. Two simulations are performed in order to understand the dynamical structure of the sea off ECPM. The first simulation is a control run, using climatological monthly mean wind stress, surface freshwater flux, heat and observational oceanic inflow and outflow at open boundaries. The second simulation is an experiment aimed at presenting the seasonally averaged effect of isolated forcing in the absence of wind stress. This procedure allows understanding of the upwelling mechanism in the absence of wind stress forcing within the region. The model simulated the oceanographic features in the region reasonably well, in particular the circulation and temperature patterns conformed to those of Simple Ocean Data Assimilation and observations. Results show the possibility of upwelling in the summer monsoon along the sea off ECPM. This is due to the strong long-shore wind stress, which coincided with lower sea surface height and high baroclinic instability. The strong positive horizontal transport in accordance with the positive vertical transport within 104.5A degrees E and 105.5A degrees E, at latitude 3A degrees N suggests net offshore transport and the occurrence of upwelling. Moreover, results demonstrate that summer upwelling rate at corresponding latitude induced by the long-shore wind stress is 3 x 10(-5) m/s larger than the vertical velocity of 0.5 x 10(-5) m/s induced by the wind stress curl. This reflects the importance of the long-shore wind stress for inducing the coastal upwelling. High concentrations of phytoplankton biomass through the proxy of chlorophyll-a concentration and the observed upward motion of denser water at the sea surface are due to the upwelled nutrient-rich water.</t>
  </si>
  <si>
    <t>[Daryabor, Farshid; Abu Samah, Azizan; Ooi, See Hai] Univ Malaya, Inst Postgrad Studies, Natl Antarctic Res Ctr, Kuala Lumpur 50603, Malaysia; [Daryabor, Farshid; Abu Samah, Azizan] Univ Malaya, Inst Postgrad Studies, Inst Ocean &amp; Earth Sci, Kuala Lumpur 50603, Malaysia</t>
  </si>
  <si>
    <t>Universiti Malaya; Universiti Malaya</t>
  </si>
  <si>
    <t>Daryabor, F (corresponding author), Univ Malaya, Inst Postgrad Studies, Natl Antarctic Res Ctr, Kuala Lumpur 50603, Malaysia.</t>
  </si>
  <si>
    <t>fdaryabor@um.edu.my</t>
  </si>
  <si>
    <t>ABU SAMAH, AZIZAN HJ/B-8295-2010; Daryabor, Farshid/K-6084-2015; Daryabor, Farshid/A-9345-2019</t>
  </si>
  <si>
    <t>Daryabor, Farshid/0000-0001-8217-8504; Daryabor, Farshid/0000-0001-8217-8504</t>
  </si>
  <si>
    <t>Malaysian Government Science Fund [14-02-03-4022]</t>
  </si>
  <si>
    <t>Malaysian Government Science Fund</t>
  </si>
  <si>
    <t>The authors would like to thank the anonymous reviewers for their critical review and valuable suggestions. The authors would also like to thank Dr. Mark Freeman from the Institute of Ocean and Earth Sciences (IOES), Institute of Postgraduate Studies, University of Malaya. This research study is funded by the Malaysian Government Science Fund Grant 14-02-03-4022. It is also strongly supported by the Vice Chancellor of the University of Malaya.</t>
  </si>
  <si>
    <t>1616-7341</t>
  </si>
  <si>
    <t>1616-7228</t>
  </si>
  <si>
    <t>OCEAN DYNAM</t>
  </si>
  <si>
    <t>Ocean Dyn.</t>
  </si>
  <si>
    <t>10.1007/s10236-014-0787-5</t>
  </si>
  <si>
    <t>AX8MG</t>
  </si>
  <si>
    <t>WOS:000347162900007</t>
  </si>
  <si>
    <t>Emnet, P; Gaw, S; Northcott, G; Storey, B; Graham, L</t>
  </si>
  <si>
    <t>Emnet, Philipp; Gaw, Sally; Northcott, Grant; Storey, Bryan; Graham, Lisa</t>
  </si>
  <si>
    <t>Personal care products and steroid hormones in the Antarctic coastal environment associated with two Antarctic research stations, McMurdo Station and Scott Base</t>
  </si>
  <si>
    <t>ENVIRONMENTAL RESEARCH</t>
  </si>
  <si>
    <t>Antarctica; PPCPs; Wastewater; Seawater; Sea ice</t>
  </si>
  <si>
    <t>SOLID-PHASE EXTRACTION; TROUT ONCORHYNCHUS-MYKISS; ORGANIC UV FILTERS; WASTE-WATER; ENDOCRINE DISRUPTORS; AQUATIC ENVIRONMENT; SURFACE WATERS; BISPHENOL-A; DEGRADATION-PRODUCTS; ESTROGENIC COMPOUNDS</t>
  </si>
  <si>
    <t>Pharmaceutical and personal care products (PPCPs) are a major source of micropollutants to the aquatic environment. Despite intense research on the fate and effects of PPCPs in temperate climates, there is a paucity of data on their presence in polar environments. This study reports the presence of selected PPCPs in sewage effluents from two Antarctic research stations, the adjacent coastal seawater, sea ice, and biota. Sewage effluents contained bisphenol-A, ethinylestradiol, estrone, methyl triclosan, octylphenol, triclosan, and three UV-filters. The maximum sewage effluent concentrations of 4-methyl-benzylidene camphor, benzophenone-1, estrone, ethinylestradiol, and octylphenol exceeded concentrations previously reported. Coastal seawaters contained bisphenol-A, octylphenol, triclosan, three paraben preservatives, and four UV-filters. The sea ice contained a similar range and concentration of PPCPs as the seawater. Benzophenone-3 (preferential accumulation in clams), estradiol, ethinylestradiol, methyl paraben (preferential accumulation in fish, with concentrations correlating negatively with fillet size), octylphenol, and propyl paraben were detected in biota samples. PPCPs were detected in seawater and biota at distances up to 25 km from the research stations WWTP discharges. Sewage effluent discharges and disposal of raw human waste through sea ice cracks have been identified as sources of PPCPs to Antarctic coastal environments. (C) 2014 Elsevier Inc. All rights reserved.</t>
  </si>
  <si>
    <t>[Emnet, Philipp; Gaw, Sally; Graham, Lisa] Univ Canterbury, Dept Chem, Christchurch 8140, New Zealand; [Northcott, Grant] Northcott Res Consultants Ltd, Hamilton 3200, New Zealand; [Storey, Bryan] Univ Canterbury, Christchurch 8140, New Zealand</t>
  </si>
  <si>
    <t>University of Canterbury; University of Canterbury</t>
  </si>
  <si>
    <t>Gaw, S (corresponding author), Univ Canterbury, Dept Chem, Private Bag 4800, Christchurch 8140, New Zealand.</t>
  </si>
  <si>
    <t>sally.gaw@canterbury.ac.nz</t>
  </si>
  <si>
    <t>fieldwork component of this study, made possible through the Christchurch City Council Scholarship; Keith Laugesen PhD Scholarship</t>
  </si>
  <si>
    <t>We thank Antarctica New Zealand for providing funding and logistical support for the fieldwork component of this study, made possible through the Christchurch City Council Scholarship. The authors also thank the Keith Laugesen PhD Scholarship for funding support for Philipp Emnet. We thank Professor William Davison, and Professor Ian Shaw for their guidance with this project. The authors thank Dr Miles Lamare (Otago University) and his research team for incorporating this fieldwork into their own field activities during the 2009/10 season. Matt Walters is thanked for assistance with preparing figures.</t>
  </si>
  <si>
    <t>ACADEMIC PRESS INC ELSEVIER SCIENCE</t>
  </si>
  <si>
    <t>SAN DIEGO</t>
  </si>
  <si>
    <t>525 B ST, STE 1900, SAN DIEGO, CA 92101-4495 USA</t>
  </si>
  <si>
    <t>0013-9351</t>
  </si>
  <si>
    <t>1096-0953</t>
  </si>
  <si>
    <t>ENVIRON RES</t>
  </si>
  <si>
    <t>Environ. Res.</t>
  </si>
  <si>
    <t>10.1016/j.envres.2014.10.019</t>
  </si>
  <si>
    <t>Environmental Sciences; Public, Environmental &amp; Occupational Health</t>
  </si>
  <si>
    <t>Environmental Sciences &amp; Ecology; Public, Environmental &amp; Occupational Health</t>
  </si>
  <si>
    <t>AX2DY</t>
  </si>
  <si>
    <t>WOS:000346755000042</t>
  </si>
  <si>
    <t>Turchetti, B; Selbmann, L; Blanchette, RA; Di Mauro, S; Marchegiani, E; Zucconi, L; Arenz, BE; Buzzini, P</t>
  </si>
  <si>
    <t>Turchetti, Benedetta; Selbmann, Laura; Blanchette, Robert A.; Di Mauro, Simone; Marchegiani, Elisabetta; Zucconi, Laura; Arenz, Brett E.; Buzzini, Pietro</t>
  </si>
  <si>
    <t>Cryptococcus vaughanmartiniae sp nov and Cryptococcus onofrii sp nov.: two new species isolated from worldwide cold environments</t>
  </si>
  <si>
    <t>EXTREMOPHILES</t>
  </si>
  <si>
    <t>Novel Cryptococcus species; Cryptococcus vaughanmartiniae sp nov; Cryptococcus onofrii sp nov.; Psychrophilic yeasts; Antarctica; Iceland; Russia; Alps; Apennines; Cold-adapted biodiversity</t>
  </si>
  <si>
    <t>PSYCHROPHILIC YEASTS; DIVERSITY; PATAGONIA; STRATEGIES; WATERS</t>
  </si>
  <si>
    <t>Twenty yeast strains, representing a selection from a wider group of more than 60 isolates were isolated from cold environments worldwide (Antarctica, Iceland, Russia, USA, Italian and French Alps, Apennines). The strains were grouped based on their common morphological and physiological characteristics. A phylogeny based on D1/D2 ribosomal DNA sequences placed them in an intermediate position between Cryptococcus saitoi and Cryptococcus friedmannii; the ITS1 and ITS2 rDNA phylogeny demonstrated that these strains belong to two related but hitherto unknown species within the order Filobasidiales, albidus clade. These two novel species are described with the names Cryptococcus vaughanmartiniae (type strain DBVPG 4736(T)) and Cryptococcus onofrii (type strain DBVPG 5303(T)).</t>
  </si>
  <si>
    <t>[Turchetti, Benedetta; Di Mauro, Simone; Marchegiani, Elisabetta; Buzzini, Pietro] Univ Perugia, Dipartimento Sci Agr Alimentari &amp; Ambientali, I-06121 Perugia, Italy; [Turchetti, Benedetta; Di Mauro, Simone; Marchegiani, Elisabetta; Buzzini, Pietro] Univ Perugia, Ind Yeasts Collect DBVPG, I-06121 Perugia, Italy; [Selbmann, Laura; Zucconi, Laura] Univ Tuscia, Dipartimento Sci Ecol &amp; Biol DEB, Viterbo, Italy; [Blanchette, Robert A.; Arenz, Brett E.] Univ Minnesota, Dept Plant Pathol, St Paul, MN USA</t>
  </si>
  <si>
    <t>University of Perugia; University of Perugia; Tuscia University; University of Minnesota System; University of Minnesota Twin Cities</t>
  </si>
  <si>
    <t>Turchetti, B (corresponding author), Univ Perugia, Dipartimento Sci Agr Alimentari &amp; Ambientali, Borgo 20 Giugno 74, I-06121 Perugia, Italy.</t>
  </si>
  <si>
    <t>benedetta.turchetti@unipg.it</t>
  </si>
  <si>
    <t>Turchetti, Benedetta/AAC-8847-2019; Selbmann, Laura/L-3056-2013; Zucconi, L./U-9781-2018</t>
  </si>
  <si>
    <t>Selbmann, Laura/0000-0002-8967-3329; Zucconi, L./0000-0001-9793-2303; Blanchette, Robert A./0000-0003-2819-6511; turchetti, benedetta/0000-0002-7370-3028; Buzzini, Pietro/0000-0001-6793-0606</t>
  </si>
  <si>
    <t>Italian National Program for Antarctic Researches (PNRA); Italian National Antarctic Museum Felice Ippolito; National Science Foundation [0537143]; Division Of Polar Programs; Directorate For Geosciences [0537143] Funding Source: National Science Foundation</t>
  </si>
  <si>
    <t>Italian National Program for Antarctic Researches (PNRA); Italian National Antarctic Museum Felice Ippolito; National Science Foundation(National Science Foundation (NSF)); Division Of Polar Programs; Directorate For Geosciences(National Science Foundation (NSF)NSF - Directorate for Geosciences (GEO))</t>
  </si>
  <si>
    <t>The authors acknowledge the Italian National Program for Antarctic Researches (PNRA), for funding logistical and technical support and the Italian National Antarctic Museum Felice Ippolito for supporting the Culture Collection of Fungi from Extreme Environments (CCFEE). Part of this research is based upon cultures obtained during studies supported by the National Science Foundation Grant No. 0537143.</t>
  </si>
  <si>
    <t>1431-0651</t>
  </si>
  <si>
    <t>1433-4909</t>
  </si>
  <si>
    <t>Extremophiles</t>
  </si>
  <si>
    <t>10.1007/s00792-014-0692-3</t>
  </si>
  <si>
    <t>Biochemistry &amp; Molecular Biology; Microbiology</t>
  </si>
  <si>
    <t>AX0QS</t>
  </si>
  <si>
    <t>WOS:000346657500015</t>
  </si>
  <si>
    <t>Pärnänen, K; Karkman, A; Virta, M; Eronen-Rasimus, E; Kaartokallio, H</t>
  </si>
  <si>
    <t>Parnanen, Katariina; Karkman, Antti; Virta, Marko; Eronen-Rasimus, Eeva; Kaartokallio, Hermanni</t>
  </si>
  <si>
    <t>Discovery of bacterial polyhydroxyalkanoate synthase (PhaC)-encoding genes from seasonal Baltic Sea ice and cold estuarine waters</t>
  </si>
  <si>
    <t>Polyhydroxyalkanoates (PHA); Sea ice; Polyhydroxyalkanoate synthase genes (phaC); Cold adaptation; Bioplastics</t>
  </si>
  <si>
    <t>MULTIPLE SEQUENCE ALIGNMENT; POLY-BETA-HYDROXYBUTYRATE; DISSOLVED ORGANIC-MATTER; SP-NOV.; GENOME SEQUENCE; PSEUDOMONAS-EXTREMAUSTRALIS; RHODOFERAX-FERRIREDUCENS; CONTAMINATED GROUNDWATER; SPHINGOPYXIS-ALASKENSIS; ANTARCTIC BACTERIUM</t>
  </si>
  <si>
    <t>Polyhydroxyalkanoates (PHAs) are macromolecules produced by bacteria as means for storing carbon and energy in intracellular granules. PHAs have physical properties similar to those of plastics and have become of interest to industry as materials for environmentally friendly bioplastic production. There is an ongoing search for new PHA-producing bacterial strains and PHA-synthesizing enzymes tolerating extreme conditions to find ways of producing PHAs at cold temperatures and high solute concentrations. Moreover, the study of PHA producers in the sea-ice biome can aid in understanding the microbial ecology of carbon cycling in ice-associated ecosystems. In this study, PHA producers and PHA synthase genes were examined under the extreme environmental conditions of sea ice and cold seawater to find evidence of PHA production in an environment requiring adaptation to high salinity and cold temperatures. Sea ice and cold estuarine water samples were collected from the northern Baltic Sea and evidence of PHA production was gathered, using microscopy with Nile Blue A staining of PHA-granules and PCR assays detecting PHA-synthesis genes. The PHA granules and PHA synthases were found at all sampling locations, in both sea ice and water, and throughout the sampling period spanning over 10 years. Our study shows, for the first time, that PHA synthesis occurs in Baltic Sea cold-adapted bacteria in their natural environment, which makes the Baltic Sea and its cold environments an interesting choice in the quest for PHA-synthesizing bacteria and synthesis genes.</t>
  </si>
  <si>
    <t>[Parnanen, Katariina; Karkman, Antti; Virta, Marko] Univ Helsinki, Div Microbiol &amp; Biotechnol, Dept Food &amp; Environm Sci, Bioctr 1, FIN-00014 Helsinki, Finland; [Eronen-Rasimus, Eeva; Kaartokallio, Hermanni] Finnish Environm Inst SYKE, Marine Res Ctr Arctic Marine Res, Helsinki 00560, Finland; [Eronen-Rasimus, Eeva] Univ Helsinki, Tvarminne Zool Stn, Hango 10900, Finland</t>
  </si>
  <si>
    <t>University of Helsinki; Finnish Environment Institute; University of Helsinki</t>
  </si>
  <si>
    <t>Pärnänen, K (corresponding author), Univ Helsinki, Div Microbiol &amp; Biotechnol, Dept Food &amp; Environm Sci, Bioctr 1, POB 56, FIN-00014 Helsinki, Finland.</t>
  </si>
  <si>
    <t>katariina.parnanen@helsinki.fi; hermanni.kaartokallio@ymparisto.fi</t>
  </si>
  <si>
    <t>Parnanen, Katariina/ACW-1291-2022; Virta, Marko/JAN-7343-2023; Virta, Marko/B-4292-2010; Karkman, Antti/HFZ-8618-2022; Karkman, Antti/AAW-9096-2021</t>
  </si>
  <si>
    <t>Parnanen, Katariina/0000-0003-2220-1738; Virta, Marko/0000-0001-5981-7566; Karkman, Antti/0000-0003-0983-3319</t>
  </si>
  <si>
    <t>Walter and Andree de Nottbeck foundation; Academy of Finland FidiPro-programme; Academy of Finland</t>
  </si>
  <si>
    <t>Walter and Andree de Nottbeck foundation; Academy of Finland FidiPro-programme(Research Council of Finland); Academy of Finland(Research Council of Finland)</t>
  </si>
  <si>
    <t>Walter and Andree de Nottbeck foundation and Academy of Finland FidiPro-programme provided funding for fieldwork and sample analysis for HK. AK, KP and MV were funded by Academy of Finland project grant. David Thomas and the WE research group are acknowledged for collaboration and logistic support in the sample collection.</t>
  </si>
  <si>
    <t>CHIYODA FIRST BLDG EAST, 3-8-1 NISHI-KANDA, CHIYODA-KU, TOKYO, 101-0065, JAPAN</t>
  </si>
  <si>
    <t>10.1007/s00792-014-0699-9</t>
  </si>
  <si>
    <t>WOS:000346657500020</t>
  </si>
  <si>
    <t>Jones, CJ; Lyver, PO; Davis, J; Hughes, B; Anderson, A; Hohapata-Oke, J</t>
  </si>
  <si>
    <t>Jones, Christopher J.; Lyver, Philip O'B.; Davis, Joe; Hughes, Beverly; Anderson, Alice; Hohapata-Oke, John</t>
  </si>
  <si>
    <t>Reinstatement of Customary Seabird Harvests After a 50-Year Moratorium</t>
  </si>
  <si>
    <t>JOURNAL OF WILDLIFE MANAGEMENT</t>
  </si>
  <si>
    <t>grey-faced petrel; harvest; indigenous culture; Mori; modeling; New Zealand; Pterodroma gouldi; seabirds; sustainability</t>
  </si>
  <si>
    <t>SHEARWATERS PUFFINUS-TENUIROSTRIS; REPRODUCTIVE SUCCESS; POPULATION-DYNAMICS; ANTARCTIC SEABIRD; LONG-TERM; ISLAND; CONSERVATION; VARIABILITY; PETRELS; UNCERTAINTY</t>
  </si>
  <si>
    <t>Seabird eggs, chicks, and adults have significant value for many cultures, but delayed maturation, low reproductive rates, and ease of exploitation at breeding colonies make these species especially vulnerable to overharvest. In New Zealand, indigenous Mori placed a moratorium over the harvest of grey-faced petrel (Pterodroma gouldi) chicks in the 1960s because of concerns about diminished returns. Over the last decade, those tribes have indicated their desire to reinstate a small customary harvest. We used recent estimates of population sizes and demographic parameters to develop population models to investigate the feasibility of reinstating a sustainable harvest of pre-fledgling chicks from 2 island populations: Moutohor and the Ruamhua Islands. In the absence of harvest, our simulations predicted mean annual rates of population growth of 1.01 (95% CI 1.010-1.014) for the colony on Moutohor and 0.983 (0.978-0.989) for the Ruamhua Islands. The Moutohor colony could potentially sustain a fixed-quota harvest of up to 6,000 chicks or a fixed-proportion harvest of up to 30% of chicks, annually. A larger-scale harvest would require either a very conservative fixed-quota harvest with strict monitoring of bag limits, or a fixed-proportion harvest with reliable ongoing monitoring of the population size. We propose that Mori authorities use a fixed-quota system up until they develop and use either a scientific assessment or a harvester-derived index of population change. On the basis of our simulations, in 2010, Ngti Awa, the local tribe, harvested chicks from Moutohor for the first time in half a century. (c) 2014 The Wildlife Society.</t>
  </si>
  <si>
    <t>[Jones, Christopher J.; Lyver, Philip O'B.] Landcare Res, Lincoln 7640, New Zealand; [Davis, Joe] Ngati Hei Trust, Whitianga 3510, New Zealand; [Anderson, Alice] Hauraki Maori Trust Board, Paeroa 3640, New Zealand; [Hohapata-Oke, John] Te Runanga Ngati Awa, Whakatane 3080, New Zealand</t>
  </si>
  <si>
    <t>Landcare Research - New Zealand</t>
  </si>
  <si>
    <t>Jones, CJ (corresponding author), Landcare Res, POB 69040, Lincoln 7640, New Zealand.</t>
  </si>
  <si>
    <t>jonesc@landcareresearch.co.nz</t>
  </si>
  <si>
    <t>0022-541X</t>
  </si>
  <si>
    <t>1937-2817</t>
  </si>
  <si>
    <t>J WILDLIFE MANAGE</t>
  </si>
  <si>
    <t>J. Wildl. Manage.</t>
  </si>
  <si>
    <t>10.1002/jwmg.815</t>
  </si>
  <si>
    <t>Ecology; Zoology</t>
  </si>
  <si>
    <t>Environmental Sciences &amp; Ecology; Zoology</t>
  </si>
  <si>
    <t>AW9YT</t>
  </si>
  <si>
    <t>WOS:000346611800005</t>
  </si>
  <si>
    <t>Blanke, B; Speich, S; Rusciano, E</t>
  </si>
  <si>
    <t>Blanke, Bruno; Speich, Sabrina; Rusciano, Emanuela</t>
  </si>
  <si>
    <t>Lagrangian water mass tracing from pseudo-Argo, model-derived salinity, tracer and velocity data: An application to Antarctic Intermediate Water in the South Atlantic Ocean</t>
  </si>
  <si>
    <t>OCEAN MODELLING</t>
  </si>
  <si>
    <t>Ocean circulation; Conservation equations; Mathematical models; Density field; Subsurface drifters; Intermediate water masses</t>
  </si>
  <si>
    <t>GLOBAL OCEAN; CIRCULATION; CURRENTS; BALANCE; FLOW</t>
  </si>
  <si>
    <t>We use the tracer and velocity fields of a climatological ocean model to investigate the ability of Argo-like data to estimate accurately water mass movements and transformations, in the style of analyses commonly applied to the output of ocean general circulation model. To this end, we introduce an algorithm for the reconstruction of a fully non-divergent three-dimensional velocity field from the simple knowledge of the model vertical density profiles and 1000-m horizontal velocity components. The validation of the technique consists in comparing the resulting pathways for Antarctic Intermediate Water in the South Atlantic Ocean to equivalent reference results based on the full model information available for velocity and tracers. We show that the inclusion of a wind-induced Ekman pumping and of a well-thought-out expression for vertical velocity at the level of the intermediate waters is essential for the reliable reproduction of quantitative Lagrangian analyses. Neglecting the seasonal variability of the velocity and tracer fields is not a significant source of errors, at least well below the permanent thermocline. These results give us confidence in the success of the adaptation of the algorithm to true gridded Argo data for investigating the dynamics of flows in the ocean interior. (C) 2014 Elsevier Ltd. All rights reserved.</t>
  </si>
  <si>
    <t>[Blanke, Bruno; Rusciano, Emanuela] UFR Sci &amp; Tech, CNRS Ifremer IRD UBO, Lab Phys Oceans, UMR 6523, F-29238 Brest 03, France; [Speich, Sabrina; Rusciano, Emanuela] CNRS Ecole Polytech ENS UPMC, UMR 8359, Meteorol Dynam Lab, F-75231 Paris 05, France</t>
  </si>
  <si>
    <t>Centre National de la Recherche Scientifique (CNRS); Ifremer; Institut de Recherche pour le Developpement (IRD); Sorbonne Universite; Centre National de la Recherche Scientifique (CNRS)</t>
  </si>
  <si>
    <t>Blanke, B (corresponding author), UFR Sci &amp; Tech, CNRS Ifremer IRD UBO, Lab Phys Oceans, UMR 6523, 6 Ave Le Gorgeu,CS 93837, F-29238 Brest 03, France.</t>
  </si>
  <si>
    <t>bruno.blanke@univ-brest.fr</t>
  </si>
  <si>
    <t>Speich, Sabrina/L-3780-2014; Blanke, Bruno/H-4280-2015</t>
  </si>
  <si>
    <t>Speich, Sabrina/0000-0002-5452-8287; Blanke, Bruno/0000-0002-1309-0952</t>
  </si>
  <si>
    <t>Centre National de la Recherche Scientifique (CNRS); Ecole Normale Superieure (ENS); Universite de Brest (UBO)</t>
  </si>
  <si>
    <t>Centre National de la Recherche Scientifique (CNRS)(Centre National de la Recherche Scientifique (CNRS)); Ecole Normale Superieure (ENS); Universite de Brest (UBO)</t>
  </si>
  <si>
    <t>We thank three anonymous reviewers for their valuable contributions that allowed us to improve the manuscript substantially. This research is part of the ANR SAMOC project. Support for this study has also been provided by Centre National de la Recherche Scientifique (CNRS) for BB, by Ecole Normale Superieure (ENS) for ER and SS, and by Universite de Brest (UBO) for ER.</t>
  </si>
  <si>
    <t>1463-5003</t>
  </si>
  <si>
    <t>1463-5011</t>
  </si>
  <si>
    <t>OCEAN MODEL</t>
  </si>
  <si>
    <t>Ocean Model.</t>
  </si>
  <si>
    <t>10.1016/j.ocemod.2014.11.004</t>
  </si>
  <si>
    <t>AX1XP</t>
  </si>
  <si>
    <t>WOS:000346737500005</t>
  </si>
  <si>
    <t>Moraga, CA; Funes, MC; Pizarro, JC; Briceno, C; Novaro, AJ</t>
  </si>
  <si>
    <t>Moraga, Claudio A.; Funes, Martin C.; Cristobal Pizarro, J.; Briceno, Cristobal; Novaro, Andres J.</t>
  </si>
  <si>
    <t>Effects of livestock on guanaco Lama guanicoe density, movements and habitat selection in a forest-grassland mosaic in Tierra del Fuego, Chile</t>
  </si>
  <si>
    <t>ORYX</t>
  </si>
  <si>
    <t>Camelid conservation; Chile; Lama guanicoe; livestock; partial migration; sheep ranching; sub-Antarctic forest; ungulates</t>
  </si>
  <si>
    <t>BLACK-TAILED DEER; HOME-RANGE; VEGETATION DYNAMICS; ADMIRALTY-ISLAND; LARGE HERBIVORES; SHEEP; MIGRATION; POPULATION; PATTERNS; ELK</t>
  </si>
  <si>
    <t>Locally abundant ungulates often come into conflict with human activities. After a population collapse that reached its nadir in the 1970s, the guanaco Lama guanicoe population in Tierra del Fuego, Chile, recovered and is now in conflict with sheep ranching and commercial logging. We studied the effects of livestock density and environmental factors on guanaco abundance and spatial ecology, using seasonal counts and radio-telemetry in a private protected area (Karukinka) and neighbouring ranches in a forest-grassland mosaic in Tierra del Fuego. Guanaco density was highest in low-elevation areas with more grassland cover and little snow accumulation in winter. In low-elevation areas, guanaco density decreased with increasing livestock density. Radio-tracked guanacos exhibited a partial migration pattern: two individuals migrated seasonally, selecting grasslands and avoiding forests mainly in summer, whereas six sedentary individuals used habitats according to their availability. Migratory guanacos spent the summer in Karukinka and winter on nearby ranches. High sheep densities and poor range condition on the ranches reduce key forage resources available to guanacos and may promote use of forests by guanacos, affecting forest regeneration and increasing conflict with logging. Current guanaco harvest by loggers may fail to reduce the impact of guanacos on logged-forest regeneration if guanaco spatial ecology and sheep management are not considered. Our results provide insight into the interactions among guanacos, forests and livestock ranching, and may be used to reduce conflicts and guide conservation in the Fuegian ecosystem.</t>
  </si>
  <si>
    <t>[Moraga, Claudio A.; Cristobal Pizarro, J.; Briceno, Cristobal] Wildlife Conservat Soc, Chile Program, Punta Arenas, Chile; [Funes, Martin C.] Wildlife Conservat Soc, Patagonian &amp; Andean Steppe Program, Neuquen, Argentina; [Novaro, Andres J.] Wildlife Conservat Soc, INIBIOMA CONICET, Neuquen, Argentina; [Novaro, Andres J.] Wildlife Conservat Soc, Patagonian &amp; Andean Steppe Program, Neuquen, Argentina; [Moraga, Claudio A.] Univ Florida, Dept Wildlife Ecol &amp; Conservat, Gainesville, FL USA; [Moraga, Claudio A.] Univ Florida, Sch Nat Resources &amp; Environm, Gainesville, FL USA; [Cristobal Pizarro, J.] Univ Waterloo, Dept Environm &amp; Resource Studies, Waterloo, ON, Canada; [Briceno, Cristobal] Univ Chile, Fac Anim &amp; Vet Sci, Dept Prevent Med, Santiago, Chile</t>
  </si>
  <si>
    <t>Universidad Nacional del Comahue; Consejo Nacional de Investigaciones Cientificas y Tecnicas (CONICET); State University System of Florida; University of Florida; State University System of Florida; University of Florida; University of Waterloo; Universidad de Chile</t>
  </si>
  <si>
    <t>Moraga, CA (corresponding author), Wildlife Conservat Soc, Chile Program, Punta Arenas, Chile.</t>
  </si>
  <si>
    <t>cmoraga@ufl.edu</t>
  </si>
  <si>
    <t>Briceño, Cristóbal/G-1399-2015; Pizarro, Cristobal/J-8925-2014</t>
  </si>
  <si>
    <t>Briceño, Cristóbal/0000-0001-8999-650X; Pizarro, Cristobal/0000-0002-5240-2816</t>
  </si>
  <si>
    <t>Wildlife Conservation Society</t>
  </si>
  <si>
    <t>We thank M. Uhart and C. Marull from the Global Health Program of the Wildlife Conservation Society for their help in capturing guanacos, and B. Saavedra, R. Muza, J. Sotomayor, M. Chacon, C. Silva, D. Droguett, F. Repetto, M. Millan, S. Lorca, J. Gomez, A. Munoz, A. Gonzalez, students and Karukinka staff for support. We also thank W. Franklin and an anonymous reviewer for their comments. Permits No. 150 and 4146 were obtained from the Servicio Agricola y Ganadero-Government of Chile for guanaco captures, and protocols of the Global Health Program of the Wildlife Conservation Society were followed for animal handling. Funding was provided by the Wildlife Conservation Society.</t>
  </si>
  <si>
    <t>0030-6053</t>
  </si>
  <si>
    <t>1365-3008</t>
  </si>
  <si>
    <t>Oryx</t>
  </si>
  <si>
    <t>10.1017/S0030605312001238</t>
  </si>
  <si>
    <t>Biodiversity Conservation; Ecology</t>
  </si>
  <si>
    <t>Biodiversity &amp; Conservation; Environmental Sciences &amp; Ecology</t>
  </si>
  <si>
    <t>AX2JR</t>
  </si>
  <si>
    <t>Bronze, Green Published</t>
  </si>
  <si>
    <t>WOS:000346770000011</t>
  </si>
  <si>
    <t>Guzman, HM; Condit, R; Pérez-Ortega, B; Capella, JJ; Stevick, PT</t>
  </si>
  <si>
    <t>Guzman, Hector M.; Condit, Richard; Perez-Ortega, Betzi; Capella, Juan J.; Stevick, Peter T.</t>
  </si>
  <si>
    <t>Population size and migratory connectivity of humpback whales wintering in Las Perlas Archipelago, Panama</t>
  </si>
  <si>
    <t>MARINE MAMMAL SCIENCE</t>
  </si>
  <si>
    <t>humpback whale; Megaptera novaeangliae; nursery area; population size; satellite tracking; Las Perlas Archipelago; Panama; Antarctic Peninsula; southeastern Pacific stock</t>
  </si>
  <si>
    <t>MEGAPTERA-NOVAEANGLIAE; DESTINATIONS; HEMISPHERE; ABUNDANCE; MOVEMENTS; STRAIT</t>
  </si>
  <si>
    <t>From 2003 to 2009, we surveyed Las Perlas Archipelago off the Pacific coast of Panama 53 times between the months of August and October to estimate abundance of humpback whales and to test for a migratory connection with populations from the southern hemisphere. We identified 295 individuals using photo-identification of dorsal fins, including 58 calves, and the population estimate for a single season was 100-300 solitary adults plus 25-50 mothers with calves; the estimated population of animals across all seasons using a mark and recapture model was over 1,000. Eight of the 139 fluke identifications were matched to whales in photograph catalogues from the Antarctic Peninsula and a ninth was matched to a whale sighted in Chilean waters; four of these nine individuals have also been sighted in Colombia. We conclude that Panama (Las Perlas Archipelago in particular) is an important calving area for humpback whales in the Southern Hemisphere. These data should provide a foundation for monitoring of population change and to increase awareness in Panama about the need to manage vessel traffic and tourism related to the whales at Las Perlas.</t>
  </si>
  <si>
    <t>[Guzman, Hector M.; Condit, Richard; Perez-Ortega, Betzi] Smithsonian Trop Res Inst, Balboa, Panama; [Capella, Juan J.] Whalesound Ltda, Punta Arenas, Chile; [Stevick, Peter T.] Coll Atlantic, Bar Harbor, ME 04609 USA</t>
  </si>
  <si>
    <t>Smithsonian Institution; Smithsonian Tropical Research Institute</t>
  </si>
  <si>
    <t>Guzman, HM (corresponding author), Smithsonian Trop Res Inst, POB 0843-03092, Balboa, Panama.</t>
  </si>
  <si>
    <t>guzmanh@si.edu</t>
  </si>
  <si>
    <t>Perez Ortega, Betzi/HMV-3699-2023</t>
  </si>
  <si>
    <t>Guzman, Hector M./0000-0001-9928-8523</t>
  </si>
  <si>
    <t>Secretaria Nacional de Ciencia y Tecnologia de Panama (SENACYT); Smithsonian Tropical Research Institute; International Community Foundation; DEFRA's Darwin Initiative Fund (UK); Heriot-Watt University</t>
  </si>
  <si>
    <t>Secretaria Nacional de Ciencia y Tecnologia de Panama (SENACYT); Smithsonian Tropical Research Institute(Smithsonian InstitutionSmithsonian Tropical Research Institute); International Community Foundation; DEFRA's Darwin Initiative Fund (UK); Heriot-Watt University</t>
  </si>
  <si>
    <t>Thanks go to Carlos Guevara, Alexis Lam, Lillian Florez-Gonzalez, Salome Rangel, and the crew of the R/V Urraca from the Smithsonian for vessel support and field assistance in photo-identification. We thank Judy Allen and John Viechnicki from the College of the Atlantic and Martha Elena Llano from Fundacion Ecologica SENTIR for their help with regional photo-identification. We thank the Republic of Panama for providing us with permits to work in the country. We thank three anonymous reviewers for their comments and improvement to previous versions of the manuscript and Dr. Tim Gerrodette for his numerous and valuable comments that improved the quality of our manuscript. The authors wish to acknowledge use of the Maptool program for analysis and graphics in this paper (available at http://www.seaturtle.org/maptool). This study was sponsored by the Secretaria Nacional de Ciencia y Tecnologia de Panama (SENACYT), the Smithsonian Tropical Research Institute, the International Community Foundation, DEFRA's Darwin Initiative Fund (UK) and the Heriot-Watt University. This study was conducted under permits issued by the Government of Panama and the Institutional Animal Care and Use Committee of the Smithsonian Tropical Research Institute. The authors have no conflict of interest to declare.</t>
  </si>
  <si>
    <t>0824-0469</t>
  </si>
  <si>
    <t>1748-7692</t>
  </si>
  <si>
    <t>MAR MAMMAL SCI</t>
  </si>
  <si>
    <t>Mar. Mamm. Sci.</t>
  </si>
  <si>
    <t>10.1111/mms.12136</t>
  </si>
  <si>
    <t>AX2JK</t>
  </si>
  <si>
    <t>WOS:000346769200005</t>
  </si>
  <si>
    <t>Marra, KR; Madden, MEE; Soreghan, GS; Hall, BL</t>
  </si>
  <si>
    <t>Marra, Kristen R.; Madden, Megan E. Elwood; Soreghan, Gerilyn S.; Hall, Brenda L.</t>
  </si>
  <si>
    <t>BET surface area distributions in polar stream sediments: Implications for silicate weathering in a cold-arid environment</t>
  </si>
  <si>
    <t>APPLIED GEOCHEMISTRY</t>
  </si>
  <si>
    <t>MCMURDO DRY VALLEYS; SOUTHERN VICTORIA LAND; TAYLOR VALLEY; QUARTZ DISSOLUTION; HYPORHEIC EXCHANGE; MELTWATER STREAM; AEOLIAN FLUX; ANTARCTICA; DESERT; GLACIERS</t>
  </si>
  <si>
    <t>BET surface area values are critical for quantifying the amount of potentially reactive sediments available for chemical weathering and ultimately, prediction of silicate weathering fluxes. BET surface area values of fine-grained (&lt; 62.5 mu m) sediment from the hyporheic zone of polar glacial streams in the McMurdo Dry Valleys, Antarctica (Wright and Taylor Valleys) exhibit a wide range (2.5-70.6 m(2)/g) of surface area values. Samples from one (Delta Stream, Taylor Valley) of the four sampled stream transects exhibit high values (up to 70.6 m(2)/g), which greatly exceed surface area values from three temperate proglacial streams (0.3-12.1 m(2)/g). Only Clark stream in Wright Valley exhibits a robust trend with distance, wherein surface area systematically decreases (and particle size increases) in the mud fraction downstream, interpreted to reflect rapid dissolution processes in the weathering environment. The remaining transects exhibit a range in variability in surface area distributions along the length of the channel, likely related to variations in eolian input to exposed channel beds, adjacent snow drifts, and to glacier surfaces, where dust is trapped and subsequently liberated during summer melting. Additionally, variations in stream discharge rate, which mobilizes sediment in pulses and influences water: rock ratios, the origin and nature of the underlying drift material, and the contribution of organic acids may play significant roles in the production and mobilization of high-surface area sediment. This study highlights the presence of sediments with high surface area in cold-based glacier systems, which influences models of chemical denudation rates and the impact of glacial systems on the global carbon cycle. Published by Elsevier Ltd.</t>
  </si>
  <si>
    <t>[Marra, Kristen R.; Madden, Megan E. Elwood; Soreghan, Gerilyn S.] Univ Oklahoma, Sch Geol &amp; Geophys, Norman, OK 73072 USA; [Hall, Brenda L.] Univ Maine, Sch Earth &amp; Climate Sci, Orono, ME 04469 USA; [Hall, Brenda L.] Univ Maine, Climate Change Inst, Orono, ME 04469 USA</t>
  </si>
  <si>
    <t>University of Oklahoma System; University of Oklahoma - Norman; University of Maine System; University of Maine Orono; University of Maine System; University of Maine Orono</t>
  </si>
  <si>
    <t>Marra, KR (corresponding author), US Geol Survey, Box 25046, Denver, CO 80225 USA.</t>
  </si>
  <si>
    <t>kmarra@usgs.gov</t>
  </si>
  <si>
    <t>; Elwood Madden, Megan/C-3381-2009</t>
  </si>
  <si>
    <t>Soreghan, Gerilyn/0000-0001-6925-5675; Elwood Madden, Megan/0000-0002-6735-4554</t>
  </si>
  <si>
    <t>NSF [ANT-0842639, EAR-12252162]; Division Of Earth Sciences; Directorate For Geosciences [1225162] Funding Source: National Science Foundation</t>
  </si>
  <si>
    <t>NSF(National Science Foundation (NSF)); Division Of Earth Sciences; Directorate For Geosciences(National Science Foundation (NSF)NSF - Directorate for Geosciences (GEO))</t>
  </si>
  <si>
    <t>Financial support for this work is from NSF # ANT-0842639 and # EAR-12252162. Any opinions, findings, and conclusions or recommendations expressed in this material are those of the authors and do not necessarily reflect the view of the National Science Foundation. Any use of trade, firm, or product names is for descriptive purposes only and does not imply endorsement by the U.S. Government. The authors would like to thank A. Stumpf for Antarctic field assistance, and M. Irwinsky, J. DiGiulio, V. Priegnitz, J. Westrop, J. Miller, and Y. Joo (University of Oklahoma) for assistance with sample processing and BET analyses. In addition, the authors would like to thank S. Braddock (University of Maine) for collecting additional samples from Delta Stream (Taylor Valley, Antarctica) during the 2012-2013 field season. Detailed reviews by M. Kersten, J. Levy, S. Fortner, C. Schenk, D. Ferderer, K. Lucey, and an anonymous reviewer significantly improved earlier versions of this manuscript.</t>
  </si>
  <si>
    <t>0883-2927</t>
  </si>
  <si>
    <t>APPL GEOCHEM</t>
  </si>
  <si>
    <t>Appl. Geochem.</t>
  </si>
  <si>
    <t>10.1016/j.apgeochem.2014.11.005</t>
  </si>
  <si>
    <t>AX3PG</t>
  </si>
  <si>
    <t>WOS:000346850700004</t>
  </si>
  <si>
    <t>Trovant, B; Orensanz, JM; Ruzzante, DE; Stotz, W; Basso, NG</t>
  </si>
  <si>
    <t>Trovant, Berenice; Orensanz, J. M. (Lobo); Ruzzante, Daniel E.; Stotz, Wolfgang; Basso, Nestor G.</t>
  </si>
  <si>
    <t>Scorched mussels (BIVALVIA: MYTILIDAE: BRACHIDONTINAE) from the temperate coasts of South America: Phylogenetic relationships, trans-Pacific connections and the footprints of Quaternary glaciations</t>
  </si>
  <si>
    <t>MOLECULAR PHYLOGENETICS AND EVOLUTION</t>
  </si>
  <si>
    <t>Phylogeography; Mussels; Dispersal; Glaciations; Southern South America</t>
  </si>
  <si>
    <t>RIBOSOMAL-RNA GENE; TIERRA-DEL-FUEGO; MITOCHONDRIAL-DNA; POPULATION-GROWTH; NACELLA PATELLOGASTROPODA; MOLLUSCAN ASSEMBLAGES; MYTILUS BIVALVIA; NEW-ZEALAND; SEA; BIOGEOGRAPHY</t>
  </si>
  <si>
    <t>This study addresses aspects of the phylogeny and phylogeography of scorched mussels (BIVALVIA: MYTILIDAE: BRACHIDONTINAE) from southern South America (Argentina and Chile), as well as their ecophylogenetic implications. Relationships were inferred from sequences of two nuclear (28S and 18S) and one mitochondrial (COI) genes, using Bayesian and maximum likelihood analyses. Our results indicate that the monophyletic BRACHIDONTINAE include three well supported clades: [i] Brachidontes Swainson (=Hormomya Morch), [ii] Ischadium Jukes-Browne + Geukensia van de Poel, and [iii] Austromytilus Laseron + Mytilisepta Habe (usually considered a member of the SEPTIFERINAE) + Perumytilus Olsson. Species of clade [iii] are distributed along the temperate coasts of the Pacific Ocean. Available evidence supports divergence between Austromytilus (Australia) and Perumytilus (South American) following the breakup of Australian, Antarctic and South American shelves. Four brachidontins occur in southern South America: Brachidontes rodriguezii (d'Orbigny), B. granulatus (Hanley), and two genetically distinct clades of Perumytilus. The latter are confined to the Chile-Peru (North Cade) and Magellanic (South Clade) Biogeographic Provinces, respectively warm- and cold-temperate. The South Clade is the only brachidontin restricted to cold-temperate waters. Biogeographic considerations and the fossil record prompted the hypothesis that the South Cade originated from the North Clade by incipient peripatric differentiation, followed by isolation during the Quaternary glaciations, genetic differentiation in the non-glaciated coasts of eastern Patagonia, back-expansion over southern Chile following post-LGM de-glaciation, and development of a secondary contact zone between the two clades in south-central Chile. Evidence of upper Pleistocene expansion of the South Clade parallels similar results on other organisms that have colonized coastal ecosystems from eastern Patagonia since the LGM, apparently occupying free ecological space. We emphasize that the assembly of communities cannot be explained solely in terms of environmental drivers, as history also matters. (C) 2014 Elsevier Inc. All rights reserved.</t>
  </si>
  <si>
    <t>[Trovant, Berenice; Orensanz, J. M. (Lobo); Basso, Nestor G.] Consejo Nacl Invest Cient &amp; Tecn, Ctr Nacl Patagon, Chubut, Argentina; [Ruzzante, Daniel E.] Dalhousie Univ, Dept Biol, Halifax, NS, Canada; [Stotz, Wolfgang] Univ Catolica Norte, Dept Marine Biol, Antofagasta, Chile</t>
  </si>
  <si>
    <t>Centro Nacional Patagonico (CENPAT); Consejo Nacional de Investigaciones Cientificas y Tecnicas (CONICET); Dalhousie University; Universidad Catolica del Norte</t>
  </si>
  <si>
    <t>Trovant, B (corresponding author), Consejo Nacl Invest Cient &amp; Tecn, Ctr Nacl Patagon, Blvd Brown 2915,U9120ACF Puerto Madryn, Chubut, Argentina.</t>
  </si>
  <si>
    <t>trovant@cenpat.edu.ar; lobo@uw.edu; Daniel.Ruzzante@dal.ca; wstotz@ucn.cl; nbasso@cenpat.edu.ar</t>
  </si>
  <si>
    <t>Trovant, Berenice/J-9392-2019</t>
  </si>
  <si>
    <t>Ruzzante, Daniel/0000-0002-8536-8335; Basso, Nestor/0000-0003-3345-5442; Trovant, Berenice/0000-0002-7725-4370</t>
  </si>
  <si>
    <t>FONCYT, Argentina [PICT/Raices 2012-0057]</t>
  </si>
  <si>
    <t>FONCYT, Argentina(FONCyT)</t>
  </si>
  <si>
    <t>We are grateful to Billy Ernst, Gustavo Lovrich, Simon Grove, Steve Gaines, Carolle Blanchette, Gray Williams, Craig Mundy and Hiroshi Wada for kindly assisting with the provision of samples for molecular analysis, and to Claudia del Rio for access to the collections of the Invertebrate Paleontology Division, Museo Argentino de Ciencias Naturales, Buenos Aires. Noela Sanchez assisted with the retrieval of SST information. We deeply appreciate enlightening discussion with Enrique Lessa, Christian Ibanez and Ana Parma, the two latter in relation with Bayesian inference. We also thank Gregory McCracken and Ian Paterson (Marine Gene Probe Laboratory, Dalhousie University) for assistance in the laboratory. This study was funded by Project PICT/Raices 2012-0057, FONCYT, Argentina. This contribution is part of the doctoral thesis of BT. Finally we want to express our gratitude to two anonymous reviewers for thorough reading and thoughtful suggestions, which contributed to substantial improvement of the original MS.</t>
  </si>
  <si>
    <t>1055-7903</t>
  </si>
  <si>
    <t>1095-9513</t>
  </si>
  <si>
    <t>MOL PHYLOGENET EVOL</t>
  </si>
  <si>
    <t>Mol. Phylogenet. Evol.</t>
  </si>
  <si>
    <t>A</t>
  </si>
  <si>
    <t>10.1016/j.ympev.2014.10.002</t>
  </si>
  <si>
    <t>Biochemistry &amp; Molecular Biology; Evolutionary Biology; Genetics &amp; Heredity</t>
  </si>
  <si>
    <t>AW3YU</t>
  </si>
  <si>
    <t>WOS:000346219800005</t>
  </si>
  <si>
    <t>Ermolovich, YV; Zhabinskii, VN; Khripach, VA</t>
  </si>
  <si>
    <t>Ermolovich, Yu. V.; Zhabinskii, V. N.; Khripach, V. A.</t>
  </si>
  <si>
    <t>Formation of the steroidal C-25 chiral center via the asymmetric alkylation methodology</t>
  </si>
  <si>
    <t>ORGANIC &amp; BIOMOLECULAR CHEMISTRY</t>
  </si>
  <si>
    <t>STEREOSELECTIVE-SYNTHESIS; STEREOCONTROLLED SYNTHESIS; SIDE-CHAIN; CLAISEN REARRANGEMENTS; BIOLOGICAL EVALUATION; ANTARCTIC STARFISH; CHOLESTENOIC ACID; NUCLEAR-RECEPTOR; POLAR STEROIDS; BRASSINOLIDE</t>
  </si>
  <si>
    <t>A novel approach for the preparation of steroids containing a chiral center at C-25 is reported. The key stereochemistry inducing step was asymmetric alkylation of pseudoephenamine amides of steroidal C-26 acids. The reaction proceeded with high diastereoselectivity (dr &gt; 99 : 1). The developed methodology was successfully applied to the synthesis of (25R)- and (25S)-cholestenoic acids as well as (25R)-and (25S)-26-hydroxy brassinolides.</t>
  </si>
  <si>
    <t>[Ermolovich, Yu. V.; Zhabinskii, V. N.; Khripach, V. A.] Natl Acad Sci Belarus, Inst Bioorgan Chem, Minsk 220141, BELARUS</t>
  </si>
  <si>
    <t>National Academy of Sciences of Belarus (NASB); Institute of Bioorganic Chemistry of the National Academy of Sciences of Belarus</t>
  </si>
  <si>
    <t>Zhabinskii, VN (corresponding author), Natl Acad Sci Belarus, Inst Bioorgan Chem, Kuprevich St 5-2, Minsk 220141, BELARUS.</t>
  </si>
  <si>
    <t>vz@iboch.bas-net.by</t>
  </si>
  <si>
    <t>Zhabinskii, Vladimir/JCE-5132-2023</t>
  </si>
  <si>
    <t>Zhabinskii, Vladimir/0000-0001-8591-2794; Ermolovich, Yuri/0000-0003-3498-1890</t>
  </si>
  <si>
    <t>Belarusian Foundation for Fundamental Research [X14P-139]</t>
  </si>
  <si>
    <t>Belarusian Foundation for Fundamental Research</t>
  </si>
  <si>
    <t>The authors are indebted to the Belarusian Foundation for Fundamental Research for financial support (project X14P-139).</t>
  </si>
  <si>
    <t>1477-0520</t>
  </si>
  <si>
    <t>1477-0539</t>
  </si>
  <si>
    <t>ORG BIOMOL CHEM</t>
  </si>
  <si>
    <t>Org. Biomol. Chem.</t>
  </si>
  <si>
    <t>10.1039/c4ob02123a</t>
  </si>
  <si>
    <t>Chemistry, Organic</t>
  </si>
  <si>
    <t>Science Citation Index Expanded (SCI-EXPANDED); Index Chemicus (IC); Current Chemical Reactions (CCR-EXPANDED)</t>
  </si>
  <si>
    <t>AW8AT</t>
  </si>
  <si>
    <t>WOS:000346483700016</t>
  </si>
  <si>
    <t>Stocker, M</t>
  </si>
  <si>
    <t>Stocker, Mark</t>
  </si>
  <si>
    <t>'These had most to give': Kathleen Scott's sculpture at the Scott Polar Research Institute, Cambridge</t>
  </si>
  <si>
    <t>POLAR RECORD</t>
  </si>
  <si>
    <t>The bronze sculpture variously known as These had most to give, Aspiration and Youth, stands in the forecourt of the Scott Polar Research Institute (SPRI) in Cambridge, and functions as a memorial to the British Antarctic Expedition polar party of 1911-1912. It is one of the most important works by Kathleen Scott, wife of Robert Falcon Scott, and a prominent and prolific sculptor. Originally intended as a war memorial and dating from 19221923, it received critical acclaim and was exhibited widely. Ten years later Kathleen Scott offered the sculpture to the SPRI to accompany its new building. The institute's committee of management wished to reject the gift, however, as its members considered it too successful in conveying 'death and martyrdom and in general the tragic side of Polar work', as Frank Debenham stated, rather than scientific research and discovery. After prolonged discussions with the institute's architect, Herbert Baker, who admired Kathleen Scott and this work, it was finally accepted and installed as inconspicuously as possible. This article reconstructs the historical background to the sculpture and the controversy that surrounded it, using primary source material. The relevance of the objections to the sculpture, as well as its positive qualities, are also briefly examined from a modern perspective.</t>
  </si>
  <si>
    <t>Univ Otago, Dept Hist &amp; Art Hist, Dunedin 9054, New Zealand</t>
  </si>
  <si>
    <t>University of Otago</t>
  </si>
  <si>
    <t>Stocker, M (corresponding author), Univ Otago, Dept Hist &amp; Art Hist, POB 56, Dunedin 9054, New Zealand.</t>
  </si>
  <si>
    <t>mark.stocker@otago.ac.nz</t>
  </si>
  <si>
    <t>0032-2474</t>
  </si>
  <si>
    <t>1475-3057</t>
  </si>
  <si>
    <t>POLAR REC</t>
  </si>
  <si>
    <t>POLAR REC.</t>
  </si>
  <si>
    <t>10.1017/S0032247413000570</t>
  </si>
  <si>
    <t>Ecology; Environmental Sciences</t>
  </si>
  <si>
    <t>AW3MP</t>
  </si>
  <si>
    <t>WOS:000346191200005</t>
  </si>
  <si>
    <t>Corbella, C; Moller, PR</t>
  </si>
  <si>
    <t>Corbella, Cecilia; Moller, Peter R.</t>
  </si>
  <si>
    <t>Description of a new deep-sea eelpout Pachycara matallanasi sp nov from the Solomon Sea (western South Pacific Ocean)</t>
  </si>
  <si>
    <t>MARINE BIOLOGY RESEARCH</t>
  </si>
  <si>
    <t>Pachycara; Solomon Sea; taxonomy; Zoarcidae</t>
  </si>
  <si>
    <t>ZOARCIDAE TELEOSTEI; ANTARCTIC OCEAN; GENUS; PERCIFORMES; REDESCRIPTION; OSTEICHTHYES; HEMISPHERE; PYROLYCUS; ZUGMAYER; FISH</t>
  </si>
  <si>
    <t>A new species of zoarcid fish, Pachycara matallanasi, is described. During the Danish Galathea 3 expedition, on 28 December 2006, six specimens of Pachycara Zugmayer, 1911 were collected from depths of 4350-4450 m. The new species is the second member of the genus in the western South Pacific Ocean. Pachycara matallanasi sp. nov. can be distinguished from its congeners by a combination of the following characters: body without scales; pelvic fin absent; lateral line mediolateral; dorsal fin origin associated with vertebrae 5-6 with 0-1 free predorsal pterygiophores; total vertebrae 103-108; smooth ceratohyal-epihyal articulation; post-temporal with well-developed ventral ramus; coracoid with a posterior strut and a small foramen.</t>
  </si>
  <si>
    <t>[Corbella, Cecilia] Univ Autonoma Barcelona, Fac Biociencies, Unitat Zool, Grp Biodiversitat Anim, E-08193 Barcelona, Spain; [Moller, Peter R.] Univ Copenhagen, Nat Hist Museum Denmark, Copenhagen, Denmark</t>
  </si>
  <si>
    <t>Autonomous University of Barcelona; University of Copenhagen</t>
  </si>
  <si>
    <t>Corbella, C (corresponding author), Univ Autonoma Barcelona, Fac Biociencies, Unitat Zool, Grp Biodiversitat Anim, E-08193 Barcelona, Spain.</t>
  </si>
  <si>
    <t>ceciliacorbella@gmail.com</t>
  </si>
  <si>
    <t>Møller, Peter/A-8807-2013</t>
  </si>
  <si>
    <t>Møller, Peter/0000-0002-0177-0977; Corbella Felip, Cecilia/0000-0001-7502-5833</t>
  </si>
  <si>
    <t>SYNTHESYS Project - European Community Research Infrastructure Action under the FP7 'Capacities' Programme</t>
  </si>
  <si>
    <t>This research received support from the SYNTHESYS Project (http://www.synthesys.info/) which is financed by European Community Research Infrastructure Action under the FP7 'Capacities' Programme.</t>
  </si>
  <si>
    <t>TAYLOR &amp; FRANCIS AS</t>
  </si>
  <si>
    <t>OSLO</t>
  </si>
  <si>
    <t>KARL JOHANS GATE 5, NO-0154 OSLO, NORWAY</t>
  </si>
  <si>
    <t>1745-1000</t>
  </si>
  <si>
    <t>1745-1019</t>
  </si>
  <si>
    <t>MAR BIOL RES</t>
  </si>
  <si>
    <t>Mar. Biol. Res.</t>
  </si>
  <si>
    <t>10.1080/17451000.2014.894245</t>
  </si>
  <si>
    <t>Ecology; Marine &amp; Freshwater Biology</t>
  </si>
  <si>
    <t>AU9NJ</t>
  </si>
  <si>
    <t>WOS:000345920300006</t>
  </si>
  <si>
    <t>Kim, SH; Kim, DJ</t>
  </si>
  <si>
    <t>IEEE</t>
  </si>
  <si>
    <t>Kim, Seung Hee; Kim, Duk-jin</t>
  </si>
  <si>
    <t>ASSESSMENT OF TANDEM-X INTERFEROMETRY OVER THE MARGINAL REGION OF ANTARCTIC ICE SHEET</t>
  </si>
  <si>
    <t>2015 IEEE INTERNATIONAL GEOSCIENCE AND REMOTE SENSING SYMPOSIUM (IGARSS)</t>
  </si>
  <si>
    <t>IEEE International Symposium on Geoscience and Remote Sensing IGARSS</t>
  </si>
  <si>
    <t>IEEE International Geoscience and Remote Sensing Symposium (IGARSS)</t>
  </si>
  <si>
    <t>JUL 26-31, 2015</t>
  </si>
  <si>
    <t>Milan, ITALY</t>
  </si>
  <si>
    <t>TanDEM-X; interferomtry; IceBridge; Antarctic ice sheet; coherence</t>
  </si>
  <si>
    <t>TanDEM mission enables the generation of high resolution digital elevation model over fast changing surfaces such as the Antarctic ice sheets. This study assesses the surface elevation over the marginal region of Thwaites Glacier in West Antarctica. The absolute height of SAR interferometry was derived by utilizing CryoSat-2 radar altimeter over the same region with minimizing temporal differences between the datasets. Then, the derived heights are compared with the airborne laser and radar altimetry data from the Operation IceBridge. The results show that surface and coherence are two main factors causing height offsets between the datasets, however, each effect must be separated for more accurate analysis.</t>
  </si>
  <si>
    <t>[Kim, Seung Hee; Kim, Duk-jin] Seoul Natl Univ, Sch Earth &amp; Environm Sci, Seoul 151, South Korea</t>
  </si>
  <si>
    <t>Seoul National University (SNU)</t>
  </si>
  <si>
    <t>Kim, SH (corresponding author), Seoul Natl Univ, Sch Earth &amp; Environm Sci, Seoul 151, South Korea.</t>
  </si>
  <si>
    <t>345 E 47TH ST, NEW YORK, NY 10017 USA</t>
  </si>
  <si>
    <t>2153-6996</t>
  </si>
  <si>
    <t>978-1-4799-7929-5</t>
  </si>
  <si>
    <t>INT GEOSCI REMOTE SE</t>
  </si>
  <si>
    <t>Engineering, Electrical &amp; Electronic; Geosciences, Multidisciplinary; Remote Sensing</t>
  </si>
  <si>
    <t>Engineering; Geology; Remote Sensing</t>
  </si>
  <si>
    <t>BE4GM</t>
  </si>
  <si>
    <t>WOS:000371696702045</t>
  </si>
  <si>
    <t>Schmid, T; López-Martínez, J; Guillaso, S; D'Hondt, O; Koch, M; Mink, S; Nieto, A; Serrano, E</t>
  </si>
  <si>
    <t>Schmid, T.; Lopez-Martinez, J.; Guillaso, S.; D'Hondt, O.; Koch, M.; Mink, S.; Nieto, A.; Serrano, E.</t>
  </si>
  <si>
    <t>DISTRIBUTION OF GLACIAL AND PERIGLACIAL FEATURES WITHIN ICE-FREE AREAS SURROUNDING MAXWELL BAY (SOUTH SHETLAND ISLANDS) USING POLARIMETRIC RADARSAT-2 DATA</t>
  </si>
  <si>
    <t>Periglacial; RADARSAT-2; polarimetry; Antarctic ice-free areas; South Shetland Islands</t>
  </si>
  <si>
    <t>PENINSULA; LANDFORMS</t>
  </si>
  <si>
    <t>Active periglacial processes and landforms are common within the Northern Antarctic Peninsula region and are becoming the focus of interest for studying changes occurring to permafrost. The objective of this study was to identify and characterize glacial and periglacial surface features with fully polarimetric SAR C band RADARSAT-2 data in ice-free regions surrounding Maxwell Bay, South Shetland Islands. Extraction of polarimetric parameters, a selection of field based training sites and a supervised classification approach, were chosen to determine the spatial distribution of the different geomorphological surface features. These results show the identification of complex and relatively small scale geomorphological features such as periglacial landforms that are an important indicator of the presence of permafrost.</t>
  </si>
  <si>
    <t>[Schmid, T.] CIEMAT, Avda Complutense 40, Madrid 28040, Spain; [Lopez-Martinez, J.; Mink, S.; Nieto, A.] Univ Autonoma Madrid, Fac Ciencias, Dept Geol &amp; Geoquim, E-28049 Madrid, Spain; [Guillaso, S.; D'Hondt, O.] Tech Univ Berlin, Comp Vis &amp; Remote Sensing Grp, Off MAR 6 5, Berlin, Germany; [Koch, M.] Boston Univ, Ctr Remote Sensing, Boston, MA 02215 USA; [Mink, S.] Inst Geol &amp; Minero Espana, Madrid 28003, Spain; [Serrano, E.] Univ Valladolid, Dept Geog, E-47011 Valladolid, Spain</t>
  </si>
  <si>
    <t>Centro de Investigaciones Energeticas, Medioambientales Tecnologicas; Autonomous University of Madrid; Technical University of Berlin; Boston University; Universidad de Valladolid</t>
  </si>
  <si>
    <t>Schmid, T (corresponding author), CIEMAT, Avda Complutense 40, Madrid 28040, Spain.</t>
  </si>
  <si>
    <t>thomas.schmid@ciemat.es; jeronimo.lopez@uam.es; stephane.guillaso@tu-berlin.de; mkoch@bu.edu; s.mink@igme.es; serranoe@fyl.uva.es</t>
  </si>
  <si>
    <t>Schmid, Thomas/L-3397-2014; Lopez-Martinez, Jeronimo/C-5744-2011; SERRANO, ENRIQUE/AAH-7986-2020; Koch, Magaly/B-3467-2017</t>
  </si>
  <si>
    <t>Schmid, Thomas/0000-0002-2849-4730; Lopez-Martinez, Jeronimo/0000-0002-1750-8287; SERRANO, ENRIQUE/0000-0001-9760-3876; Koch, Magaly/0000-0002-6186-1619; Guillaso, Stephane/0000-0001-9805-9390</t>
  </si>
  <si>
    <t>WOS:000371696703139</t>
  </si>
  <si>
    <t>Rott, H; Wuite, J; Floricioiu, D; Nagler, T; Scheiblauer, S</t>
  </si>
  <si>
    <t>Rott, Helmut; Wuite, Jan; Floricioiu, Dana; Nagler, Thomas; Scheiblauer, Stefan</t>
  </si>
  <si>
    <t>SYNERGY OF TANDEM-X DEM DIFFERENCING AND INPUT-OUTPUT METHOD FOR GLACIER MONITORING</t>
  </si>
  <si>
    <t>Glacier; mass balance; topography; SAR; TanDEM-X</t>
  </si>
  <si>
    <t>ICE SHELF</t>
  </si>
  <si>
    <t>The TanDEM-X/TerraSAR-X satellite formation, applying bistatic radar interferometry, delivers precise, spatially detailed topographic data, an excellent basis for mapping glacier volume change. Repeat pass data of these satellites are used for mapping glacier motion, key information for investigating the dynamic response of glaciers to changing boundary conditions. The synergistic analysis of these data sets provides main glacier parameters: the total net mass balance at annual and multi-annual intervals, the surface mass balance providing the link to atmospheric forcing, and ice export due to calving which is sensitive to changes in ice dynamics and ocean properties. The methods and capabilities of the TanDEM-X mission for delivering these parameters are described. The application is demonstrated for outlet glaciers of the Antarctic Peninsula that have been subject to major dynamic instability in recent years after collapse of buttressing ice shelves.</t>
  </si>
  <si>
    <t>[Rott, Helmut; Wuite, Jan; Nagler, Thomas; Scheiblauer, Stefan] ENVEO IT, Innsbruck, Austria; [Rott, Helmut] Univ Innsbruck, A-6020 Innsbruck, Austria; [Floricioiu, Dana] DLR IMF, Oberpfaffenhofen, Germany</t>
  </si>
  <si>
    <t>University of Innsbruck</t>
  </si>
  <si>
    <t>Rott, H (corresponding author), ENVEO IT, Innsbruck, Austria.</t>
  </si>
  <si>
    <t>Wuite, Jan/0000-0001-9333-1586</t>
  </si>
  <si>
    <t>WOS:000371696705072</t>
  </si>
  <si>
    <t>Magrani, F; Neto, AA; Vieira, R</t>
  </si>
  <si>
    <t>Magrani, Fabio; Neto, Arthur Ayres; Vieira, Rosemary</t>
  </si>
  <si>
    <t>Glaciomarine Sedimentation and Submarine Geomorphology in Admiralty Bay, South Shetland Islands, Antarctica</t>
  </si>
  <si>
    <t>2015 IEEE/OES ACOUSTICS IN UNDERWATER GEOSCIENCES SYMPOSIUM</t>
  </si>
  <si>
    <t>IEEE/OES Acoustics in Underwater Geosciences Symposium (RIO Acoustics)</t>
  </si>
  <si>
    <t>JUL 29-31, 2015</t>
  </si>
  <si>
    <t>Rio de Janeiro, BRAZIL</t>
  </si>
  <si>
    <t>Glaciomarine Sedimentation; Submarine Glacial Landforms; Admiralty Bay; Multibeam Bathymetry; High-Resolution Seismic; Last Glacial Maximum</t>
  </si>
  <si>
    <t>CONTINENTAL-MARGIN; ECHO CHARACTER; PENINSULA</t>
  </si>
  <si>
    <t>This work consists on the integration and interpretation of high-resolution seismic profiles, geological sampling and multibeam bathymetry in order to analyse and understand the evolution of the deglaciation of Admiralty Bay, South Shetland Islands, Antarctica, since the Last Glacial Maximum (LGM). Data were obtained from three expeditions to Antarctica between 2009 and 2013, totalling 500 km of seismic lines and five geological cores. The characterization of the bottom geology was performed by analysing the echocharacters and the sedimentary thickness of the glaciomarine deposits. Its correlation with the collected samples provided interpretation of the depositional paleoenvironments, allowing the reconstruction and evolution of the glaciers since the LGM and the recognition of glaciomarine processes. Multibeam bathymetry also provided records of submarine landforms related to glacial events and changes in positions of glaciers in the region. In this way, we ought to answer the question: which glaciomarine records are present in Admiralty Bay that can broaden our understanding of the evolution of its deglaciation during the advances and retreats of glaciers that once dominated the fjord, and its sedimentary processes? Four different echocharacters have been identified. Echoes I and II show good resolution and are characterized by continuous and sharp echoes with sub-parallel reflections and the presence of glaciomarine muds. Very prolonged echoes and absence of sub-parallel reflectors characterizes Echoes III and IV. Eco III is associated with the shallower portions of the bay, with little sediment thickness, sandier content and presence of ice rafted debris. Eco IV is associated with morainical banks and grounding zones. Seabed landform features show that the region experienced major glacial advance, with subsequent rapid retreat of the glaciers in the deeper parts of the fjord, followed by slower retreat, with the presence of several recessional moraines in the shallower portions. Moreover, submarine channels identified in the records indicate the contribution of meltwater sedimentation in the fjord. The presence of morainical banks up to 640 m water depth shows possible grounding of glaciers at this position during the LGM.</t>
  </si>
  <si>
    <t>[Magrani, Fabio; Neto, Arthur Ayres; Vieira, Rosemary] Univ Fed Fluminense, Inst Geociencias, Lab Proc Sedimentares &amp; Ambientais, LAPSA, Niteroi, RJ, Brazil</t>
  </si>
  <si>
    <t>Universidade Federal Fluminense</t>
  </si>
  <si>
    <t>Magrani, F (corresponding author), Univ Fed Fluminense, Inst Geociencias, Lab Proc Sedimentares &amp; Ambientais, LAPSA, Niteroi, RJ, Brazil.</t>
  </si>
  <si>
    <t>fabiomagrani@gmail.com; aayres@id.uff.br; rosemaryvieira@id.uff.br</t>
  </si>
  <si>
    <t>Neto, Arthur Ayres/AAL-2963-2021</t>
  </si>
  <si>
    <t>Neto, Arthur Ayres/0000-0002-2982-245X</t>
  </si>
  <si>
    <t>LAPSA/UFF; INCT- CRIOSFERA; CNPq; PROANTAR (Brazilian Antarctic Program); Brazilian Navy</t>
  </si>
  <si>
    <t>LAPSA/UFF; INCT- CRIOSFERA; CNPq(Conselho Nacional de Desenvolvimento Cientifico e Tecnologico (CNPQ)); PROANTAR (Brazilian Antarctic Program); Brazilian Navy</t>
  </si>
  <si>
    <t>We thank LAPSA/UFF and INCT- CRIOSFERA for all their support, coordination and, along with CNPq for funding the project. We thank the PROANTAR (Brazilian Antarctic Program) and the Brazilian Navy for their support and for making the project happens.</t>
  </si>
  <si>
    <t>978-1-4673-7019-6</t>
  </si>
  <si>
    <t>Acoustics; Geosciences, Multidisciplinary; Oceanography</t>
  </si>
  <si>
    <t>Acoustics; Geology; Oceanography</t>
  </si>
  <si>
    <t>BI4ZY</t>
  </si>
  <si>
    <t>WOS:000412164600031</t>
  </si>
  <si>
    <t>Suparta, W; Zainudin, SK</t>
  </si>
  <si>
    <t>Singh, M; Mansor, MF; Suparta, W; Bahari, SA; Shariff, ARM</t>
  </si>
  <si>
    <t>Suparta, Wayan; Zainudin, Siti Khalijah</t>
  </si>
  <si>
    <t>Precipitation Analysis Using GPS Meteorology Over Antarctic Peninsula</t>
  </si>
  <si>
    <t>2015 INTERNATIONAL CONFERENCE ON SPACE SCIENCE AND COMMUNICATION (ICONSPACE)</t>
  </si>
  <si>
    <t>International Conference on Space Science and Communication</t>
  </si>
  <si>
    <t>4th International Conference on Space Science and Communication (IconSpace)</t>
  </si>
  <si>
    <t>AUG 10-12, 2015</t>
  </si>
  <si>
    <t>Langkawi, MALAYSIA</t>
  </si>
  <si>
    <t>Global Positioning System (GPS); Precipitable water vapor (PWV); Antarctic Peninsula; Extreme Precipitation</t>
  </si>
  <si>
    <t>This paper mainly discusses the atmospheric precipitable water vapor (PWV) variation using a ground-based GPS receiver at Antarctic Peninsula to analyze extreme precipitation. Base Bernardo O'Higgins (OHI3), Palmer (PALM) and Rothera (ROTH) stations located around Antarctic Peninsula were selected for study. We looked into extreme participation of more than 0.5 mm/hr for three selected days in the months of March and April in the year 2013 where they were categorized as Case 1 (Day 63), Case 2 (Day 90), and Case 3 (Day 104). The GPS PWV showed a delay about 13 to 17 hours as compared to the precipitation peak taken from the Tropical Rainfall Measurement Mission (TRMM). GPS PWV was also compared with the surface meteorological data in order to study the precipitation changes. It is found that Case 1 and Case 3 gave similar change while a small difference was detected in Case 2. The changes were supported by precipitation map from NCEP/NCAR where extreme precipitation occurred at PALM for Case 1 and Case 3, and at ROTH for Case 2.</t>
  </si>
  <si>
    <t>[Suparta, Wayan; Zainudin, Siti Khalijah] Univ Kebangsaan Malaysia, Inst Climate Change, Space Sci Ctr ANGKASA, Bangi 43600, Selangor Darul, Malaysia; [Suparta, Wayan] Univ Malaya, NARC, Kuala Lumpur 50603, Malaysia</t>
  </si>
  <si>
    <t>Universiti Kebangsaan Malaysia; Universiti Malaya</t>
  </si>
  <si>
    <t>Suparta, W (corresponding author), Univ Kebangsaan Malaysia, Inst Climate Change, Space Sci Ctr ANGKASA, Bangi 43600, Selangor Darul, Malaysia.</t>
  </si>
  <si>
    <t>wayan@ukm.edu.my</t>
  </si>
  <si>
    <t>SUPARTA, WAYAN/K-3110-2013</t>
  </si>
  <si>
    <t>SUPARTA, WAYAN/0000-0002-6193-1867</t>
  </si>
  <si>
    <t>2165-4301</t>
  </si>
  <si>
    <t>978-1-4799-1940-6</t>
  </si>
  <si>
    <t>INT CONF SPACE SCI</t>
  </si>
  <si>
    <t>Engineering, Electrical &amp; Electronic; Telecommunications</t>
  </si>
  <si>
    <t>Engineering; Telecommunications</t>
  </si>
  <si>
    <t>BF6CS</t>
  </si>
  <si>
    <t>WOS:000382974000103</t>
  </si>
  <si>
    <t>Zitto, ME; Barrucand, M; Piotrkowski, R; Canziani, P</t>
  </si>
  <si>
    <t>Zitto, Miguel E.; Barrucand, Mariana; Piotrkowski, Rosa; Canziani, Pablo</t>
  </si>
  <si>
    <t>Variability at low frequencies with wavelet transform and empirical mode decomposition: aplication to climatological series</t>
  </si>
  <si>
    <t>2015 XVI WORKSHOP ON INFORMATION PROCESSING AND CONTROL (RPIC)</t>
  </si>
  <si>
    <t>Spanish</t>
  </si>
  <si>
    <t>16th Workshop on Information Processing and Control (RPIC)</t>
  </si>
  <si>
    <t>OCT 06-09, 2015</t>
  </si>
  <si>
    <t>Corboda, ARGENTINA</t>
  </si>
  <si>
    <t>time series; wavelet transform; empirical mode decomposition; Orcadas temperature</t>
  </si>
  <si>
    <t>The aim of this study is to detect variability at low frequencies and trend of time series connected with climate using two different processing techniques. In previous work the wavelet transform and models of pure oscillations with statistical parameter setting were applied to the series of surface temperatures of the Orcadas Antarctic Station (Argentina) over 110 years. Periods of about 20 and 50 years were detected. The analysis highlighted the limitations of the usual calculations of trend involving a few decades if there is present a significant variability. Periods of the order of 150-200 years or more were also obtained, although they do not represent scales with physical meaning but the best simple oscillation which fits the nonlinear tendency. To improve the understanding of the long term behavior of the temperature series, the empirical mode decomposition method was applied in the present work to the same data and the trend or stationary component was obtained with more precision. The result of the comparison of trends was promising. It is advantageous to apply different methods to the same series in order to reveal complementary characteristics.</t>
  </si>
  <si>
    <t>[Zitto, Miguel E.] UTN FRBA, Unidad Invest &amp; Desarrollo Ingn, Fac Ingn, UBA, Caba, Argentina; [Barrucand, Mariana] Consejo Nacl Invest Cient &amp; Tecn, UBA, DCAO FCEyN, Caba, Argentina; [Piotrkowski, Rosa] UNSAM, UBA, Fac Ingn, Escuela Ciencia &amp; Tecnol, Buenos Aires, DF, Argentina; [Canziani, Pablo] Consejo Nacl Invest Cient &amp; Tecn, UTN FRBA, Unidad Invest &amp; Desarrollo Ingn, Caba, Argentina</t>
  </si>
  <si>
    <t>University of Buenos Aires; Consejo Nacional de Investigaciones Cientificas y Tecnicas (CONICET); University of Buenos Aires; Consejo Nacional de Investigaciones Cientificas y Tecnicas (CONICET)</t>
  </si>
  <si>
    <t>Zitto, ME (corresponding author), UTN FRBA, Unidad Invest &amp; Desarrollo Ingn, Fac Ingn, UBA, Caba, Argentina.</t>
  </si>
  <si>
    <t>mzitto@fi.uba.ar</t>
  </si>
  <si>
    <t>978-1-4673-8466-7</t>
  </si>
  <si>
    <t>Automation &amp; Control Systems; Computer Science, Information Systems; Engineering, Electrical &amp; Electronic</t>
  </si>
  <si>
    <t>Automation &amp; Control Systems; Computer Science; Engineering</t>
  </si>
  <si>
    <t>BH2QU</t>
  </si>
  <si>
    <t>WOS:000399132800043</t>
  </si>
  <si>
    <t>Bates, ML; Cropp, RA; Hawker, DW</t>
  </si>
  <si>
    <t>Weber, T; McPhee, MJ; Anderssen, RS</t>
  </si>
  <si>
    <t>Bates, Michael L.; Cropp, Roger A.; Hawker, Darryl W.</t>
  </si>
  <si>
    <t>Formulating chemical fugacity for general circulation models</t>
  </si>
  <si>
    <t>21ST INTERNATIONAL CONGRESS ON MODELLING AND SIMULATION (MODSIM2015)</t>
  </si>
  <si>
    <t>21st International Congress on Modelling and Simulation (MODSIM) held jointly with the 23rd National Conference of the Australian-Society-for-Operations-Research / DSTO led Defence Operations Research Symposium (DORS</t>
  </si>
  <si>
    <t>NOV 29-DEC 04, 2015</t>
  </si>
  <si>
    <t>Gold Coast, AUSTRALIA</t>
  </si>
  <si>
    <t>General circulation model; fugacity modelling; persistent organic pollutants</t>
  </si>
  <si>
    <t>OCEAN</t>
  </si>
  <si>
    <t>Fugacity is identical to the partial pressure of an ideal gas in air, however, for real gases fugacity is much more accurate than partial pressure in chemical equilibrium calculations. Since the first use of environmental chemical fugacity models in the late 1970' s they have been utilised extensively in the study of the local and global partitioning and distribution of chemicals in the environment. Global climate models are becoming an increasingly important tool in understanding the effects of climate change. Climate models are now being applied to understanding the distribution of persistent organic pollutants (POPs). POPs are a class of toxic chemicals that can bioconcentrate, bioaccumulate and biomagnify. Chemical fugacity is being used to calculate the inter-phase fluxes, however, the intra-phase fluxes are still being calculated using chemical concentration. Here we formulate equations that are suitable for the solution of intra-phase chemical fluxes in general circulation models using a chemical fugacity approach. Using a relaxation experiment in a one-dimensional (in the vertical) ocean, we examine how the the fugacity approach compares to the standard approach of using chemical concentration. We find that there are two major differences. Firstly, in the equilibrium calculation the standard method homogenises the concentration in the water column, while the fugacity approach has a depth dependent concentration with a uniform fugacity. Secondly, the timescale of equilibration is different, even though the turbulent diffusivity is the same in both simulations. These results suggest that climate models that model POPs should use a fugacity approach for the calculation of intra-phase fluxes, and not only inter-phase fluxes.</t>
  </si>
  <si>
    <t>[Bates, Michael L.; Cropp, Roger A.; Hawker, Darryl W.] Griffith Univ, Griffith Sch Environm, Brisbane, Qld 4111, Australia</t>
  </si>
  <si>
    <t>Griffith University</t>
  </si>
  <si>
    <t>Bates, ML (corresponding author), Griffith Univ, Griffith Sch Environm, Brisbane, Qld 4111, Australia.</t>
  </si>
  <si>
    <t>m.bates@griffith.edu.au</t>
  </si>
  <si>
    <t>Cropp, Roger/C-1019-2008</t>
  </si>
  <si>
    <t>Australian Antarctic Science [4121]</t>
  </si>
  <si>
    <t>Australian Antarctic Science</t>
  </si>
  <si>
    <t>This project was made possible through funding from Australian Antarctic Science grant number 4121. Plotting was done using matplotlib (Hunter, 2007).</t>
  </si>
  <si>
    <t>MODELLING &amp; SIMULATION SOC AUSTRALIA &amp; NEW ZEALAND INC</t>
  </si>
  <si>
    <t>CHRISTCHURCH</t>
  </si>
  <si>
    <t>MSSANZ, CHRISTCHURCH, 00000, NEW ZEALAND</t>
  </si>
  <si>
    <t>978-0-9872143-5-5</t>
  </si>
  <si>
    <t>Computer Science, Interdisciplinary Applications; Operations Research &amp; Management Science; Mathematics, Applied</t>
  </si>
  <si>
    <t>Computer Science; Operations Research &amp; Management Science; Mathematics</t>
  </si>
  <si>
    <t>BI2XC</t>
  </si>
  <si>
    <t>WOS:000410535400175</t>
  </si>
  <si>
    <t>Righter, K; Corrigan, C; McCoy, T; Harvey, R</t>
  </si>
  <si>
    <t>Righter, K; Corrigan, CM; McCoy, TJ; Harvey, RP</t>
  </si>
  <si>
    <t>Righter, Kevin; Corrigan, Cari; McCoy, Tim; Harvey, Ralph</t>
  </si>
  <si>
    <t>35 Seasons of US Antarctic Meteorites (1976-2010) A Pictorial Guide to the Collection PREFACE</t>
  </si>
  <si>
    <t>35 SEASONS OF U.S. ANTARCTIC METEORITES (1976-2010): A PICTORIAL GUIDE TO THE COLLECTION</t>
  </si>
  <si>
    <t>American Geophysical Union Special Publications</t>
  </si>
  <si>
    <t>Editorial Material; Book Chapter</t>
  </si>
  <si>
    <t>[Righter, Kevin] NASA, Lyndon B Johnson Space Ctr, Mailcode KT, Houston, TX 77058 USA; [Corrigan, Cari; McCoy, Tim] Smithsonian Museum Nat Hist, Washington, DC USA; [Harvey, Ralph] Case Western Reserve Univ, Dept Earth Environm &amp; Planetary Sci, Cleveland, OH 44106 USA</t>
  </si>
  <si>
    <t>National Aeronautics &amp; Space Administration (NASA); NASA Johnson Space Center; Smithsonian Institution; Smithsonian National Museum of Natural History; University System of Ohio; Case Western Reserve University</t>
  </si>
  <si>
    <t>Righter, K (corresponding author), NASA, Lyndon B Johnson Space Ctr, Mailcode KT, Houston, TX 77058 USA.</t>
  </si>
  <si>
    <t>978-1-118-79847-8; 978-1-118-79832-4</t>
  </si>
  <si>
    <t>AM GEOPHYS UNION SP</t>
  </si>
  <si>
    <t>V</t>
  </si>
  <si>
    <t>VI</t>
  </si>
  <si>
    <t>Astronomy &amp; Astrophysics; Geochemistry &amp; Geophysics</t>
  </si>
  <si>
    <t>BD6LC</t>
  </si>
  <si>
    <t>WOS:000362338600001</t>
  </si>
  <si>
    <t>McSween, HY; Harvey, RP; Corrigan, CM</t>
  </si>
  <si>
    <t>McSween, Harry Y., Jr.; Harvey, Ralph P.; Corrigan, Catherine M.</t>
  </si>
  <si>
    <t>Meteorites from Mars, via Antarctica</t>
  </si>
  <si>
    <t>ALLAN HILLS 84001; ALEXANDRA RANGE 94201; MARTIAN METEORITE; NAKHLITE METEORITES; OXYGEN FUGACITY; LOW-TEMPERATURE; SNC METEORITES; GEOCHEMICAL EVIDENCE; MINERAL CHEMISTRY; PAST LIFE</t>
  </si>
  <si>
    <t>[McSween, Harry Y., Jr.] Univ Tennessee, Dept Earth &amp; Planetary Sci, Knoxville, TN 37996 USA; [Harvey, Ralph P.] Case Western Reserve Univ, Dept Earth Environm &amp; Planetary Sci, Cleveland, OH 44106 USA; [Corrigan, Catherine M.] Smithsonian Inst, Dept Mineral Sci, Natl Museum Nat Hist, Washington, DC 20560 USA</t>
  </si>
  <si>
    <t>University of Tennessee System; University of Tennessee Knoxville; University System of Ohio; Case Western Reserve University; Smithsonian Institution; Smithsonian National Museum of Natural History</t>
  </si>
  <si>
    <t>McSween, HY (corresponding author), Univ Tennessee, Dept Earth &amp; Planetary Sci, Knoxville, TN 37996 USA.</t>
  </si>
  <si>
    <t>WOS:000362338600008</t>
  </si>
  <si>
    <t>Guillaso, S; Schmid, T; López-Martínez, J; D'Hondt, O</t>
  </si>
  <si>
    <t>Schreier, G; Skrovseth, PE; Staudenrausch, H</t>
  </si>
  <si>
    <t>Guillaso, S.; Schmid, T.; Lopez-Martinez, J.; D'Hondt, O.</t>
  </si>
  <si>
    <t>APPLICATION OF A NEW POLARIMETRIC FILTER TO RADARSAT-2 DATA OF DECEPTION ISLAND (ANTARCTIC PENINSULA REGION) FOR SURFACE COVER CHARACTERIZATION</t>
  </si>
  <si>
    <t>36TH INTERNATIONAL SYMPOSIUM ON REMOTE SENSING OF ENVIRONMENT</t>
  </si>
  <si>
    <t>International Archives of the Photogrammetry Remote Sensing and Spatial Information Sciences</t>
  </si>
  <si>
    <t>36th International Symposium on Remote Sensing of the Environment (ISRSE)</t>
  </si>
  <si>
    <t>MAY 11-15, 2015</t>
  </si>
  <si>
    <t>Berlin, GERMANY</t>
  </si>
  <si>
    <t>SAR; Antarctica; Surface characterization; Geomorphology; Soils; Polarimetry; Speckle Filtering; Image interpretation</t>
  </si>
  <si>
    <t>In this paper, we describe a new approach to analyse and quantify land surface covers on Deception Island, a volcanic island located in the Northern Antarctic Peninsula region by means of fully polarimetric RADARSAT-2 (C-Band) SAR image. Data have been filtered by a new polarimetric speckle filter (PolSAR-BLF) that is based on the bilateral filter. This filter is locally adapted to the spatial structure of the image by relying on pixel similarities in both the spatial and the radiometric domains. Thereafter different polarimetric features have been extracted and selected before being geocoded. These polarimetric parameters serve as a basis for a supervised classification using the Support Vector Machine (SVM) classifier. Finally, a map of landform is generated based on the result of the SVM results.</t>
  </si>
  <si>
    <t>[Guillaso, S.; D'Hondt, O.] Tech Univ Berlin, Comp Vis &amp; Remote Sensing, Berlin, Germany; [Schmid, T.] CIEMAT, Madrid, Spain; [Lopez-Martinez, J.] Univ Autonoma Madrid, E-28049 Madrid, Spain</t>
  </si>
  <si>
    <t>Technical University of Berlin; Centro de Investigaciones Energeticas, Medioambientales Tecnologicas; Autonomous University of Madrid</t>
  </si>
  <si>
    <t>Guillaso, S (corresponding author), Tech Univ Berlin, Comp Vis &amp; Remote Sensing, Berlin, Germany.</t>
  </si>
  <si>
    <t>stephane.guillaso@tu-berlin.de; thomas.schmid@ciemat.es; jeronimo.lopez@uam.es</t>
  </si>
  <si>
    <t>Lopez-Martinez, Jeronimo/C-5744-2011; Schmid, Thomas/L-3397-2014</t>
  </si>
  <si>
    <t>Lopez-Martinez, Jeronimo/0000-0002-1750-8287; Schmid, Thomas/0000-0002-2849-4730; Guillaso, Stephane/0000-0001-9805-9390</t>
  </si>
  <si>
    <t>BAHNHOFSALLE 1E, GOTTINGEN, 37081, GERMANY</t>
  </si>
  <si>
    <t>2194-9034</t>
  </si>
  <si>
    <t>INT ARCH PHOTOGRAMM</t>
  </si>
  <si>
    <t>W3</t>
  </si>
  <si>
    <t>10.5194/isprsarchives-XL-7-W3-1035-2015</t>
  </si>
  <si>
    <t>Environmental Sciences; Geography, Physical; Remote Sensing; Imaging Science &amp; Photographic Technology</t>
  </si>
  <si>
    <t>Environmental Sciences &amp; Ecology; Physical Geography; Remote Sensing; Imaging Science &amp; Photographic Technology</t>
  </si>
  <si>
    <t>BF3EG</t>
  </si>
  <si>
    <t>WOS:000380531900154</t>
  </si>
  <si>
    <t>Pardo Abad, CJ; Nieto Codina, A</t>
  </si>
  <si>
    <t>Pardo Abad, Carlos J.; Nieto Codina, Aurelio</t>
  </si>
  <si>
    <t>Antarctic Tourism: Nature and Science in the limits of Contemporary Tourism</t>
  </si>
  <si>
    <t>ANALES DE GEOGRAFIA DE LA UNIVERSIDAD COMPLUTENSE</t>
  </si>
  <si>
    <t>Antarctica; ecotourism; scientific tourism; scientific bases</t>
  </si>
  <si>
    <t>For half a century Antarctic tourism has turned from being an elitist activity to become an economic sector that attracts a growing number of travelers. At present, the current human presence on the Antarctic continent brings about a dichotomy; on the one hand, nature tourists cruises, which may or may not land in Antarctica; on the other hand, scientific missions (another example of tourists), that in many cases maintain a continuous presence throughout the year. These two groups are related in the sense that both inflect undoubted pressure on the environment that international law seeks to regulate. In this paper, we describe both in their geographical contexts and show how they have evolved over the past decades.</t>
  </si>
  <si>
    <t>[Pardo Abad, Carlos J.; Nieto Codina, Aurelio] Univ Nacl Educ Distancia, Dept Geog, Madrid, Spain</t>
  </si>
  <si>
    <t>Universidad Nacional de Educacion a Distancia (UNED)</t>
  </si>
  <si>
    <t>Pardo Abad, CJ (corresponding author), Univ Nacl Educ Distancia, Dept Geog, Madrid, Spain.</t>
  </si>
  <si>
    <t>cjpardo@geo.uned.es; acodina@geo.uned.es</t>
  </si>
  <si>
    <t>UNIV COMPLUTENSE MADRID, SERVICIO PUBLICACIONES</t>
  </si>
  <si>
    <t>MADRID</t>
  </si>
  <si>
    <t>CIUDAD UNIV, OBISPO TREJO 3, MADRID, 28040, SPAIN</t>
  </si>
  <si>
    <t>0211-9803</t>
  </si>
  <si>
    <t>1988-2378</t>
  </si>
  <si>
    <t>AN GEOGR UNIV COMPLU</t>
  </si>
  <si>
    <t>An. Geogr. Univ. Complut.</t>
  </si>
  <si>
    <t>10.5209/rev_AGUC.2015.v35.n1.48967</t>
  </si>
  <si>
    <t>Geography</t>
  </si>
  <si>
    <t>V22YL</t>
  </si>
  <si>
    <t>WOS:000215057000007</t>
  </si>
  <si>
    <t>Separation of micro-phytoplankton from inorganic particulate in Antarctic seawater (Ross Sea) for the determination of Cd, Pb and Cu: optimization of the analytical methodology</t>
  </si>
  <si>
    <t>ANODIC-STRIPPING VOLTAMMETRY; TRACE-ELEMENTS; COASTAL SEAWATER; HEAVY-METALS; CADMIUM; BIOACCUMULATION; EVOLUTION; COMPLEXATION; COMMUNITY; STRONTIUM</t>
  </si>
  <si>
    <t>The aim of this work was the optimization and validation of an analytical methodology for the determination of Cd, Pb and Cu in Antarctic phytoplankton that provide the physical separation of algal components from inorganic particulate, followed by the microwave digestion to make the sample suitable for voltammetric analysis. The physical separation of phytoplankton from non-algal particulate, referring to a method of Utermohl, proved to be an accurate method for the separation of micro-phytoplankton larger than 2 mu m. The fraction in mass of micro-phytoplankton relating to the whole particulate phase can vary considerably (from 7% to 100%) depending on the sampling period (presence/absence of algal cells) and on the depth. This result shows that the separation of algal particulate from the inorganic one is necessary to know the distribution of heavy metals inside the particulate phase. The method of choice for the microwave digestion of phytoplankton cells is the mineralization with HCl and H2O2. Compared to the digestion with HNO3 and HF, it permits the determination of Cd, Pb and Cu by square wave anodic stripping voltammetry without successive extreme dilution of the sample, reducing the time of analysis and improving accuracy and precision of the analytical technique. First preliminary data on heavy metal concentration in micro-phytoplankton of Antarctic seawater (Ross Sea) are: Cd, similar to 0.30 mg g(-1) dw (dry weight), Pb, 0.13-0.24 mu g g(-1) dw, and Cu, 1.2-1.7 mu g g(-1) dw.</t>
  </si>
  <si>
    <t>Scarponi, Giuseppe/AAQ-6394-2021; Illuminati, Silvia/GXZ-5038-2022; Illuminati, Silvia/T-7873-2019</t>
  </si>
  <si>
    <t>Scarponi, Giuseppe/0000-0003-2932-0596; Illuminati, Silvia/0000-0001-6465-5477; Romagnoli, Tiziana/0009-0009-5181-987X</t>
  </si>
  <si>
    <t>Italian Programma Nazionale di Ricerche in Antartide under the projects on Chemical Contamination; Behavior of microcomponents in the Antarctic Continent in relation to climate change</t>
  </si>
  <si>
    <t>Financial support from the Italian Programma Nazionale di Ricerche in Antartide under the projects on Chemical Contamination and Behavior of microcomponents in the Antarctic Continent in relation to climate change is gratefully acknowledged. Many thanks are due to the technical personnel of ENEA (Ente Nazionale Energia e Ambiente) at Terra Nova Bay and to the scientists of the Antarctic expedition for the sampling activities on site. We are thankful to Prof. Cecilia Totti for her important collaboration.</t>
  </si>
  <si>
    <t>10.1039/c5ay00730e</t>
  </si>
  <si>
    <t>CL4XA</t>
  </si>
  <si>
    <t>WOS:000356959000019</t>
  </si>
  <si>
    <t>Karanovic, I; Sidorov, DA; Marmonier, P</t>
  </si>
  <si>
    <t>Karanovic, Ivana; Sidorov, Dmitry A.; Marmonier, Pierre</t>
  </si>
  <si>
    <t>Zoogeography of the ostracod genus Nannocandona (Podocopa) with description of two new species from Europe and East Asia</t>
  </si>
  <si>
    <t>ANNALES DE LIMNOLOGIE-INTERNATIONAL JOURNAL OF LIMNOLOGY</t>
  </si>
  <si>
    <t>Ostracoda; Candoninae; taxonomy; subterranean waters; parthenogenesis</t>
  </si>
  <si>
    <t>CRUSTACEA; CLASSIFICATION; CHECKLIST; STRATEGY; RIVER; EGGS</t>
  </si>
  <si>
    <t>Candoninae is by far the most diverse ostracod group in subterranean habitats, with many genera which today have no surface water representatives. This subfamily is also peculiar because species tend to have restricted distributions regardless of habitat type, and, unlike other non-marine ostracod lineages, extremely rarely reproduce parthenogenetically. Nannocandona faba Ekman, 1914 is an exception, being originally described from Sweden, but then reported throughout the Holarctic. We study morphological variability of this species here, both based on old museum specimens and on freshly collected material. We propose that the name should only be restricted to the Swedish population, and we describe two new subterranean species: Nannocandona danielopoli n. sp. from Austria, and Nannocandona schornikovi n. sp. from South Korea and the Russian Far East. These descriptions allow us to evaluate records of N. faba in other parts of the Holarctic. A new map of the genus distribution is proposed, as well as a key to species identification. Parthenogenetic reproduction of Candoninae and their general ecology is also discussed.</t>
  </si>
  <si>
    <t>[Karanovic, Ivana] Hanyang Univ, Dept Life Sci, Seoul 133791, South Korea; [Karanovic, Ivana] Univ Tasmania, Inst Marine &amp; Antarctic Studies, Hobart, Tas 7001, Australia; [Sidorov, Dmitry A.] Inst Biol &amp; Soil Sci FEB RAS, Vladivostok 690022, Russia; [Marmonier, Pierre] Univ Lyon 1, CNRS, UMR 5023, LEHNA, F-69622 Villeurbanne, France</t>
  </si>
  <si>
    <t>Hanyang University; University of Tasmania; Russian Academy of Sciences; Federal Scientific Center of the East Asia Terrestrial Biodiversity, Far Eastern Branch of the Russian Academy of Sciences; Centre National de la Recherche Scientifique (CNRS); CNRS - Institute of Ecology &amp; Environment (INEE); Universite Claude Bernard Lyon 1</t>
  </si>
  <si>
    <t>Karanovic, I (corresponding author), Hanyang Univ, Dept Life Sci, Seoul 133791, South Korea.</t>
  </si>
  <si>
    <t>ivana@hanyang.ac.kr</t>
  </si>
  <si>
    <t>Sidorov, Dmitry/L-9664-2016</t>
  </si>
  <si>
    <t>Sidorov, Dmitry/0000-0003-2635-9129</t>
  </si>
  <si>
    <t>National Institute of Biological Resources (NIBR) of Ministry of Environment, Korea [1834-302]; Discovery of Korean Indigenous Species Project, NIBR (National Institute of Biological Resources)</t>
  </si>
  <si>
    <t>National Institute of Biological Resources (NIBR) of Ministry of Environment, Korea; Discovery of Korean Indigenous Species Project, NIBR (National Institute of Biological Resources)</t>
  </si>
  <si>
    <t>Financial support was provided by the National Institute of Biological Resources (NIBR) of Ministry of Environment, Korea (1834-302), Discovery of Korean Indigenous Species Project, NIBR (National Institute of Biological Resources). We would like to thank Dr. Erica Mejlon (Museum of Evolution, Uppsala University) for sending us type material.</t>
  </si>
  <si>
    <t>EDP SCIENCES S A</t>
  </si>
  <si>
    <t>LES ULIS CEDEX A</t>
  </si>
  <si>
    <t>17, AVE DU HOGGAR, PA COURTABOEUF, BP 112, F-91944 LES ULIS CEDEX A, FRANCE</t>
  </si>
  <si>
    <t>0003-4088</t>
  </si>
  <si>
    <t>2100-000X</t>
  </si>
  <si>
    <t>ANN LIMNOL-INT J LIM</t>
  </si>
  <si>
    <t>Ann. Limnol.-Int. J. Limnol.</t>
  </si>
  <si>
    <t>10.1051/limn/2015028</t>
  </si>
  <si>
    <t>Limnology</t>
  </si>
  <si>
    <t>DC2GC</t>
  </si>
  <si>
    <t>WOS:000369034200002</t>
  </si>
  <si>
    <t>Kirkwood, S; Osepian, A; Belova, E; Lee, YS</t>
  </si>
  <si>
    <t>Kirkwood, S.; Osepian, A.; Belova, E.; Lee, Y. -S.</t>
  </si>
  <si>
    <t>High-speed solar wind streams and polar mesosphere winter echoes at Troll, Antarctica</t>
  </si>
  <si>
    <t>Ionosphere; Particle acceleration</t>
  </si>
  <si>
    <t>ENERGY-DISSIPATION RATES; IN-SITU MEASUREMENTS; ELECTRON-PRECIPITATION; MODEL; IONIZATION; ATMOSPHERE; LATITUDES; MIDDLE; RADAR</t>
  </si>
  <si>
    <t>A small, 54 MHz wind-profiler radar, MARA, was operated at Troll, Antarctica (72A degrees S, 2.5A degrees E), continuously from November 2011 to January 2014, covering two complete Antarctic winters. Despite very low power, MARA observed echoes from heights of 55-80 km (polar mesosphere winter echoes, PMWE) on 60% of all winter days (from March to October). This contrasts with previous reports from radars at high northern latitudes, where PWME have been reported only by very high power radars or during rare periods of unusually high electron density at PMWE heights, such as during solar proton events. Analysis shows that PWME at Troll were not related to solar proton events but were often closely related to the arrival of high-speed solar wind streams (HSS) at the Earth, with PWME appearing at heights as low as 56 km and persisting for up to 15 days following HSS arrival. This demonstrates that HSS effects penetrate directly to below 60 km height in the polar atmosphere. Using local observations of cosmic-noise absorption (CNA), a theoretical ionization/ion-chemistry model and a statistical model of precipitating energetic electrons associated with HSS, the electron density conditions during the HSS events are estimated. We find that PMWE detectability cannot be explained by these variations in electron density and molecular-ion chemistry alone. PWME become detectable at different thresholds depending on solar illumination and height. In darkness, PWME are detected only when the modelled electron density is above a threshold of about 1000 cm(-3), and only above 75 km height, where negative ions are few. In daylight, the electron density threshold falls by at least 2 orders of magnitude and PWME are found primarily below 75 km height, even in conditions when a large proportion of negative ions is expected. There is also a strong dawn-dusk asymmetry with PWME detected very rarely during morning twilight but often during evening twilight. This behaviour cannot be explained if PMWE are caused by small-scale structure in the neutral/molecular-ion gas alone but may be explained by the presence of charged meteoric dust.</t>
  </si>
  <si>
    <t>[Kirkwood, S.; Belova, E.] Swedish Inst Space Phys, Polar Atmospher Res, S-98128 Kiruna, Sweden; [Osepian, A.] Polar Geophys Inst, Murmansk 183023, Russia; [Lee, Y. -S.] Korea Astron &amp; Space Sci Inst, Daejeon, South Korea</t>
  </si>
  <si>
    <t>Russian Academy of Sciences; Polar Geophysical Institute; Korea Astronomy &amp; Space Science Institute (KASI)</t>
  </si>
  <si>
    <t>Kirkwood, S (corresponding author), Swedish Inst Space Phys, Polar Atmospher Res, POB 812, S-98128 Kiruna, Sweden.</t>
  </si>
  <si>
    <t>sheila.kirkwood@irf.se</t>
  </si>
  <si>
    <t>Belova, Evgenia/0000-0002-6698-321X</t>
  </si>
  <si>
    <t>Swedish Research Council [621-2010-3218]; Knut and Alice Wallenberg Foundation, Sweden; CRIRP in China; SA in Finland; NIPR in Japan; STEL in Japan; NFR in Norway; VR in Sweden; NERC in United Kingdom</t>
  </si>
  <si>
    <t>Swedish Research Council(Swedish Research Council); Knut and Alice Wallenberg Foundation, Sweden(Knut &amp; Alice Wallenberg Foundation); CRIRP in China; SA in Finland; NIPR in Japan; STEL in Japan; NFR in Norway; VR in Sweden(Swedish Research Council); NERC in United Kingdom</t>
  </si>
  <si>
    <t>Measurements with MARA at Troll were supported by Swedish Polar Research Secretariat and Norwegian Polar Institute. This research was partly funded by the Swedish Research Council (grant 621-2010-3218) and the Knut and Alice Wallenberg Foundation, Sweden. EISCAT is an international association supported by research organizations in China (CRIRP), Finland (SA), Japan (NIPR and STEL), Norway (NFR), Sweden (VR) and the United Kingdom (NERC).</t>
  </si>
  <si>
    <t>10.5194/angeo-33-609-2015</t>
  </si>
  <si>
    <t>CL6ZH</t>
  </si>
  <si>
    <t>WOS:000357118400001</t>
  </si>
  <si>
    <t>Prikryl, P; Ghoddousi-Fard, R; Spogli, L; Mitchell, CN; Li, G; Ning, B; Cilliers, PJ; Sreeja, V; Aquino, M; Terkildsen, M; Jayachandran, PT; Jiao, Y; Morton, YT; Ruohoniemi, JM; Thomas, EG; Zhang, Y; Weatherwax, AT; Alfonsi, L; De Franceschi, G; Romano, V</t>
  </si>
  <si>
    <t>Prikryl, P.; Ghoddousi-Fard, R.; Spogli, L.; Mitchell, C. N.; Li, G.; Ning, B.; Cilliers, P. J.; Sreeja, V.; Aquino, M.; Terkildsen, M.; Jayachandran, P. T.; Jiao, Y.; Morton, Y. T.; Ruohoniemi, J. M.; Thomas, E. G.; Zhang, Y.; Weatherwax, A. T.; Alfonsi, L.; De Franceschi, G.; Romano, V.</t>
  </si>
  <si>
    <t>GPS phase scintillation at high latitudes during geomagnetic storms of 7-17 March 2012-Part 2: Interhemispheric comparison</t>
  </si>
  <si>
    <t>Ionosphere; ionospheric disturbances; ionospheric irregularities; polar ionosphere</t>
  </si>
  <si>
    <t>INTERPLANETARY MAGNETIC-FIELD; ELECTRON-CONTENT; SOLAR MINIMUM; AURORAL OVAL; CONVECTION; CONJUGATE; IMF; IONOSPHERE; SUPERDARN; PLASMA</t>
  </si>
  <si>
    <t>During the ascending phase of solar cycle 24, a series of interplanetary coronal mass ejections (ICMEs) in the period 7-17 March 2012 caused geomagnetic storms that strongly affected high-latitude ionosphere in the Northern and Southern Hemisphere. GPS phase scintillation was observed at northern and southern high latitudes by arrays of GPS ionospheric scintillation and TEC monitors (GISTMs) and geodetic-quality GPS receivers sampling at 1 Hz. Mapped as a function of magnetic latitude and magnetic local time (MLT), the scintillation was observed in the ionospheric cusp, the tongue of ionization fragmented into patches, sun-aligned arcs in the polar cap, and nightside auroral oval and subauroral latitudes. Complementing a companion paper (Prikryl et al., 2015a) that focuses on the high-latitude ionospheric response to variable solar wind in the North American sector, interhemispheric comparison reveals commonalities as well as differences and asymmetries between the northern and southern high latitudes, as a consequence of the coupling between the solar wind and magnetosphere. The interhemispheric asymmetries are caused by the dawn-dusk component of the interplanetary magnetic field controlling the MLT of the cusp entry of the storm-enhanced density plasma into the polar cap and the orientation relative to the noon-midnight meridian of the tongue of ionization.</t>
  </si>
  <si>
    <t>[Prikryl, P.] Nat Resources Canada, Geomagnet Lab, Ottawa, ON, Canada; [Ghoddousi-Fard, R.] Nat Resources Canada, Canadian Geodet Survey, Ottawa, ON, Canada; [Spogli, L.; Alfonsi, L.; De Franceschi, G.; Romano, V.] Ist Nazl Geofis &amp; Vulcanol, Rome, Italy; [Mitchell, C. N.] Univ Bath, Dept Elect &amp; Elect Engn, Bath BA2 7AY, Avon, England; [Li, G.; Ning, B.] Chinese Acad Sci, Inst Geol &amp; Geophys, Beijing, Peoples R China; [Cilliers, P. J.] South African Natl Space Agcy, Space Sci Directorate, Hermanus, South Africa; [Sreeja, V.; Aquino, M.] Univ Nottingham, Nottingham Geospatial Inst, Nottingham NG7 2RD, England; [Terkildsen, M.] Bur Meteorol, IPS Radio Serv, Haymarket, NSW, Australia; [Terkildsen, M.] Bur Meteorol, IPS Space Serv, Haymarket, NSW, Australia; [Prikryl, P.; Jayachandran, P. T.] Univ New Brunswick, Dept Phys, Fredericton, NB E3B 5A3, Canada; [Jiao, Y.; Morton, Y. T.] Colorado State Univ, Dept Elect &amp; Comp Engn, Ft Collins, CO 80523 USA; [Ruohoniemi, J. M.; Thomas, E. G.] Virginia Tech, Bradley Dept Elect &amp; Comp Engn, Blacksburg, VA USA; [Zhang, Y.] Johns Hopkins Univ, Appl Phys Lab, Laurel, MD USA; [Weatherwax, A. T.] Siena Coll, Dept Phys &amp; Astron, Loudonville, NY USA</t>
  </si>
  <si>
    <t>Natural Resources Canada; Natural Resources Canada; Lands &amp; Minerals Sector - Natural Resources Canada; Surveyor General Branch - Geomatics Canada; Istituto Nazionale Geofisica e Vulcanologia (INGV); University of Bath; Chinese Academy of Sciences; Institute of Geology &amp; Geophysics, CAS; University of Nottingham; Bureau of Meteorology - Australia; Bureau of Meteorology - Australia; University of New Brunswick; Colorado State University; Virginia Polytechnic Institute &amp; State University; Johns Hopkins University; Johns Hopkins University Applied Physics Laboratory</t>
  </si>
  <si>
    <t>Prikryl, P (corresponding author), Nat Resources Canada, Geomagnet Lab, Ottawa, ON, Canada.</t>
  </si>
  <si>
    <t>paul.prikryl@unb.ca</t>
  </si>
  <si>
    <t>Cilliers, Pierre/ABI-2944-2020; Alfonsi, Lucilla/V-2969-2018; Veettil, Sreeja/AAU-5952-2021; Zhang, Yongliang/C-2180-2016; Romano, Vincenzo/HKV-6552-2023; Cilliers, Pierre/AAA-2032-2019; Spogli, Luca/AAD-1980-2021; Morton, Y/JOZ-7718-2023; Ning, Baiqi/A-2573-2012; Thomas, Evan/B-3921-2017; Li, Guozhu/D-4322-2009</t>
  </si>
  <si>
    <t>Cilliers, Pierre/0000-0003-3175-5134; Veettil, Sreeja/0000-0003-3791-8096; Zhang, Yongliang/0000-0003-4851-1662; Romano, Vincenzo/0000-0002-7532-4507; Terkildsen, Michael/0000-0002-6290-158X; Alfonsi, Lucilla/0000-0002-1806-9327; SPOGLI, Luca/0000-0003-2310-0306; De Franceschi, Giorgiana/0000-0002-3943-6798; Mitchell, Cathryn/0000-0003-1964-8723; Thomas, Evan/0000-0001-8036-8793; Li, Guozhu/0000-0002-7669-3590; Weatherwax, Allan/0000-0003-4732-358X</t>
  </si>
  <si>
    <t>Canada Foundation for Innovation; New Brunswick Innovation Foundation; National Science Foundation [PLR-1248062]; NSF [AGS-0838219, AGS-0946900];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 Natural Resources Canada, Earth Sciences Sector (NRCan ESS) [20140371]; EPSRC [EP/H003304/1, TS/G002592/1, EP/E007902/1, EP/H003479/1] Funding Source: UKRI; NERC [NE/F015321/1] Funding Source: UKRI; STFC [ST/H003770/1, PP/D002230/1] Funding Source: UKRI; Directorate For Geosciences; Div Atmospheric &amp; Geospace Sciences [1341918, 1242038] Funding Source: National Science Foundation; Directorate For Geosciences; Div Atmospheric &amp; Geospace Sciences [1242204] Funding Source: National Science Foundation; Office of Polar Programs (OPP); Directorate For Geosciences [1248062] Funding Source: National Science Foundation; Engineering and Physical Sciences Research Council [EP/E007902/1, EP/H003304/1, TS/G002592/1, EP/H003479/1] Funding Source: researchfish; Natural Environment Research Council [NE/F015321/1] Funding Source: researchfish; Science and Technology Facilities Council [PP/D002230/1, ST/H003770/1] Funding Source: researchfish</t>
  </si>
  <si>
    <t>Canada Foundation for Innovation(Canada Foundation for InnovationCGIARSpanish Government); New Brunswick Innovation Foundation; National Science Foundation(National Science Foundation (NSF)); NSF(National Science Foundation (NSF));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 Natural Resources Canada, Earth Sciences Sector (NRCan ESS)(Natural Resources Canada); EPSRC(UK Research &amp; Innovation (UKRI)Engineering &amp; Physical Sciences Research Council (EPSRC)); NERC(UK Research &amp; Innovation (UKRI)Natural Environment Research Council (NERC)); STFC(UK Research &amp; Innovation (UKRI)Science &amp; Technology Facilities Council (STFC)); Directorate For Geosciences; Div Atmospheric &amp; Geospace Sciences(National Science Foundation (NSF)NSF - Directorate for Geosciences (GEO)); Directorate For Geosciences; Div Atmospheric &amp; Geospace Sciences(National Science Foundation (NSF)NSF - Directorate for Geosciences (GEO)); Office of Polar Programs (OPP); Directorate For Geosciences(National Science Foundation (NSF)NSF - Directorate for Geosciences (GEO)); Engineering and Physical Sciences Research Council(UK Research &amp; Innovation (UKRI)Engineering &amp; Physical Sciences Research Council (EPSRC)); Natural Environment Research Council(UK Research &amp; Innovation (UKRI)Natural Environment Research Council (NERC)); Science and Technology Facilities Council(UK Research &amp; Innovation (UKRI)Science &amp; Technology Facilities Council (STFC))</t>
  </si>
  <si>
    <t>Infrastructure funding for CHAIN was provided by the Canada Foundation for Innovation and the New Brunswick Innovation Foundation. CHAIN and CGSM operation is conducted in collaboration with the Canadian Space Agency (CSA). The infrastructure for the GISTM at SANAE was provided by the South African National Antarctic Programme. The GISTM of southern auroral oval station Macquarie Island is operated by the Australian Bureau of Meteorology. Siena College gratefully acknowledges support from the National Science Foundation under award PLR-1248062. The Virginia Tech authors acknowledge the support through NSF awards AGS-0838219 and AGS-0946900. The authors acknowledge the use of SuperDARN data. SuperDARN is a collection of radars funded by national scientific funding agencies of Australia, Canada, China, France, Japan, South Africa, the United Kingdom and the United States of America. The DMSP particle detectors were designed by Dave Hardy of the Air Force Research Laboratory, and the data were obtained from Johns Hopkins University Applied Research Laboratory. The International GNSS Service (IGS) and its contributing organizations, including Denmark Technical University National Space Institute, are thanked for 1 Hz GPS data. This work was supported by the Public Safety Geosciences program of the Natural Resources Canada, Earth Sciences Sector (NRCan ESS contribution number 20140371).</t>
  </si>
  <si>
    <t>10.5194/angeo-33-657-2015</t>
  </si>
  <si>
    <t>WOS:000357118400004</t>
  </si>
  <si>
    <t>Callens, D; Thonnard, N; Lenaerts, JTM; van Wessem, JM; van de Berg, WJ; Matsuoka, K; Pattyn, F</t>
  </si>
  <si>
    <t>Callens, Denis; Thonnard, Nicolas; Lenaerts, Jan T. M.; van Wessem, Jan M.; van de Berg, Willem Jan; Matsuoka, Kenichi; Pattyn, Frank</t>
  </si>
  <si>
    <t>Mass balance of the Sor Rondane glacial system, East Antarctica</t>
  </si>
  <si>
    <t>ANNALS OF GLACIOLOGY</t>
  </si>
  <si>
    <t>accumulation; atmosphere/ice/ocean interactions; ice-sheet mass balance; radio-echo sounding</t>
  </si>
  <si>
    <t>DRONNING MAUD LAND; ICE-SHEET; SUBGLACIAL TOPOGRAPHY; FLOW; REPRESENTATION; THICKNESS; RADAR; MODEL</t>
  </si>
  <si>
    <t>Mass changes of polar ice sheets have an important societal impact, because they affect global sea level. Estimating the current mass budget of ice sheets is equivalent to determining the balance between surface mass gain through precipitation and outflow across the grounding line. For the Antarctic ice sheet, grounding line outflow is governed by oceanic processes and outlet glacier dynamics. In this study, we compute the mass budget of major outlet glaciers in the eastern Dronning Maud Land sector of the Antarctic ice sheet using the input/output method. Input is given by recent surface accumulation estimates (SMB) of the whole drainage basin. The outflow at the grounding line is determined from the radar data of a recent airborne survey and satellite-based velocities using a flow model of combined plug flow and simple shear. This approach is an improvement on previous studies, as the ice thickness is measured, rather than being estimated from hydrostatic equilibrium. In line with the general thickening of the ice sheet over this sector, we estimate the regional mass balance in this area at 3.15 +/- 8.23 Gt a(-1) according to the most recent SMB model results.</t>
  </si>
  <si>
    <t>[Callens, Denis; Thonnard, Nicolas; Pattyn, Frank] Univ Libre Bruxelles, Lab Glaciol, Brussels, Belgium; [Lenaerts, Jan T. M.; van Wessem, Jan M.; van de Berg, Willem Jan] Univ Utrecht, Inst Marine &amp; Atmospher Res Utrecht, Utrecht, Netherlands; [Matsuoka, Kenichi] Norwegian Polar Res Inst, Tromso, Norway</t>
  </si>
  <si>
    <t>Universite Libre de Bruxelles; Utrecht University; Norwegian Polar Institute</t>
  </si>
  <si>
    <t>Callens, D (corresponding author), Univ Libre Bruxelles, Lab Glaciol, Brussels, Belgium.</t>
  </si>
  <si>
    <t>dcallens@ulb.ac.be</t>
  </si>
  <si>
    <t>Pattyn, Frank/AAA-9640-2019; Lenaerts, Jan/D-9423-2012; van Wessem, Melchior/AAB-1987-2019; van de Berg, Willem Jan/H-4385-2011; Matsuoka, Kenichi/B-7298-2017</t>
  </si>
  <si>
    <t>Pattyn, Frank/0000-0003-4805-5636; Lenaerts, Jan/0000-0003-4309-4011; van de Berg, Willem Jan/0000-0002-8232-2040; van Wessem, Melchior/0000-0003-3221-791X; Matsuoka, Kenichi/0000-0002-3587-3405</t>
  </si>
  <si>
    <t>FNRS-FRIA fellowship (Fonds de la Recherche Scientifique); Yggdrasil mobility grant (Research Council of Norway); European Facilities for Airborne Research (EUFAR)</t>
  </si>
  <si>
    <t>FNRS-FRIA fellowship (Fonds de la Recherche Scientifique)(Fonds de la Recherche Scientifique - FNRS); Yggdrasil mobility grant (Research Council of Norway); European Facilities for Airborne Research (EUFAR)</t>
  </si>
  <si>
    <t>D.C. is funded through a FNRS-FRIA fellowship (Fonds de la Recherche Scientifique) and received an Yggdrasil mobility grant (Research Council of Norway). The radar survey was conducted by the Alfred Wegener Institute, Germany, with further logistical support from the Princess Elisabeth station (Belgian Antarctic Research Expedition, BELARE), and was funded by the European Facilities for Airborne Research (EUFAR). We used the Quantarctica GIS package from the Norwegian Polar Institute (http://www.quantarctica.org/). We are indebted to M. Depoorter for help in improving the quality of this paper.</t>
  </si>
  <si>
    <t>0260-3055</t>
  </si>
  <si>
    <t>1727-5644</t>
  </si>
  <si>
    <t>ANN GLACIOL</t>
  </si>
  <si>
    <t>Ann. Glaciol.</t>
  </si>
  <si>
    <t>10.3189/2015AoG70A010</t>
  </si>
  <si>
    <t>CT7NL</t>
  </si>
  <si>
    <t>WOS:000363001700009</t>
  </si>
  <si>
    <t>Hutchings, JK; Heil, P; Lecomte, O; Stevens, R; Steer, A; Lieser, JL</t>
  </si>
  <si>
    <t>Hutchings, Jennifer K.; Heil, Petra; Lecomte, Oliver; Stevens, Roger; Steer, Adam; Lieser, Jan L.</t>
  </si>
  <si>
    <t>Comparing methods of measuring sea-ice density in the East Antarctic</t>
  </si>
  <si>
    <t>sea ice</t>
  </si>
  <si>
    <t>OCEANOGRAPHIC APPLICATION; THERMODYNAMIC POTENTIALS; NUMERICAL IMPLEMENTATION; LIQUID WATER; HUMID AIR; SEAWATER; EQUATIONS; VAPOR</t>
  </si>
  <si>
    <t>Remotely sensed derivation of sea-ice thickness requires sea-ice density. Sea-ice density was estimated with three techniques during the second Sea Ice Physics and Ecosystem experiment (SIPEX-II, September-November 2012, East Antarctica). The sea ice was first-year highly deformed, mean thickness 1.2 m with layers, consistent with rafting, and 6-7/10 columnar ice and 3/10 granular ice. Ice density was found to be lower than values (900-920 kg m(-3) used previously to derive ice thickness, with columnar ice mean density of 870 kg m(-3). At two different ice stations the mean density of the ice was 870 and 800 kg m(-3), the lower density reflecting a high percentage of porous granular ice at the second station. Error estimates for mass/volume and liquid/solid water methods are presented. With 0.1 m long, 0.1 m core samples, the error on individual density estimates is 28 kg m(-3). Errors are larger for smaller machined blocks. Errors increase to 46 kg m(-3) if the liquid/solid volume method is used. The mass/volume method has a low bias due to brine drainage of at least 5%. Bulk densities estimated from ice and snow measurements along 100 m transects were high, and likely unrealistic as the assumption of isostatic balance is not suitable over these length scales in deformed ice.</t>
  </si>
  <si>
    <t>[Hutchings, Jennifer K.] Oregon State Univ, Coll Earth Ocean &amp; Atmospher Sci, Corvallis, OR 97331 USA; [Heil, Petra; Steer, Adam] Australian Antarctic Div, Kingston, Tas, Australia; [Heil, Petra; Stevens, Roger; Lieser, Jan L.] Univ Tasmania, Antarctic Climate &amp; Ecosyst Cooperat Res Ctr, Hobart, Tas, Australia; [Lecomte, Oliver] Catholic Univ Louvain, ELI, Georges Lemaitre Ctr Earth &amp; Climate Res TECLIM, Louvain La Neuve, Belgium</t>
  </si>
  <si>
    <t>Oregon State University; Australian Antarctic Division; University of Tasmania; Antarctic Climate &amp; Ecosystems Cooperative Research Centre (ACE CRC); Universite Catholique Louvain</t>
  </si>
  <si>
    <t>Hutchings, JK (corresponding author), Oregon State Univ, Coll Earth Ocean &amp; Atmospher Sci, Corvallis, OR 97331 USA.</t>
  </si>
  <si>
    <t>jhutchings@coas.oregonstate.edu</t>
  </si>
  <si>
    <t>Hutchings, Jennifer K/P-6356-2017; Lieser, Jan/J-7157-2014</t>
  </si>
  <si>
    <t>Lieser, Jan/0000-0001-6870-1311; Heil, Petra/0000-0003-2078-0342; Steer, Adam/0000-0003-0046-7236</t>
  </si>
  <si>
    <t>Australian Antarctic Science [4072, 4073]; US National Science Foundation Office of Polar Programs [1023662]; International Space Science Institute, Bern, Switzerland [245]; Directorate For Geosciences; Office of Polar Programs (OPP) [1023662] Funding Source: National Science Foundation</t>
  </si>
  <si>
    <t>Australian Antarctic Science; US National Science Foundation Office of Polar Programs(National Science Foundation (NSF)); International Space Science Institute, Bern, Switzerland; Directorate For Geosciences; Office of Polar Programs (OPP)(National Science Foundation (NSF)NSF - Directorate for Geosciences (GEO))</t>
  </si>
  <si>
    <t>This research was supported by Australian Antarctic Science grants No. 4072 and No. 4073, and US National Science Foundation Office of Polar Programs grant 1023662. The International Space Science Institute, Bern, Switzerland, is thanked for supporting scientific collaborations of this study through grant No. 245. Snow-pit and depth data were collected along transects by Rob Massom, Takenobu Toyota and Barry Giles. Magnaprobe snow depth data were collected by Ted Maksym. A large number of crew and expeditioners participated in collecting the transect data. We are very appreciative of the efforts of Capt. Murray Doyle and the crew of the Aurora Australis during the SIPEX-II expedition.</t>
  </si>
  <si>
    <t>10.3189/2015AoG69A814</t>
  </si>
  <si>
    <t>CT8RE</t>
  </si>
  <si>
    <t>WOS:000363082900010</t>
  </si>
  <si>
    <t>Kern, S; Spreen, G</t>
  </si>
  <si>
    <t>Kern, Stefan; Spreen, Gunnar</t>
  </si>
  <si>
    <t>Uncertainties in Antarctic sea-ice thickness retrieval from ICESat</t>
  </si>
  <si>
    <t>remote sensing; sea ice; snow</t>
  </si>
  <si>
    <t>SNOW-DEPTH; ROUGHNESS; FREEBOARD; IMPACT; OCEAN; RADAR</t>
  </si>
  <si>
    <t>A sensitivity study was carried out for the lowest-level elevation method to retrieve total (sea ice + snow) freeboard from Ice, Cloud and land Elevation Satellite (ICESat) elevation measurements in the Weddell Sea, Antarctica. Varying the percentage (P) of elevations used to approximate the instantaneous sea-surface height can cause widespread changes of a few to &gt;10 cm in the total freeboard obtained. Other input parameters have a smaller influence on the overall mean total freeboard but can cause large regional differences. These results, together with published ICESat elevation precision and accuracy, suggest that three times the mean per gridcell single-laser-shot error budget can be used as an estimate for freeboard uncertainty. Theoretical relative ice thickness uncertainty ranges between 20% and 80% for typical freeboard and snow properties. Ice thickness is computed from total freeboard using Advanced Microwave Scanning Radiometer for Earth Observing System (AMSR-E) snow depth data. Average ice thickness for the Weddell Sea is 1.73 +/- 0.38 m for ICESat measurements from 2004 to 2006, in agreement with previous work. The mean uncertainty is 0.72 +/- 0.09 m. Our comparison with data of an alternative approach, which assumes that sea-ice freeboard is zero and that total freeboard equals snow depth, reveals an average sea-ice thickness difference of similar to 0.77 m.</t>
  </si>
  <si>
    <t>[Kern, Stefan] Univ Hamburg, Ctr Earth Syst Res &amp; Sustainabil, Hamburg, Germany; [Spreen, Gunnar] Norwegian Polar Res Inst, Fram Ctr, Tromso, Norway</t>
  </si>
  <si>
    <t>University of Hamburg; Norwegian Polar Institute</t>
  </si>
  <si>
    <t>Kern, S (corresponding author), Univ Hamburg, Ctr Earth Syst Res &amp; Sustainabil, Hamburg, Germany.</t>
  </si>
  <si>
    <t>Spreen, Gunnar/A-4533-2010</t>
  </si>
  <si>
    <t>Spreen, Gunnar/0000-0003-0165-8448; Kern, Stefan/0000-0001-7281-3746</t>
  </si>
  <si>
    <t>Center of Excellence for Climate System Analysis and Prediction (CliSAP); Norwegian Polar Institute; Research Council of Norway (CORESAT) [222681]; International Space Science Institute (ISSI), Bern, Switzerland [245]</t>
  </si>
  <si>
    <t>Center of Excellence for Climate System Analysis and Prediction (CliSAP); Norwegian Polar Institute; Research Council of Norway (CORESAT)(Research Council of Norway); International Space Science Institute (ISSI), Bern, Switzerland</t>
  </si>
  <si>
    <t>The work of S. Kern was supported by the Center of Excellence for Climate System Analysis and Prediction (CliSAP). G. Spreen is grateful for funding and support from the Norwegian Polar Institute and the Research Council of Norway (CORESAT, project No. 222681). S. Kern acknowledges support from the International Space Science Institute (ISSI), Bern, Switzerland, under project No. 245: Heil P. and S. Kern, 'Towards an integrated retrieval of Antarctic sea ice volume'. We appreciate the helpful comments of two anonymous reviewers and the scientific editor, Rob Massom.</t>
  </si>
  <si>
    <t>10.3189/2015AoG69A736</t>
  </si>
  <si>
    <t>WOS:000363082900014</t>
  </si>
  <si>
    <t>Bintanja, R; Van Oldenborgh, GJ; Katsman, CA</t>
  </si>
  <si>
    <t>Bintanja, R.; Van Oldenborgh, G. J.; Katsman, C. A.</t>
  </si>
  <si>
    <t>The effect of increased fresh water from Antarctic ice shelves on future trends in Antarctic sea ice</t>
  </si>
  <si>
    <t>SOUTHERN-OCEAN; CLIMATE-CHANGE; TEMPERATURE; SENSITIVITY; DRIVEN</t>
  </si>
  <si>
    <t>Observations show that, in contrast to the Arctic, the area of Antarctic sea ice has increased since 1979. A potential driver of this significant increase relates to the mass loss of the Antarctic ice sheet. Subsurface ocean warming causes basal ice-shelf melt, freshening the surface waters around Antarctica, which leads to increases in sea-ice cover. With climate warming ongoing, future mass-loss rates are projected to accelerate, which has the potential to affect future Antarctic sea-ice trends. Here we investigate to what extent future sea-ice trends are influenced by projected increases in Antarctic freshwater flux due to subsurface melt, using a state-of-the-art global climate model (EC-Earth) in standardized Climate Model Intercomparison Project phase 5 (CMIP5) climate-change simulations. Virtually all CMIP5 models disregard ocean-ice-sheet interactions and project strongly retreating Antarctic sea ice. Applying various freshwater flux scenarios, we find that the additional fresh water significantly offsets the decline in sea-ice area and is even able to reverse the trend in the strongest freshwater forcing scenario that can reasonably be expected, especially in austral winter. The model also simulates decreasing sea surface temperatures (SSTs), with the SST trends exhibiting strong regional variations that largely correspond to regional sea-ice trends.</t>
  </si>
  <si>
    <t>[Bintanja, R.; Van Oldenborgh, G. J.; Katsman, C. A.] Royal Netherlands Meteorol Inst KNMI, De Bilt, Netherlands</t>
  </si>
  <si>
    <t>Bintanja, R (corresponding author), Royal Netherlands Meteorol Inst KNMI, De Bilt, Netherlands.</t>
  </si>
  <si>
    <t>bintanja@gmail.com</t>
  </si>
  <si>
    <t>van Oldenborgh, Geert Jan/A-4176-2011</t>
  </si>
  <si>
    <t>van Oldenborgh, Geert Jan/0000-0002-6898-9535; Bintanja, Richard/0000-0002-0465-5923</t>
  </si>
  <si>
    <t>10.3189/2015AoG69A001</t>
  </si>
  <si>
    <t>WOS:000363082900015</t>
  </si>
  <si>
    <t>Medley, B; Ligtenberg, SRM; Joughin, I; van den Broeke, MR; Gogineni, S; Nowicki, S</t>
  </si>
  <si>
    <t>Medley, B.; Ligtenberg, S. R. M.; Joughin, I.; van den Broeke, M. R.; Gogineni, S.; Nowicki, S.</t>
  </si>
  <si>
    <t>Antarctic firn compaction rates from repeat-track airborne radar data: I. Methods</t>
  </si>
  <si>
    <t>accumulation; ground-penetrating radar; polar firn</t>
  </si>
  <si>
    <t>WEST ANTARCTICA; ICE-SHEET; SNOW ACCUMULATION; MASS-BALANCE; POLAR FIRN; DENSIFICATION; GREENLAND; VARIABILITY; ELEVATION; MODEL</t>
  </si>
  <si>
    <t>While measurements of ice-sheet surface elevation change are increasingly used to assess mass change, the processes that control the elevation fluctuations not related to ice-flow dynamics (e.g. firn compaction and accumulation) remain difficult to measure. Here we use radar data from the Thwaites Glacier (West Antarctica) catchment to measure the rate of thickness change between horizons of constant age over different time intervals: 2009-10, 2010-11 and 2009-11. The average compaction rate to similar to 25 m depth is 0.33 m a(-1), with largest compaction rates near the surface. Our measurements indicate that the accumulation rate controls much of the spatio-temporal variations in the compaction rate while the role of temperature is unclear due to a lack of measurements. Based on a semi-empirical, steady-state densification model, we find that surveying older firn horizons minimizes the potential bias resulting from the variable depth of the constant age horizon. Our results suggest that the spatio-temporal variations in the firn compaction rate are an important consideration when converting surface elevation change to ice mass change. Compaction rates varied by up to 0.12 m a(-1) over distances &lt;6 km and were on average &gt;20% larger during the 2010-11 interval than during 2009-10.</t>
  </si>
  <si>
    <t>[Medley, B.; Nowicki, S.] NASA Goddard Space Flight Ctr, Cryospher Sci Lab, Greenbelt, MD 20771 USA; [Ligtenberg, S. R. M.; van den Broeke, M. R.] Univ Utrecht, Inst Marine &amp; Atmospher Res Utrecht, Utrecht, Netherlands; [Joughin, I.] Univ Washington, Appl Phys Lab, Polar Sci Ctr, Seattle, WA 98105 USA; [Gogineni, S.] Univ Kansas, Ctr Remote Sensing Ice Sheets, Lawrence, KS 66045 USA</t>
  </si>
  <si>
    <t>National Aeronautics &amp; Space Administration (NASA); NASA Goddard Space Flight Center; Utrecht University; University of Washington; University of Washington Seattle; University of Kansas</t>
  </si>
  <si>
    <t>Medley, B (corresponding author), NASA Goddard Space Flight Ctr, Cryospher Sci Lab, Greenbelt, MD 20771 USA.</t>
  </si>
  <si>
    <t>brooke.c.medley@nasa.gov</t>
  </si>
  <si>
    <t>Ligtenberg, Stefan/AAF-8290-2020; Joughin, Ian/AAR-7778-2021; Van den Broeke, Michiel R./F-7867-2011; Joughin, Ian R/A-2998-2008</t>
  </si>
  <si>
    <t>Joughin, Ian/0000-0001-6229-679X; Van den Broeke, Michiel R./0000-0003-4662-7565; Joughin, Ian R/0000-0001-6229-679X</t>
  </si>
  <si>
    <t>US National Science Foundation (NSF) Office of Polar Programs (OPP) [ANT-0631973, ANT-0424589]; Utrecht University; Netherlands Polar Programme of the Earth and Life Sciences division of the Netherlands Organization for Scientific Research (ALW/NWO); NASA Cryospheric Sciences Program; NSF OPP grant [ANT-0424589]; NASA [NNX09AR77G, NNG10HP19C, NNX10AT68G]; NASA [NNX09AR77G, 108790] Funding Source: Federal RePORTER</t>
  </si>
  <si>
    <t>US National Science Foundation (NSF) Office of Polar Programs (OPP)(National Science Foundation (NSF)); Utrecht University; Netherlands Polar Programme of the Earth and Life Sciences division of the Netherlands Organization for Scientific Research (ALW/NWO); NASA Cryospheric Sciences Program(National Aeronautics &amp; Space Administration (NASA)); NSF OPP grant; NASA(National Aeronautics &amp; Space Administration (NASA)); NASA(National Aeronautics &amp; Space Administration (NASA))</t>
  </si>
  <si>
    <t>We thank C. Miege and an anonymous reviewer for constructive comments. B. Medley was supported by an appointment to the NASA Postdoctoral Program at the Goddard Space Flight Center, administered by Oak Ridge Associated Universities through a contract with NASA. The research at the University of Washington (I. Joughin, B. Medley) was supported by US National Science Foundation (NSF) Office of Polar Programs (OPP) grants ANT-0631973 and ANT-0424589. S.R.M. Ligtenberg and M.R. van den Broeke acknowledge support from Utrecht University and the Netherlands Polar Programme of the Earth and Life Sciences division of the Netherlands Organization for Scientific Research (ALW/NWO). S. Nowicki acknowledges support from the NASA Cryospheric Sciences Program. Radar development, data collection and processing are partially supported by NSF OPP grant ANT-0424589 and NASA under grants NNX09AR77G, NNG10HP19C and NNX10AT68G. We also acknowledge the generous contribution of faculty, staff and students at CReSIS in collecting and processing the data. Most of the data used in this work were acquired by NASA's Operation IceBridge Project.</t>
  </si>
  <si>
    <t>10.3189/2015AoG70A203</t>
  </si>
  <si>
    <t>WOS:000363001700019</t>
  </si>
  <si>
    <t>Zhai, MX; Li, XQ; Hui, FM; Cheng, X; Heil, P; Zhao, TC; Jiang, TY; Cheng, C; Ci, TY; Liu, Y; Chi, ZH; Liu, J</t>
  </si>
  <si>
    <t>Zhai, Mengxi; Li, Xinqing; Hui, Fengming; Cheng, Xiao; Heil, Petra; Zhao, Tiancheng; Jiang, Tianyu; Cheng, Cheng; Ci, Tianyu; Liu, Yan; Chi, Zhaohui; Liu, Jian</t>
  </si>
  <si>
    <t>Sea-ice conditions in the Adelie Depression, Antarctica, during besetment of the icebreaker RV Xuelong</t>
  </si>
  <si>
    <t>remote sensing; sea-ice dynamics</t>
  </si>
  <si>
    <t>BOTTOM WATER; VARIABILITY; DRIFT</t>
  </si>
  <si>
    <t>During the 30th Chinese Antarctic Expedition in 2013/14, the Chinese icebreaker RV Xuelong answered a rescue call from the Russian RV Akademik Shokalskiy. While assisting the repatriation of personnel from the Russian vessel to the Australian RV Aurora Australis, RV Xuelong itself became entrapped within the compacted ice in the Adelie Depression region. Analysis of MODIS and SAR imagery provides a detailed description of the regional sea-ice conditions which led to the 6 day long besetment of RV Xuelong. The remotely sensed imagery revealed four stages of sea-ice characteristics during the entrapment: the gathering, compaction, dispersion and calving stages. Four factors characterizing the local sea-ice conditions during late December 2013 and early January 2014 were identified: surface component of the coastal current; near-surface wind; ocean tides; and surface air temperature. This study demonstrates that shipping activity in ice-invested waters should be underpinned by general knowledge of the ice situation. In addition, during such activity high spatio-temporal resolution remotely sensed data should be acquired regularly to monitor local and regional sea-ice changes with a view to avoiding the besetment of vessels.</t>
  </si>
  <si>
    <t>[Zhai, Mengxi; Li, Xinqing; Hui, Fengming; Cheng, Xiao; Zhao, Tiancheng; Jiang, Tianyu; Cheng, Cheng; Ci, Tianyu; Liu, Yan] Beijing Normal Univ, Coll Global Change &amp; Earth Syst Sci, State Key Lab Remote Sensing Sci, Beijing 100875, Peoples R China; [Li, Xinqing] Shandong Univ Sci &amp; Technol, Coll Geomat, Qingdao, Peoples R China; [Heil, Petra] Univ Tasmania, Australian Antarctic Div, Hobart, Tas, Australia; [Heil, Petra] Univ Tasmania, Antarctic Climate &amp; Ecosyst Cooperat Res Ctr, Hobart, Tas, Australia; [Chi, Zhaohui] Texas A&amp;M Univ, Dept Geog, College Stn, TX USA; [Liu, Jian] Polar Res Inst China, Shanghai, Peoples R China</t>
  </si>
  <si>
    <t>Beijing Normal University; Shandong University of Science &amp; Technology; University of Tasmania; Australian Antarctic Division; University of Tasmania; Antarctic Climate &amp; Ecosystems Cooperative Research Centre (ACE CRC); Texas A&amp;M University System; Texas A&amp;M University College Station; Polar Research Institute of China</t>
  </si>
  <si>
    <t>Cheng, X (corresponding author), Beijing Normal Univ, Coll Global Change &amp; Earth Syst Sci, State Key Lab Remote Sensing Sci, Beijing 100875, Peoples R China.</t>
  </si>
  <si>
    <t>huifm@bnu.edu.cn; xcheng@bnu.edu.cn</t>
  </si>
  <si>
    <t>zhao, tiancheng/HNS-4109-2023; Li, Xinqing/AAT-5475-2020; Liu）, 刘岩（Yan/AAT-5481-2020</t>
  </si>
  <si>
    <t>zhao, tiancheng/0000-0002-0728-657X; Li, Xinqing/0000-0002-3984-3203; Chi, Zhaohui/0000-0002-4842-9573; Heil, Petra/0000-0003-2078-0342</t>
  </si>
  <si>
    <t>Chinese Arctic and Antarctic Administration; National Natural Science Foundation of China [41106157, 41176163]; National Basic Research Program of China [2012CB957704]; National High-tech RAMP;D Program of China [2008AA121702, 2008AA09Z117]; Fundamental Research Funds for the Central Universities; Australian Antarctic Science [4472]; Antarctic Climate and Ecosystems CRC program</t>
  </si>
  <si>
    <t>Chinese Arctic and Antarctic Administration; National Natural Science Foundation of China(National Natural Science Foundation of China (NSFC)); National Basic Research Program of China(National Basic Research Program of China); National High-tech RAMP;D Program of China; Fundamental Research Funds for the Central Universities(Fundamental Research Funds for the Central Universities); Australian Antarctic Science; Antarctic Climate and Ecosystems CRC program(Australian GovernmentDepartment of Industry, Innovation and ScienceCooperative Research Centres (CRC) Programme)</t>
  </si>
  <si>
    <t>This work was supported by the Chinese Arctic and Antarctic Administration, the National Natural Science Foundation of China (grant Nos. 41106157 and 41176163), the National Basic Research Program of China (grant No. 2012CB957704), the National High-tech R&amp;D Program of China (grant Nos. 2008AA121702 and 2008AA09Z117) and the Fundamental Research Funds for the Central Universities. P.H. was supported by Australian Antarctic Science grant 4472 as well as by the Antarctic Climate and Ecosystems CRC program. We are grateful to RV Xuelong for providing weather data, to NASA for providing MODIS data, to the Polar View Antarctic Node website at the British Antarctic Survey for RADARSAT-2 SAR JPG images, and to the Australian Bureau of Meteorology for providing tidal predictions. We thank the anonymous reviewers for valuable comments.</t>
  </si>
  <si>
    <t>10.3189/2015AoG69A007</t>
  </si>
  <si>
    <t>WOS:000363082900020</t>
  </si>
  <si>
    <t>Ligtenberg, SRM; Medley, B; van den Broeke, MR; Kuipers Munneke, P</t>
  </si>
  <si>
    <t>Ligtenberg, S. R. M.; Medley, B.; van den Broeke, M. R.; Kuipers Munneke, P.</t>
  </si>
  <si>
    <t>Antarctic firn compaction rates from repeat-track airborne radar data: II. Firn model evaluation</t>
  </si>
  <si>
    <t>accumulation; Antarctic glaciology; ground-penetrating radar; polar firn; snow metamorphosis</t>
  </si>
  <si>
    <t>SURFACE MASS-BALANCE; DENSIFICATION; SNOW; GREENLAND; WIND; VARIABILITY; ELEVATION; ADELIE</t>
  </si>
  <si>
    <t>The thickness and density of the Antarctic firn layer vary considerably in time and space, thereby contributing to ice-sheet volume and mass changes. Distinguishing between these mass and volume changes is important for ice-sheet mass-balance studies. Evolution of firn layer depth and density is often modeled, because direct measurements are scarce. Here we directly compare modeled firn compaction rates with observed rates obtained from repeat-track airborne radar data over a 2 year interval (2009-11) in West Antarctica. Spatially, the observed compaction rates exhibit significant variability, but when averaged to scales comparable to the model resolution (20-50 km), the measurements and model results qualitatively agree. A colder and drier period preceding the 2009 survey led to lower compaction rates during the 2009-10 interval, when compared to 2010-11, which is partly captured by the firn model. Spatially, higher compaction rates are observed and modeled in warmer regions with higher accumulation.</t>
  </si>
  <si>
    <t>[Ligtenberg, S. R. M.; van den Broeke, M. R.; Kuipers Munneke, P.] Univ Utrecht, Inst Marine &amp; Atmospher Res Utrecht IMAU, Utrecht, Netherlands; [Medley, B.] NASA Goddard Space Flight Ctr, Greenbelt, MD USA</t>
  </si>
  <si>
    <t>Utrecht University; National Aeronautics &amp; Space Administration (NASA); NASA Goddard Space Flight Center</t>
  </si>
  <si>
    <t>Ligtenberg, SRM (corresponding author), Univ Utrecht, Inst Marine &amp; Atmospher Res Utrecht IMAU, Utrecht, Netherlands.</t>
  </si>
  <si>
    <t>s.r.m.ligtenberg@uu.nl</t>
  </si>
  <si>
    <t>Van den Broeke, Michiel R./F-7867-2011; Ligtenberg, Stefan/AAF-8290-2020</t>
  </si>
  <si>
    <t>Van den Broeke, Michiel R./0000-0003-4662-7565; Kuipers Munneke, Peter/0000-0001-5555-3831</t>
  </si>
  <si>
    <t>Utrecht University; Netherlands Polar Programme of the Earth and Life Sciences division of the Netherlands Organization for Scientific Research (ALW/NWO)</t>
  </si>
  <si>
    <t>Stefan R.M. Ligtenberg, Michiel R. van den Broeke and Peter Kuipers Munneke acknowledge support from Utrecht University and the Netherlands Polar Programme of the Earth and Life Sciences division of the Netherlands Organization for Scientific Research (ALW/NWO). B. Medley was supported by an appointment to the NASA Postdoctoral Program at the Goddard Space Flight Center, administered by Oak Ridge Associated Universities through a contract with NASA.</t>
  </si>
  <si>
    <t>10.3189/2015AoG70A204</t>
  </si>
  <si>
    <t>WOS:000363001700020</t>
  </si>
  <si>
    <t>Ackley, SF; Xie, HJ; Tichenor, EA</t>
  </si>
  <si>
    <t>Ackley, Stephen F.; Xie, Hongjie; Tichenor, Elizabeth A.</t>
  </si>
  <si>
    <t>Ocean heat flux under Antarctic sea ice in the Bellingshausen and Amundsen Seas: two case studies</t>
  </si>
  <si>
    <t>ice temperature; ice velocity; ice/ocean interactions; sea-ice growth and decay</t>
  </si>
  <si>
    <t>WESTERN WEDDELL SEA; MASS-BALANCE BUOY; MAUD-RISE; SUMMER; ZONE; DEFORMATION; DYNAMICS; PACIFIC; GLACIER; DRIFT</t>
  </si>
  <si>
    <t>We examine the role of ocean heat flux (OHF) in Antarctic sea-ice growth and melt using data from autonomous ice mass-balance buoys deployed on pack ice in the Bellingshausen Sea and on fast ice in the Amundsen Sea during the spring/summer (October-December 2007) and summer/autumn (February-March 2009) transitions, respectively. OHFs are derived using two methods that examine changes in (1) sub-ice ocean water properties (OHF1) and (2) ice thickness (OHF2), the latter only applying to thick snow-covered ice (i.e. a near-zero temperature gradient near the ice bottom). Good agreement is found between the time-averaged estimates of OHF1 and OHF2. Average OHF measured was 8 +/- 2 W m(-2) under the pack ice and 17 +/- 2 W m(-2) under the landfast ice. Some short-term OHF values (OHF1) in both seas exceeded 55 W m(-2). The spring OHF variations in the Bellingshausen Sea were periodic and controlled by semi-diurnal ice velocity fluctuations. Larger temperature fluctuations in the summer Amundsen Sea, originating from incursions of warm deep water masses, contributed to the OHF being twice as high as in the Bellingshausen Sea and also accounted for the irregular OHF variability there.</t>
  </si>
  <si>
    <t>[Ackley, Stephen F.; Xie, Hongjie; Tichenor, Elizabeth A.] Univ Texas San Antonio, Dept Geol Sci, Lab Remote Sensing &amp; Geoinformat, San Antonio, TX 78249 USA</t>
  </si>
  <si>
    <t>University of Texas System; University of Texas at San Antonio (UTSA)</t>
  </si>
  <si>
    <t>Ackley, SF (corresponding author), Univ Texas San Antonio, Dept Geol Sci, Lab Remote Sensing &amp; Geoinformat, San Antonio, TX 78249 USA.</t>
  </si>
  <si>
    <t>hongjie.xie@utsa.edu</t>
  </si>
  <si>
    <t>Xie, Hongjie/B-5845-2009</t>
  </si>
  <si>
    <t>Xie, Hongjie/0000-0003-3516-1210</t>
  </si>
  <si>
    <t>US National Science Foundation [ANT 0703682, ANT-0839053]; NASA grant [NNX08AQ87G]; UTSA's Center for Water Research (CWR); US Department of Agriculture's (USDA) Hispanic Leaders in Agriculture and the Environment (HLAE) program; NASA [95455, NNX08AQ87G] Funding Source: Federal RePORTER; Office of Polar Programs (OPP); Directorate For Geosciences [1341717] Funding Source: National Science Foundation</t>
  </si>
  <si>
    <t>US National Science Foundation(National Science Foundation (NSF)); NASA grant(National Aeronautics &amp; Space Administration (NASA)); UTSA's Center for Water Research (CWR); US Department of Agriculture's (USDA) Hispanic Leaders in Agriculture and the Environment (HLAE) program; NASA(National Aeronautics &amp; Space Administration (NASA)); Office of Polar Programs (OPP); Directorate For Geosciences(National Science Foundation (NSF)NSF - Directorate for Geosciences (GEO))</t>
  </si>
  <si>
    <t>This work was supported by US National Science Foundation grants ANT 0703682 - Sea Ice Mass Balance in the Antarctic (principal investigator (PI) S.F. Ackley) and ANT-0839053 - Sea Ice System in Antarctic Summer (Pls S.F. Ackley, H. Xie, B. Nowak), and NASA grant NNX08AQ87G - Antarctic Sea Ice from Space (Pls S.F. Ackley, H. Xie), all to the University of Texas at San Antonio (UTSA). We thank Bruce Elder (CRREL, Hanover NH) for preparing IMB equipment and data-processing templates, Cathy Geiger for real-time monitoring of Argos data transmission, and Sharon Stammerjohn and the other scientists and crew of the N.B. Palmer for deployment of equipment in the field. E.A. Tichenor acknowledges the support of UTSA's Center for Water Research (CWR) and the US Department of Agriculture's (USDA) Hispanic Leaders in Agriculture and the Environment (HLAE) program. Critical reviews and constructive comments by editors Petteri Uotila and Petra Heil and two anonymous reviewers improved the quality of the manuscript and are greatly appreciated.</t>
  </si>
  <si>
    <t>10.3189/2015AoG69A890</t>
  </si>
  <si>
    <t>WOS:000363082900024</t>
  </si>
  <si>
    <t>Bennetts, LG; O'Farrell, S; Uotila, P; Squire, VA</t>
  </si>
  <si>
    <t>Bennetts, Luke G.; O'Farrell, Siobhan; Uotila, Petteri; Squire, Vernon A.</t>
  </si>
  <si>
    <t>An idealized wave-ice interaction model without subgrid spatial or temporal discretizations</t>
  </si>
  <si>
    <t>ice/ocean interactions; sea-ice dynamics; sea-ice modelling</t>
  </si>
  <si>
    <t>SEA-ICE; OCEAN WAVES; ATTENUATION</t>
  </si>
  <si>
    <t>A new numerical implementation is proposed for a wave ice interaction model. It is applied to an idealized transect geometry. Wave attenuation due to ice floes and wave-induced ice fracture are both included in the model. The new method alleviates the need for subgrid spatial or temporal discretizations, thereby facilitating future integration of wave ice interactions into large-scale coupled models.</t>
  </si>
  <si>
    <t>[Bennetts, Luke G.] Univ Adelaide, Sch Math Sci, Adelaide, SA, Australia; [O'Farrell, Siobhan; Uotila, Petteri] CSIRO Marine &amp; Atmospher Res, Aspendale, Vic, Australia; [Squire, Vernon A.] Univ Otago, Dept Math &amp; Stat, Dunedin, New Zealand</t>
  </si>
  <si>
    <t>University of Adelaide; Commonwealth Scientific &amp; Industrial Research Organisation (CSIRO); University of Otago</t>
  </si>
  <si>
    <t>Bennetts, LG (corresponding author), Univ Adelaide, Sch Math Sci, Adelaide, SA, Australia.</t>
  </si>
  <si>
    <t>luke.bennetts@adelaide.edu.au</t>
  </si>
  <si>
    <t>Bennetts, Luke/N-1448-2019; Uotila, Petteri/A-1703-2012</t>
  </si>
  <si>
    <t>Bennetts, Luke/0000-0001-9386-7882; Uotila, Petteri/0000-0002-2939-7561; Squire, Vernon/0000-0002-5570-3446</t>
  </si>
  <si>
    <t>Australian Antarctic Science Program [4123]; Office of Naval Research funds [N00014-131-0279]; Australian Research Council [DE130101571]; Australian Research Council [DE130101571] Funding Source: Australian Research Council</t>
  </si>
  <si>
    <t>Australian Antarctic Science Program; Office of Naval Research funds(Office of Naval Research); Australian Research Council(Australian Research Council); Australian Research Council(Australian Research Council)</t>
  </si>
  <si>
    <t>The Australian Research Council (DE130101571) and Australian Antarctic Science Program (Project 4123) fund L.G.B. The Office of Naval Research (N00014-131-0279) funds V.A.S.</t>
  </si>
  <si>
    <t>10.3189/2015AoG69A599</t>
  </si>
  <si>
    <t>CT8RH</t>
  </si>
  <si>
    <t>WOS:000363083200005</t>
  </si>
  <si>
    <t>Montiel, F; Squire, VA; Bennetts, LG</t>
  </si>
  <si>
    <t>Montiel, Fabien; Squire, Vernon A.; Bennetts, Luke G.</t>
  </si>
  <si>
    <t>Reflection and transmission of ocean wave spectra by a band of randomly distributed ice floes</t>
  </si>
  <si>
    <t>ice/ocean interactions; sea ice; sea-ice dynamics; sea-ice modelling</t>
  </si>
  <si>
    <t>SCATTERING; BODIES; ARRAY</t>
  </si>
  <si>
    <t>A new ocean wave/sea-ice interaction model is proposed that simulates how a directional wave spectrum evolves as it travels through an arbitrary finite array of circular ice floes, where wave/ice dynamics are entirely governed by wave-scattering effects. The model is applied to characterize the wave reflection and transmission properties of a strip of ice floes, such as an ice edge band. A method is devised to extract the reflected and transmitted directional wave spectra produced by the array. The method builds upon an integral mapping from polar to Cartesian coordinates of the scattered wave components. Sensitivity tests are conducted for a row of floes randomly perturbed from a regular arrangement. Results for random arrays are generated using ensemble averaging. A realistic ice edge band is then reconstructed from field experiment data. Simulations show good qualitative agreement with the data in terms of transmitted wave energy and directional spreading. In particular, it is observed that short waves become isotropic quickly after penetrating the ice field.</t>
  </si>
  <si>
    <t>[Montiel, Fabien; Squire, Vernon A.] Univ Otago, Dept Math &amp; Stat, Dunedin, New Zealand; [Bennetts, Luke G.] Univ Adelaide, Sch Math Sci, Adelaide, SA, Australia</t>
  </si>
  <si>
    <t>University of Otago; University of Adelaide</t>
  </si>
  <si>
    <t>Montiel, F (corresponding author), Univ Otago, Dept Math &amp; Stat, Dunedin, New Zealand.</t>
  </si>
  <si>
    <t>fmontiel@maths.otago.ac.nz</t>
  </si>
  <si>
    <t>Bennetts, Luke/N-1448-2019</t>
  </si>
  <si>
    <t>Bennetts, Luke/0000-0001-9386-7882; Squire, Vernon/0000-0002-5570-3446; Montiel, Fabien/0000-0002-6126-6385</t>
  </si>
  <si>
    <t>ONR [N00014-131-0279]; University of Otago; Australian Research Council [DE130101571]; Australian Antarctic Science Grant Program [4123]</t>
  </si>
  <si>
    <t>ONR(Office of Naval Research); University of Otago; Australian Research Council(Australian Research Council); Australian Antarctic Science Grant Program</t>
  </si>
  <si>
    <t>The work described in this paper is embedded in the US Office of Naval Research (ONR) Departmental Research Initiative 'Sea State and Boundary Layer Physics of the Emerging Arctic Ocean'. The authors are grateful to ONR Award No. N00014-131-0279 and to the University of Otago for financial support. L.G.B. acknowledges funding support from the Australian Research Council (DE130101571) and the Australian Antarctic Science Grant Program (Project 4123).</t>
  </si>
  <si>
    <t>10.3189/2015AoG69A556</t>
  </si>
  <si>
    <t>WOS:000363083200011</t>
  </si>
  <si>
    <t>Kusahara, K; Sato, T; Oka, A; Obase, T; Greve, R; Abe-Ouchi, A; Hasumi, H</t>
  </si>
  <si>
    <t>Kusahara, Kazuya; Sato, Tatsuru; Oka, Akira; Obase, Takashi; Greve, Ralf; Abe-Ouchi, Ayako; Hasumi, Hiroyasu</t>
  </si>
  <si>
    <t>Modelling the Antarctic marine cryosphere at the Last Glacial Maximum</t>
  </si>
  <si>
    <t>climate change; ice shelves; ice/ocean interactions; palaeoclimate; sea-ice modelling</t>
  </si>
  <si>
    <t>ICE-SHEET MODEL; OVERTURNING CIRCULATION; ATLANTIC-OCEAN; SEA-ICE; CLIMATE; SENSITIVITIES; SIMULATION; GREENLAND; HISTORY; HEAT</t>
  </si>
  <si>
    <t>We estimate the sea-ice extent and basal melt of Antarctic ice shelves at the Last Glacial Maximum (LGM) using a coupled ice-shelf-sea-ice-ocean model. The shape of Antarctic ice shelves, ocean conditions and atmospheric surface conditions at the LGM are different from those in the present day; these are derived from an ice-shelf-ice-sheet model, a sea-ice-ocean model and a climate model for glacial simulations, respectively. The winter sea ice in the LGM is shown to extend up to similar to 7 degrees of latitude further equatorward than in the present day. For the LGM summer, the model shows extensive sea-ice cover in the Atlantic sector and little sea ice in the other sectors. These modelled sea-ice features are consistent with those reconstructed from sea-floor sedimentary records. Total basal melt of Antarctic ice shelves in the LGM was similar to 2147 Gt a(-1), which is much larger than the present-day value. More warm waters originating from Circumpolar Deep Water could be easily transported into ice-shelf cavities during the LGM because the full glacial grounding line extended to shelf break regions and ice shelves overhung continental slopes. This increased transport of warm water masses underneath an ice shelf and into their basal cavities led to the high basal melt of ice shelves in the LGM.</t>
  </si>
  <si>
    <t>[Kusahara, Kazuya; Sato, Tatsuru; Greve, Ralf] Hokkaido Univ, Inst Low Temp Sci, Sapporo, Hokkaido 060, Japan; [Kusahara, Kazuya] Antarctic Climate &amp; Ecosyst Cooperat Res Ctr, Hobart, Tas, Australia; [Oka, Akira; Obase, Takashi; Abe-Ouchi, Ayako; Hasumi, Hiroyasu] Univ Tokyo, Atmosphere &amp; Ocean Res Inst, Chiba, Japan</t>
  </si>
  <si>
    <t>Hokkaido University; Antarctic Climate &amp; Ecosystems Cooperative Research Centre (ACE CRC); University of Tokyo</t>
  </si>
  <si>
    <t>Kusahara, K (corresponding author), Hokkaido Univ, Inst Low Temp Sci, Sapporo, Hokkaido 060, Japan.</t>
  </si>
  <si>
    <t>kazuya.kusahara@gmail.com</t>
  </si>
  <si>
    <t>Abe-Ouchi, Ayako A/M-6359-2013; Greve, Ralf/G-2336-2010</t>
  </si>
  <si>
    <t>Abe-Ouchi, Ayako A/0000-0003-1745-5952; Kusahara, Kazuya/0000-0003-4067-7959; Greve, Ralf/0000-0002-1341-4777</t>
  </si>
  <si>
    <t>Japan Society for the Promotion of Science (JSPS) [26247080, 23340138, 25887001]; Canon Foundation; JSPS [26247080, 23340138, 22244058, 25241005]; Grants-in-Aid for Scientific Research [26241011, 25887001, 23340138, 25241005, 22244058, 26247080] Funding Source: KAKEN</t>
  </si>
  <si>
    <t>Japan Society for the Promotion of Science (JSPS)(Ministry of Education, Culture, Sports, Science and Technology, Japan (MEXT)Japan Society for the Promotion of Science); Canon Foundation(Canon Foundation);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</si>
  <si>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Numerical simulations were performed on a Fujitsu FX10 at the Information Technology Center, University of Tokyo. K.K. was supported by Grants-in-Aid for Scientific Research A (No. 26247080), B (No. 23340138) and Research Activity Start-up (No. 25887001) from the Japan Society for the Promotion of Science (JSPS) and by The Canon Foundation. H.H. was supported by Grants-in-Aid for Scientific Research A (No. 26247080) and B (No. 23340138) from the JSPS. T.S. and R.G. were supported by a Grant-in-Aid for Scientific Research A (No. 22244058) from the JSPS. A.A.-O., A.O., R.G. and H.H. were supported by a Grant-in-Aid for Scientific Research A (No. 25241005) from the JSPS. We are grateful to the chief editor P. Heil, the scientific editor R.A. Massom and two anonymous reviewers for their careful reading and constructive comments on the manuscript.</t>
  </si>
  <si>
    <t>10.3189/2015AoG69A792</t>
  </si>
  <si>
    <t>Green Submitted, Bronze, Green Accepted, Green Published</t>
  </si>
  <si>
    <t>WOS:000363083200022</t>
  </si>
  <si>
    <t>Lord, JM</t>
  </si>
  <si>
    <t>Lord, Janice M.</t>
  </si>
  <si>
    <t>Patterns in floral traits and plant breeding systems on Southern Ocean Islands</t>
  </si>
  <si>
    <t>AOB PLANTS</t>
  </si>
  <si>
    <t>Cool temperate; dioecy; gynodioecy; self-incompatibility; southern hemisphere; subantarctic; wind-pollination</t>
  </si>
  <si>
    <t>ANTARCTIC CAMPBELL ISLAND; NEW-ZEALAND; POLLINATION SYSTEMS; KERGUELEN ISLANDS; CLIMATE-CHANGE; BIOGEOGRAPHY; EVOLUTION; ESTABLISHMENT; ADAPTATION; VEGETATION</t>
  </si>
  <si>
    <t>The harsh climatic conditions and paucity of potential pollinators on Southern Ocean Islands (SOIs; latitude 46 degrees S-55 degrees S) lead to the expectation that anemophily or self-fertilization are the dominant modes of plant sexual reproduction. However, at least some species have showy inflorescences suggesting biotic pollination or dimorphic breeding systems necessitating cross-pollination. This study investigates whether anemophily and self-compatibility are common on SOIs, whether species or genera with these traits are more widespread or frequent at higher latitudes, and whether gender dimorphy is correlated with anemophily, as might occur if reliance on pollinators was a disadvantage. Of the 321 flowering plant species in the SOI region, 34.3 % possessed floral traits consistent with anemophily. Compatibility information was located for 94 potentially self-fertilizing species, of which 92.6 % were recorded as partially or fully self-compatible. Dioecy occurred in 7.1 % of species overall and up to 10.2 % of island floras, but has not clearly arisen in situ. Gynodioecy occurred in 3.4 % of species. The frequency of anemophily and gender dimorphy did not differ between the SOI flora and southern hemisphere temperate reference floras. At the species level, gender dimorphy was positively associated with fleshy fruit, but at the genus level it was associated with occurrence in New Zealand and a reduced regional distribution. Anemophily was more prevalent in genera occurring on subantarctic islands and the proportion of species with floral traits suggestive of biotic pollination was significantly higher on climatically milder, cool temperate islands. These results support the contention that reliance on biotic pollinators has constrained the distribution of species on SOIs; however, it is also clear that the reproductive biology of few SOI species has been studied in situ and many species likely employ a mixed mating strategy combining biotic pollination with self-fertilization.</t>
  </si>
  <si>
    <t>[Lord, Janice M.] Univ Otago, Dept Bot, POB 56, Dunedin 9054, New Zealand</t>
  </si>
  <si>
    <t>Lord, JM (corresponding author), Univ Otago, Dept Bot, POB 56, Dunedin 9054, New Zealand.</t>
  </si>
  <si>
    <t>janice.lord@otago.ac.nz</t>
  </si>
  <si>
    <t>Lord, Janice Marjorie/A-8869-2012</t>
  </si>
  <si>
    <t>Lord, Janice Marjorie/0000-0001-8314-0428</t>
  </si>
  <si>
    <t>University of Otago Research and Study Leave Grant; Fulbright New Zealand Travel Award</t>
  </si>
  <si>
    <t>Funding for this project was provided by a University of Otago Research and Study Leave Grant and a Fulbright New Zealand Travel Award.</t>
  </si>
  <si>
    <t>2041-2851</t>
  </si>
  <si>
    <t>Aob Plants</t>
  </si>
  <si>
    <t>plv095</t>
  </si>
  <si>
    <t>10.1093/aobpla/plv095</t>
  </si>
  <si>
    <t>Plant Sciences; Ecology</t>
  </si>
  <si>
    <t>Plant Sciences; Environmental Sciences &amp; Ecology</t>
  </si>
  <si>
    <t>DC2CW</t>
  </si>
  <si>
    <t>Green Published, Green Submitted</t>
  </si>
  <si>
    <t>WOS:000369025800001</t>
  </si>
  <si>
    <t>Keeley, NB; Forrest, BM; Macleod, CK</t>
  </si>
  <si>
    <t>Keeley, Nigel B.; Forrest, Barrie M.; Macleod, Catriona K.</t>
  </si>
  <si>
    <t>Benthic recovery and re-impact responses from salmon farm enrichment: Implications for farm management</t>
  </si>
  <si>
    <t>AQUACULTURE</t>
  </si>
  <si>
    <t>Macrofauna; Spatial and temporal patterns; Environmental management; Fallowing; New Zealand</t>
  </si>
  <si>
    <t>CAPITATA TYPE-I; ORGANIC ENRICHMENT; ATLANTIC SALMON; COASTAL WATERS; SEDIMENTS; ESTUARINE; PACIFIC; COMMUNITIES; REMEDIATION; DISTURBANCE</t>
  </si>
  <si>
    <t>This paper describes a two-year study of spatial and temporal patterns and processes in the benthos in response to the removal of salmon cages from a sheltered coastal embayment, coupled with the simultaneous reintroduction of cages at an adjacent location. Significant recovery was evident at the fallowed site in the first six months; however, the macrofaunal assemblage remained impacted at the conclusion of the study. By comparison, the reintroduction of a fully operational farm overwhelmed the macrobenthic community within three months, with anoxic and near-azoic conditions developing. Both removal and reintroduction of the farms triggered alternating oscillations of geochemical and biological variables, which were attributed to effects on sediment chemistry from organic loading, 'boom and bust' cycles of opportunistic taxa in response to food supply, and the associated variations in metabolic potential. The study also revealed interesting spatial dynamics in the benthos and some useful indicators of different stages of recovery and re-impact. It is concluded that farm reintroductions should aim to gradually increase production; allowing time for the benthos to adapt to the additional organic flux, and be maintained at a level that avoids macrofaunal collapse. The sediment's ability to cope with organic inputs from fish farming, and hence the duration of the recovery period, is contingent on the organic load in each farming cycle and the extent to which the sediment community is allowed to recover. Understanding the influence of each of these on sediment processes is important for sustainable long-term management of farming operations. (C) 2014 Elsevier B.V. All rights reserved.</t>
  </si>
  <si>
    <t>[Keeley, Nigel B.; Forrest, Barrie M.] Cawthron Inst, Nelson 7010, New Zealand; [Keeley, Nigel B.; Macleod, Catriona K.] Univ Tasmania, Tasmanian Aquaculture &amp; Fisheries Inst, Taroona, Tas, Australia</t>
  </si>
  <si>
    <t>Cawthron Institute; University of Tasmania</t>
  </si>
  <si>
    <t>Keeley, NB (corresponding author), Cawthron Inst, Nelson 7010, New Zealand.</t>
  </si>
  <si>
    <t>nigel.keeley@cawthron.org.nz</t>
  </si>
  <si>
    <t>Macleod, Catriona/J-7176-2014</t>
  </si>
  <si>
    <t>Macleod, Catriona/0000-0002-0539-6361</t>
  </si>
  <si>
    <t>Cawthron Institute (Nelson, NewZealand); Institute of Marine and Antarctic Sciences (IMAS), University of Tasmania</t>
  </si>
  <si>
    <t>This research was supported by the Cawthron Institute (Nelson, NewZealand) through internal investment funding (IIF), with additional support from the Institute of Marine and Antarctic Sciences (IMAS), University of Tasmania. We would also like to acknowledge the support of New Zealand King Salmon Company Ltd., who made available much of the source data. Taxonomic analysis was undertaken by Rod Asher, Bill Nikkel and Fiona Gower, also of the Cawthron Institute. Invaluable field assistance was provided by Reid Forrest, Dr Robyn Dunmore and Dr Dave Taylor.</t>
  </si>
  <si>
    <t>0044-8486</t>
  </si>
  <si>
    <t>1873-5622</t>
  </si>
  <si>
    <t>Aquaculture</t>
  </si>
  <si>
    <t>10.1016/j.aquaculture.2014.10.007</t>
  </si>
  <si>
    <t>Fisheries; Marine &amp; Freshwater Biology</t>
  </si>
  <si>
    <t>AT9EA</t>
  </si>
  <si>
    <t>WOS:000345229500057</t>
  </si>
  <si>
    <t>Wright, DW; Nowak, B; Oppedal, F; Bridle, A; Dempster, T</t>
  </si>
  <si>
    <t>Wright, Daniel W.; Nowak, Barbara; Oppedal, Frode; Bridle, Andrew; Dempster, Tim</t>
  </si>
  <si>
    <t>Depth distribution of the amoebic gill disease agent, Neoparamoeba perurans, in salmon sea-cages</t>
  </si>
  <si>
    <t>AQUACULTURE ENVIRONMENT INTERACTIONS</t>
  </si>
  <si>
    <t>Parasite control; Atlantic salmon; Salmo salar; Neoparamoeba perurans; Depth distribution; Sea-cages</t>
  </si>
  <si>
    <t>ATLANTIC SALMON; SALAR L.; ENVIRONMENTAL-FACTORS; SWIMMING BEHAVIOR; PEMAQUIDENSIS; PARAMOEBA; CULTURE; GROWTH</t>
  </si>
  <si>
    <t>Identifying where and when parasites occur in farming environments is vital to understand transmission dynamics and develop preventative measures that reduce host-parasite encounters. A major parasite concern for Atlantic salmon farming is Neoparamoeba perurans, a marine amoeba that causes the potentially fatal amoebic gill disease (AGD), for which few control options exist. We explored whether free-living N. perurans abundance differs among depths in commercial Atlantic salmon Salmo salar sea-cages. Water samples collected from the surface to 10 m depth at multiple cage sites and times, and subsequently subjected to qPCR analysis, revealed that N. perurans abundance was influenced by depth at the time of year when amoeba numbers were highest, with more amoebae in surface waters. No distinct depth patterns were observed when amoebae were in low abundance. Across all times, temperature and salinity were largely homogeneous throughout cage depths. Possible factors explaining the presence of amoebae at the surface are discussed. Our results suggest that excluding caged salmon from upper cage depths where N. perurans is more abundant could be an effective management strategy to reduce the speed at which initial infections occur and delay the development of AGD outbreaks.</t>
  </si>
  <si>
    <t>[Wright, Daniel W.; Dempster, Tim] Univ Melbourne, Sch Biosci, SALTT, Parkville, Vic 3010, Australia; [Nowak, Barbara; Bridle, Andrew] Univ Tasmania, Inst Marine &amp; Antarctic Studies, Launceston, Tas 7250, Australia; [Oppedal, Frode] Inst Marine Res, N-5984 Matredal, Norway</t>
  </si>
  <si>
    <t>University of Melbourne; University of Tasmania; Institute of Marine Research - Norway</t>
  </si>
  <si>
    <t>Wright, DW (corresponding author), Univ Melbourne, Sch Biosci, SALTT, Parkville, Vic 3010, Australia.</t>
  </si>
  <si>
    <t>danielw1@student.unimelb.edu.au</t>
  </si>
  <si>
    <t>Bridle, Andrew R/B-4117-2013; Wright, Daniel/JCO-8008-2023; Dempster, Tim/E-9630-2011; Nowak, Barbara/J-7261-2014</t>
  </si>
  <si>
    <t>Dempster, Tim/0000-0001-8041-426X; Oppedal, Frode/0000-0001-8625-0331; Nowak, Barbara/0000-0002-0347-643X; Bridle, Andrew/0000-0002-5788-1297</t>
  </si>
  <si>
    <t>Australian Research Council Future Fellowship grant</t>
  </si>
  <si>
    <t>Australian Research Council Future Fellowship grant(Australian Research Council)</t>
  </si>
  <si>
    <t>We thank Francisca Samsing and Fletcher Warren-Myers for assistance in the field, and Carlos Zarza and Linda Sams from Tassal and Steve Percival from Huon Aquaculture for assistance. Luke Barrett advised on statistical analyses. Funding was provided by an Australian Research Council Future Fellowship grant to T.D.</t>
  </si>
  <si>
    <t>1869-215X</t>
  </si>
  <si>
    <t>1869-7534</t>
  </si>
  <si>
    <t>AQUACULT ENV INTERAC</t>
  </si>
  <si>
    <t>Aquac. Environ. Interact.</t>
  </si>
  <si>
    <t>10.3354/aei00137</t>
  </si>
  <si>
    <t>CP6QH</t>
  </si>
  <si>
    <t>Green Accepted, gold, Green Submitted</t>
  </si>
  <si>
    <t>WOS:000360012300006</t>
  </si>
  <si>
    <t>Golobokova, LP; Khodzher, TV; Onischuk, NA; Polkin, VV; Polkin, VV; Sakerin, SM; Radionov, VF</t>
  </si>
  <si>
    <t>Melnikov, VP; Drozdov, DS</t>
  </si>
  <si>
    <t>Golobokova, L. P.; Khodzher, T. V.; Onischuk, N. A.; Polkin, Vas. V.; Polkin, Vik. V.; Sakerin, S. M.; Radionov, V. F.</t>
  </si>
  <si>
    <t>Investigation of Dry Deposition in the Arctic in 2013</t>
  </si>
  <si>
    <t>ARCTIC, SUBARCTIC: MOSAIC, CONTRAST, VARIABILITY OF THE CRYOSPHERE</t>
  </si>
  <si>
    <t>Russian</t>
  </si>
  <si>
    <t>International Conference on Arctic, Subarctic - Mosaic, Contrast, Variability of the Cryosphere</t>
  </si>
  <si>
    <t>JUL 02-05, 2015</t>
  </si>
  <si>
    <t>Tyumen, RUSSIA</t>
  </si>
  <si>
    <t>aerosol; Arctic; Sea Far East Russia; gaseous impurities; chemical composition</t>
  </si>
  <si>
    <t>AEROSOL</t>
  </si>
  <si>
    <t>In this work it was presented the results of the research of chemical characteristics of the water-soluble fraction of aerosol (ions, elements) and gaseous impurities. It was calculated their vertical flows in the water areas of the Arctic and Far Eastern seas adjacent to Russia, the routes RV Akademik Fedorov and RV Professor Khljustin  in July-September 2013. The main flow of substances was carried out the from atmosphere to the sea surface with gas impurities of 75-89%. The share of precipitating ions totaled from 11 to 24.5%, soluble micronutrients - 0.2-0.4%. The average vertical flows substances with aerosols were less 4-7 times than in the Sea of Japan.</t>
  </si>
  <si>
    <t>[Golobokova, L. P.; Khodzher, T. V.; Onischuk, N. A.] Limnol Inst SB RAS, Irkutsk, Russia; [Polkin, Vas. V.; Polkin, Vik. V.; Sakerin, S. M.] VE Zuev Inst Atmospher Opt SB RAS, Tomsk, Russia; [Radionov, V. F.] Fed State Budgetary Inst, Arctic &amp; Antarctic Res Inst, St Petersburg, Russia</t>
  </si>
  <si>
    <t>Irkutsk Science Centre of the Russian Academy of Sciences; Russian Academy of Sciences; Limnological Institute SB RAS; Zuev Institute of Atmospheric Optics, Siberian Branch of the Russian Academy of Sciences; Russian Academy of Sciences; Arctic &amp; Antarctic Research Institute</t>
  </si>
  <si>
    <t>Golobokova, LP (corresponding author), Limnol Inst SB RAS, Irkutsk, Russia.</t>
  </si>
  <si>
    <t>Golobokova, Liudmila Petrovna/J-4361-2018; Polkin, Vasiliy V/A-5364-2014; Sakerin, Sergey/A-6508-2014; Polkin, Victor/G-4153-2014; Radionov, Vladimir F./O-3038-2017</t>
  </si>
  <si>
    <t>EPOCH PUBLISHING HOUSE</t>
  </si>
  <si>
    <t>TJUMEN</t>
  </si>
  <si>
    <t>UL SVERDLOVA, 25, TJUMEN, 625002, RUSSIA</t>
  </si>
  <si>
    <t>978-5-9906392-0-1</t>
  </si>
  <si>
    <t>BG8NJ</t>
  </si>
  <si>
    <t>WOS:000392502400019</t>
  </si>
  <si>
    <t>Huang, ZH; Fu, JN; Zong, WK; Wang, LZ; Lucas, MM; Wang, LF; Michael, CBA; Cui, XQ; Feng, LL; Gong, XF; Jon, SL; Liu, Q; Daniel, LV; Carl, RP; Yang, HG; Yuan, XY; Donald, GY; Zhou, X; Zhu, ZX; Zhu, ZH</t>
  </si>
  <si>
    <t>Huang Zhihua; Fu Jianning; Zong Weikai; Wang Lingzhi; Lucas, Macri M.; Wang Lifan; Michael, Ashley C. B.; Cui Xiangqun; Feng Long-Long; Gong Xuefei; Jon, Lawrence S.; Liu Qiang; Daniel, Luong-Van; Carl, Pennypacker R.; Yang Huigen; Yuan Xiangyan; Donald, York G.; Zhou Xu; Zhu Zhenxi; Zhu Zonghong</t>
  </si>
  <si>
    <t>PULSATIONS AND PERIOD CHANGES OF THE NON-BLAZHKO RR LYRAE VARIABLE Y OCT OBSERVED FROM DOME A, ANTARCTICA</t>
  </si>
  <si>
    <t>stars: individual (Y Oct); stars: variables: RR Lyrae; techniques: photometric</t>
  </si>
  <si>
    <t>ULTRAVIOLET RADIAL-VELOCITIES; SPECTROSCOPIC BINARY ORBITS; BASE-LINE INTERFEROMETRY; CYGNUS OB2 ASSOCIATION; MASSIVE STAR-FORMATION; FINE GUIDANCE SENSOR; O-TYPE STARS; GALACTIC O; SPECKLE INTERFEROMETRY; MAGELLANIC CLOUDS</t>
  </si>
  <si>
    <t>During the operation of the Chinese Small Telescope Array (CSTAR) in Dome A of Antarctica in the years 2008, 2009, and 2010, large amounts of photometric data have been obtained for variable stars in the CSTAR field. We present here the study of one of six RR Lyrae variables, Y Oct, observed with CSTAR in Dome A, Antarctica. Photometric data in the i band were obtained in 2008 and 2010, with a duty cycle (defined as the fraction of time representing scientifically available data to CSTAR observation time) of about 44% and 52%, respectively. In 2009, photometric data in the g and r bands were gathered for this star, with a duty cycle of 65% and 60%, respectively. Fourier analysis of the data in the three bands only shows the fundamental frequency and its harmonics, which is characteristic of the non-Blazhko RR Lyrae variables. Values of the fundamental frequency and the amplitudes, as well as the total pulsation amplitude, are obtained from the data in the three bands separately. The amplitude of the fundamental frequency and the total pulsation amplitude in the g band are the largest, and those in the i band the smallest. Two-hundred fifty-one times of maximum are obtained from the three seasons of data, which are analyzed together with 38 maximum times provided in the GEOS RR Lyrae database. A period change rate of -0.96 +/- 0.07 days Myr(-1) is then obtained, which is a surprisingly large negative value. Based on relations available in the literature, the following physical parameters are derived: [Fe/H] = -1.41 +/- 0.14, MV = 0.696 +/- 0.014 mag, V - K = 1.182 +/- 0.028 mag, log T-eff = 3.802 +/- 0.003 K, log g = 2.705 +/- 0.004, logL/L-circle dot = 1.625 +/- 0.013, and logM/M-circle dot = -0.240 +/- 0.019.</t>
  </si>
  <si>
    <t>[Huang Zhihua; Fu Jianning; Zong Weikai; Wang Lingzhi; Zhu Zonghong] Beijing Normal Univ, Dept Astron, Beijing 100875, Peoples R China; [Lucas, Macri M.; Wang Lifan] Texas A&amp;M Univ, Mitchell Inst Fundamental Phys &amp; Astron, Dept Phys &amp; Astron, College Stn, TX USA; [Wang Lingzhi; Wang Lifan; Cui Xiangqun; Feng Long-Long; Gong Xuefei; Liu Qiang; Yang Huigen; Yuan Xiangyan; Zhou Xu; Zhu Zhenxi; Zhu Zonghong] Chinese Ctr Antarctic Astron, Nanjing, Jiangsu, Peoples R China; [Wang Lingzhi; Liu Qiang; Zhou Xu] Chinese Acad Sci, Natl Astron Observ, Beijing, Peoples R China; [Wang Lifan; Feng Long-Long; Zhu Zhenxi] Chinese Acad Sci, Purple Mt Observ, Nanjing, Jiangsu, Peoples R China; [Michael, Ashley C. B.; Jon, Lawrence S.; Daniel, Luong-Van] Univ New S Wales, Sch Phys, Sydney, NSW 2052, Australia; [Cui Xiangqun; Gong Xuefei; Yuan Xiangyan] Nanjing Inst Astron Opt &amp; Technol, Nanjing, Jiangsu, Peoples R China; [Jon, Lawrence S.] Australian Astron Observ, N Ryde, NSW, Australia; [Carl, Pennypacker R.] Univ Calif Berkeley, Lawrence Berkeley Natl Lab, Ctr Astrophys, Berkeley, CA 94720 USA; [Yang Huigen] Polar Res Inst China, Shanghai, Peoples R China; [Donald, York G.] Univ Chicago, Dept Astron &amp; Astrophys, Chicago, IL 60637 USA; [Donald, York G.] Univ Chicago, Enrico Fermi Inst, Chicago, IL 60637 USA</t>
  </si>
  <si>
    <t>Beijing Normal University; Texas A&amp;M University System; Texas A&amp;M University College Station; Chinese Academy of Sciences; National Astronomical Observatory, CAS; Purple Mountain Observatory, CAS; Chinese Academy of Sciences; Nanjing Institute of Astronomical Optics &amp; Technology, NAOC, CAS; University of New South Wales Sydney; Chinese Academy of Sciences; Nanjing Institute of Astronomical Optics &amp; Technology, NAOC, CAS; University of California System; University of California Berkeley; United States Department of Energy (DOE); Lawrence Berkeley National Laboratory; Polar Research Institute of China; University of Chicago; University of Chicago</t>
  </si>
  <si>
    <t>Huang, ZH (corresponding author), Beijing Normal Univ, Dept Astron, Beijing 100875, Peoples R China.</t>
  </si>
  <si>
    <t>jnfu@bnu.edu.cn</t>
  </si>
  <si>
    <t>Lawrence, Jon/0000-0002-6998-6993; Macri, Lucas/0000-0002-1775-4859; Wang, Lingzhi/0000-0002-1094-3817</t>
  </si>
  <si>
    <t>FGS work at Georgia State University; Space Telescope Science Institute; NASA [NAS5-26555]; GSU College of Arts and Sciences; Research Program Enhancement fund of the Board of Regents of the University System of Georgia; Spanish Government Ministerio de Economia y Competitividad (MINECO) [AYA2010-15 081, AYA2010-17 631]; Consejeria de Educacion of the Junta de Andalucia [P08-TIC-4075]; NSERC (Canada); FQRNT (Quebec); CRAQ (Quebec)</t>
  </si>
  <si>
    <t>FGS work at Georgia State University; Space Telescope Science Institute(Space Telescope Science Institute); NASA(National Aeronautics &amp; Space Administration (NASA)); GSU College of Arts and Sciences; Research Program Enhancement fund of the Board of Regents of the University System of Georgia; Spanish Government Ministerio de Economia y Competitividad (MINECO); Consejeria de Educacion of the Junta de Andalucia(Junta de Andalucia); NSERC (Canada)(Natural Sciences and Engineering Research Council of Canada (NSERC)); FQRNT (Quebec)(FQRNT); CRAQ (Quebec)</t>
  </si>
  <si>
    <t>We are grateful to Denise Taylor of STScI for her remarkably effective efforts that made these HST observations possible. We also thank John Subasavage, Sergio Dieterich, and Adric Riedel for their support of the FGS work at Georgia State University. Support for HST proposal numbers GO-11212, 11901, 11943, and 11944 was provided by NASA through a grant from the Space Telescope Science Institute, which is operated by the Association of Universities for Research in Astronomy, Incorporated, under NASA contract NAS5-26555. Institutional support has been provided from the GSU College of Arts and Sciences and from the Research Program Enhancement fund of the Board of Regents of the University System of Georgia, administered through the GSU Office of the Vice President for Research and Economic Development. J.M.A. acknowledges support from the Spanish Government Ministerio de Economia y Competitividad (MINECO) through grants AYA2010-15 081 and AYA2010-17 631 and the Consejeria de Educacion of the Junta de Andalucia through grant P08-TIC-4075. A.F.J.M. is grateful to NSERC (Canada) and FQRNT (Quebec) for financial assistance. N.D.R. gratefully acknowledges his CRAQ (Quebec) fellowship. This research has made use of the WDS Catalog maintained at the U.S. Naval Observatory and the WEBDA database, operated at the Institute for Astronomy of the University of Vienna.</t>
  </si>
  <si>
    <t>10.1088/0004-6256/149/1/25</t>
  </si>
  <si>
    <t>WOS:000347308300024</t>
  </si>
  <si>
    <t>Glatthor, N; Höpfner, M; Stiller, GP; von Clarmann, T; Funke, B; Lossow, S; Eckert, E; Grabowski, U; Kellmann, S; Linden, A; Walker, KA; Wiegele, A</t>
  </si>
  <si>
    <t>Glatthor, N.; Hoepfner, M.; Stiller, G. P.; von Clarmann, T.; Funke, B.; Lossow, S.; Eckert, E.; Grabowski, U.; Kellmann, S.; Linden, A.; Walker, K. A.; Wiegele, A.</t>
  </si>
  <si>
    <t>Seasonal and interannual variations in HCN amounts in the upper troposphere and lower stratosphere observed by MIPAS</t>
  </si>
  <si>
    <t>BIOMASS BURNING EMISSIONS; SOLAR SPECTROSCOPIC MEASUREMENTS; VERTICAL COLUMN ABUNDANCES; ATMOSPHERIC CHEMISTRY; ACE-FTS; HYDROGEN-CYANIDE; CO; C2H6; TRANSPORT; POLLUTION</t>
  </si>
  <si>
    <t>We present a HCN climatology of the years 20022012, derived from FTIR limb emission spectra measured with the Michelson Interferometer for Passive Atmospheric Sounding (MIPAS) on the ENVISAT satellite, with the main focus on biomass burning signatures in the upper troposphere and lower stratosphere. HCN is an almost unambiguous tracer of biomass burning with a tropospheric lifetime of 5-6 months and a stratospheric lifetime of about 2 years. The MIPAS climatology is in good agreement with the HCN distribution obtained by the spaceborne ACE-FTS experiment and with airborne in situ measurements performed during the INTEX-B campaign. The HCN amounts observed by MIPAS in the southern tropical and subtropical upper troposphere have an annual cycle peaking in October-November, i. e. 1-2 months after the maximum of southern hemispheric fire emissions. The probable reason for the time shift is the delayed onset of deep convection towards austral summer. Because of overlap of varying biomass burning emissions from South America and southern Africa with sporadically strong contributions from Indonesia, the size and strength of the southern hemispheric plume have considerable interannual variations, with monthly mean maxima at, for example, 14 km between 400 and more than 700 pptv. Within 12 months after appearance of the plume, a considerable portion of the enhanced HCN is transported southward to as far as Antarctic latitudes. The fundamental period of HCN variability in the northern upper troposphere is also an annual cycle with varying amplitude, which in the tropics peaks in May after and during the biomass burning seasons in northern tropical Africa and southern Asia, and in the subtropics peaks in July due to trapping of pollutants in the Asian monsoon anticyclone (AMA). However, caused by extensive biomass burning in Indonesia and by northward transport of part of the southern hemispheric plume, northern HCN maxima also occur around October/November in several years, which leads to semi-annual cycles. There is also a temporal shift between enhanced HCN in northern low and mid-to high latitudes, indicating northward transport of pollutants. Due to additional biomass burning at mid-and high latitudes, this meridional transport pattern is not as clear as in the Southern Hemisphere. Upper tropospheric HCN volume mixing ratios (VMRs) above the tropical oceans decrease to below 200 pptv, presumably caused by ocean uptake, especially during boreal winter and spring. The tropical stratospheric tape recorder signal with an apparently biennial period, which was detected in MLS and ACE-FTS data from mid-2004 to mid-2007, is corroborated by MIPAS HCN data. The tape recorder signal in the whole MIPAS data set exhibits periodicities of 2 and 4 years, which are generated by interannual variations in biomass burning. The positive anomalies of the years 2003, 2007 and 2011 are caused by succession of strongly enhanced HCN from southern hemispheric and Indonesian biomass burning in boreal autumn and of elevated HCN from northern tropical Africa and the AMA in subsequent spring and summer. The anomaly of 2005 seems to be due to springtime emissions from tropical Africa followed by release from the summertime AMA. The vertical transport time of the anomalies is 1 month or less between 14 and 17 km in the upper troposphere and 8-11 months between 17 and 25 km in the lower stratosphere.</t>
  </si>
  <si>
    <t>[Glatthor, N.; Hoepfner, M.; Stiller, G. P.; von Clarmann, T.; Lossow, S.; Eckert, E.; Grabowski, U.; Kellmann, S.; Linden, A.; Wiegele, A.] Karlsruher Inst Technol, Inst Meteorol &amp; Klimaforsch, Karlsruhe, Germany; [Funke, B.] CSIC, Inst Astrofis Andalucia, Granada, Spain; [Walker, K. A.] Univ Toronto, Dept Phys, Toronto, ON, Canada</t>
  </si>
  <si>
    <t>Helmholtz Association; Karlsruhe Institute of Technology; Consejo Superior de Investigaciones Cientificas (CSIC); CSIC - Instituto de Astrofisica de Andalucia (IAA); University of Toronto</t>
  </si>
  <si>
    <t>Glatthor, N (corresponding author), Karlsruher Inst Technol, Inst Meteorol &amp; Klimaforsch, Karlsruhe, Germany.</t>
  </si>
  <si>
    <t>norbert.glatthor@kit.edu</t>
  </si>
  <si>
    <t>Stiller, Gabriele P./A-7340-2013; Funke, Bernd/C-2162-2008; Hopfner, Michael/A-7255-2013</t>
  </si>
  <si>
    <t>Stiller, Gabriele P./0000-0003-2883-6873; Funke, Bernd/0000-0003-0462-4702; Hopfner, Michael/0000-0002-4174-9531; Lossow, Stefan/0000-0003-2833-0522</t>
  </si>
  <si>
    <t>Canadian Space Agency; Natural Sciences and Engineering Research Council of Canada; Deutsche Forschungsgemeinschaft; Open Access Publishing Fund of the Karlsruhe Institute of Technology</t>
  </si>
  <si>
    <t>Canadian Space Agency(Canadian Space Agency); Natural Sciences and Engineering Research Council of Canada(Natural Sciences and Engineering Research Council of Canada (NSERC)CGIAR); Deutsche Forschungsgemeinschaft(German Research Foundation (DFG)); Open Access Publishing Fund of the Karlsruhe Institute of Technology</t>
  </si>
  <si>
    <t>The authors like to thank the European Space Agency for providing access to MIPAS level-1 data. Meteorological analysis data were provided by ECMWF. The Atmospheric Chemistry Experiment (ACE), also known as SCISAT, is a Canadian-led mission mainly supported by the Canadian Space Agency and the Natural Sciences and Engineering Research Council of Canada. We used fire emissions from the Global Fire Emissions Database version 3 (GFED3). Images of OLR and wind velocities were provided by the NOAA/ESRL Physical Sciences Division, Boulder, Colorado, from their website at http://www.esrl.noaa.gov/psd/. We acknowledge use of ground-based HCN data of the Network for the Detection of Atmospheric Composition Change (NDACC), which are publicly available (see http://www.ndacc.org). Airborne in situ HCN data (courtesy of H. B. Singh) shown for comparison were acquired during the INTEX-B campaign (Singh et al., 2009). We acknowledge support by the Deutsche Forschungsgemeinschaft and Open Access Publishing Fund of the Karlsruhe Institute of Technology.</t>
  </si>
  <si>
    <t>10.5194/acp-15-563-2015</t>
  </si>
  <si>
    <t>AZ0TT</t>
  </si>
  <si>
    <t>gold, Green Published, Green Submitted</t>
  </si>
  <si>
    <t>WOS:000347958500001</t>
  </si>
  <si>
    <t>Orr, A; Hosking, JS; Hoffmann, L; Keeble, J; Dean, SM; Roscoe, HK; Abraham, NL; Vosper, S; Braesicke, P</t>
  </si>
  <si>
    <t>Orr, A.; Hosking, J. S.; Hoffmann, L.; Keeble, J.; Dean, S. M.; Roscoe, H. K.; Abraham, N. L.; Vosper, S.; Braesicke, P.</t>
  </si>
  <si>
    <t>Inclusion of mountain-wave-induced cooling for the formation of PSCs over the Antarctic Peninsula in a chemistry-climate model</t>
  </si>
  <si>
    <t>POLAR STRATOSPHERIC CLOUDS; OZONE DEPLETION; GRAVITY-WAVES; SOUTHERN-HEMISPHERE; DRAG; PARAMETRIZATION; SIMULATIONS; SCANDINAVIA; CIRCULATION; DESIGN</t>
  </si>
  <si>
    <t>An important source of polar stratospheric clouds (PSCs), which play a crucial role in controlling polar stratospheric ozone depletion, is from the temperature fluctuations induced by mountain waves. However, this formation mechanism is usually missing in chemistry-climate models because these temperature fluctuations are neither resolved nor parameterised. Here, we investigate the representation of stratospheric mountain-wave-induced temperature fluctuations by the UK Met Office Unified Model (UM) at climate scale and mesoscale against Atmospheric Infrared Sounder satellite observations for three case studies over the Antarctic Peninsula. At a high horizontal resolution (4 km) the regional mesoscale configuration of the UM correctly simulates the magnitude, timing, and location of the measured temperature fluctuations. By comparison, at a low horizontal resolution (2.5 degrees x 3.75 degrees) the global climate configuration fails to resolve such disturbances. However, it is demonstrated that the temperature fluctuations computed by a mountain wave parameterisation scheme inserted into the climate configuration (which computes the temperature fluctuations due to unresolved mountain waves) are in relatively good agreement with the mesoscale configuration responses for two of the three case studies. The parameterisation was used to include the simulation of mountain-wave-induced PSCs in the global chemistry-climate configuration of the UM. A subsequent sensitivity study demonstrated that regional PSCs increased by up to 50% during July over the Antarctic Peninsula following the inclusion of the local mountain-wave-induced cooling phase.</t>
  </si>
  <si>
    <t>[Orr, A.; Hosking, J. S.; Roscoe, H. K.] British Antarctic Survey, NERC, Cambridge, England; [Hoffmann, L.] Forschungszentrum Julich, Julich Supercomp Ctr, D-52425 Julich, Germany; [Keeble, J.; Abraham, N. L.] Univ Cambridge, Dept Chem, Cambridge CB2 1EW, England; [Dean, S. M.] Natl Inst Water &amp; Atmospher Res, Auckland, New Zealand; [Abraham, N. L.] Univ Cambridge, Natl Ctr Atmospher Sci, Cambridge, England; [Vosper, S.] Met Off, Exeter, Devon, England; [Braesicke, P.] Karlsruhe Inst Technol, D-76021 Karlsruhe, Germany</t>
  </si>
  <si>
    <t>UK Research &amp; Innovation (UKRI); Natural Environment Research Council (NERC); NERC British Antarctic Survey; Helmholtz Association; Research Center Julich; University of Cambridge; National Institute of Water &amp; Atmospheric Research (NIWA) - New Zealand; UK Research &amp; Innovation (UKRI); Natural Environment Research Council (NERC); NERC National Centre for Atmospheric Science; University of Cambridge; Met Office - UK; Helmholtz Association; Karlsruhe Institute of Technology</t>
  </si>
  <si>
    <t>Orr, A (corresponding author), British Antarctic Survey, NERC, Cambridge, England.</t>
  </si>
  <si>
    <t>anmcr@bas.ac.uk</t>
  </si>
  <si>
    <t>Hoffmann, Lars/ABI-3746-2020; Braesicke, Peter/D-8330-2016; Hoffmann, Lars/A-5173-2013; Dean, Samuel/F-7711-2011; Hosking, Scott/D-3437-2013</t>
  </si>
  <si>
    <t>Hoffmann, Lars/0000-0003-3773-4377; Braesicke, Peter/0000-0003-1423-0619; Hoffmann, Lars/0000-0003-3773-4377; Dean, Samuel/0000-0001-6338-4601; Abraham, Nathan Luke/0000-0003-3750-3544; Keeble, James/0000-0003-2714-1084; Hosking, Scott/0000-0002-3646-3504</t>
  </si>
  <si>
    <t>Natural Environment Research Council [NE/H022988/1]; Office of Science and Technology through EPSRC's High End Computing Programme; Natural Environment Research Council [ncas10009, NE/H022988/1, NE/H024778/1, bas0100023] Funding Source: researchfish; NERC [NE/H024778/1, bas0100023, NE/H022988/1] Funding Source: UKRI</t>
  </si>
  <si>
    <t>Natural Environment Research Council(UK Research &amp; Innovation (UKRI)Natural Environment Research Council (NERC)); Office of Science and Technology through EPSRC's High End Computing Programme(UK Research &amp; Innovation (UKRI)Engineering &amp; Physical Sciences Research Council (EPSRC)); Natural Environment Research Council(UK Research &amp; Innovation (UKRI)Natural Environment Research Council (NERC)); NERC(UK Research &amp; Innovation (UKRI)Natural Environment Research Council (NERC))</t>
  </si>
  <si>
    <t>The authors thank the two anonymous reviewers for their remarks which contributed to the improvement of the original manuscript. Thanks are also given to T. Phillips for providing much assistance in producing the figures, and to S. Webster, T. Lachlan-Cope, C. Listowski, K. Carslaw, and G. Mann for useful discussions. This study is part of the British Antarctic Survey Polar Science for Planet Earth Programme. It was funded by the Natural Environment Research Council (grant no. NE/H022988/1). AIRS data are distributed by NASA Goddard Earth Science Data Information and Services Center. This work made use of the facilities HECToR, the UK's national high-performance-computing service, which is provided by UoE HPCx Ltd at the University of Edinburgh, Cray Inc and NAG Ltd, and funded by the Office of Science and Technology through EPSRC's High End Computing Programme.</t>
  </si>
  <si>
    <t>10.5194/acp-15-1071-2015</t>
  </si>
  <si>
    <t>CD6AI</t>
  </si>
  <si>
    <t>Green Published, Green Accepted, gold</t>
  </si>
  <si>
    <t>WOS:000351170000019</t>
  </si>
  <si>
    <t>Kirner, O; Müller, R; Ruhnke, R; Fischer, H</t>
  </si>
  <si>
    <t>Kirner, O.; Mueller, R.; Ruhnke, R.; Fischer, H.</t>
  </si>
  <si>
    <t>Contribution of liquid, NAT and ice particles to chlorine activation and ozone depletion in Antarctic winter and spring</t>
  </si>
  <si>
    <t>POLAR STRATOSPHERIC CLOUDS; NITRIC-ACID TRIHYDRATE; LARGE HNO3-CONTAINING PARTICLES; REACTIVE UPTAKE COEFFICIENTS; SULFURIC-ACID; ATMOSPHERIC CHEMISTRY; TECHNICAL NOTE; ARCTIC STRATOSPHERE; MODEL; HCL</t>
  </si>
  <si>
    <t>Heterogeneous reactions in the Antarctic stratosphere are the cause of chlorine activation and ozone depletion, but the relative roles of different types of polar stratospheric clouds (PSCs) in chlorine activation is an open question. We use multi-year simulations of the chemistry-climate model ECHAM5/MESSy for Atmospheric Chemistry (EMAC) to investigate the impact that the various types of PSCs have on Antarctic chlorine activation and ozone loss. One standard and three sensitivity EMAC simulations have been performed. In all simulations a Newtonian relaxation technique using the ERA-Interim reanalysis was applied to simulate realistic synoptic conditions. In the three sensitivity simulations, we only changed the heterogeneous chemistry on PSC particles by switching the chemistry on liquid, nitric acid trihydrate (NAT) and ice particles on and off. The results of these simulations show that the significance of heterogeneous reactions on NAT and ice particles for chlorine activation and ozone depletion in Antarctic winter and spring is small in comparison to the significance of heterogeneous reactions on liquid particles. Liquid particles alone are sufficient to activate almost all of the available chlorine, with the exception of the upper PSC regions between 10 and 30 hPa, where temporarily ice particles show a relevant contribution. Shortly after the first PSC occurrence, NAT particles contribute a small fraction to chlorine activation. Heterogeneous chemistry on liquid particles is responsible for more than 90% of the ozone depletion in Antarctic spring in the model simulations. In high southern latitudes, heterogeneous chemistry on ice particles causes only up to 5DU of additional ozone depletion in the column and heterogeneous chemistry on NAT particles less than 0.5 DU. The simulated HNO3, ClO and O-3 results agree closely with observations from the Microwave Limb Sounder (MLS) onboard NASA's Aura satellite.</t>
  </si>
  <si>
    <t>[Kirner, O.] Karlsruhe Inst Technol, SCC, D-76021 Karlsruhe, Germany; [Mueller, R.] Forschungszentrum Julich, Inst Energy &amp; Climate Res Stratosphere IEK 7, D-52425 Julich, Germany; [Ruhnke, R.; Fischer, H.] Karlsruhe Inst Technol, Inst Meteorol &amp; Climate Res IMK, D-76021 Karlsruhe, Germany</t>
  </si>
  <si>
    <t>Helmholtz Association; Karlsruhe Institute of Technology; Helmholtz Association; Research Center Julich; Helmholtz Association; Karlsruhe Institute of Technology</t>
  </si>
  <si>
    <t>Kirner, O (corresponding author), Karlsruhe Inst Technol, SCC, D-76021 Karlsruhe, Germany.</t>
  </si>
  <si>
    <t>ole.kirner@kit.de</t>
  </si>
  <si>
    <t>Müller, Rolf/ABA-8213-2021; Ruhnke, Roland/J-8800-2012; Kirner, Oliver/K-8815-2015</t>
  </si>
  <si>
    <t>Müller, Rolf/0000-0002-5024-9977; Ruhnke, Roland/0000-0002-0353-1603; Kirner, Oliver/0000-0001-5668-6177</t>
  </si>
  <si>
    <t>Deutsche Forschungsgemeinschaft; Open Access Publishing Fund of Karlsruhe Institute of Technology</t>
  </si>
  <si>
    <t>Deutsche Forschungsgemeinschaft(German Research Foundation (DFG)); Open Access Publishing Fund of Karlsruhe Institute of Technology</t>
  </si>
  <si>
    <t>We acknowledge support by Deutsche Forschungsgemeinschaft and Open Access Publishing Fund of Karlsruhe Institute of Technology. We thank the MLS team for providing us their data. This MLS data were acquired as part of the activities of NASA's Science Mission Directorate, and are archived and distributed by the Goddard Earth Sciences (GES) Data and Information Services Center (DISC).</t>
  </si>
  <si>
    <t>10.5194/acp-15-2019-2015</t>
  </si>
  <si>
    <t>CD6KC</t>
  </si>
  <si>
    <t>WOS:000351197000003</t>
  </si>
  <si>
    <t>Ghosh, A; Patra, PK; Ishijima, K; Umezawa, T; Ito, A; Etheridge, DM; Sugawara, S; Kawamura, K; Miller, JB; Dlugokencky, EJ; Krummel, PB; Fraser, PJ; Steele, LP; Langenfelds, RL; Trudinger, CM; White, JWC; Vaughn, B; Saeki, T; Aoki, S; Nakazawa, T</t>
  </si>
  <si>
    <t>Ghosh, A.; Patra, P. K.; Ishijima, K.; Umezawa, T.; Ito, A.; Etheridge, D. M.; Sugawara, S.; Kawamura, K.; Miller, J. B.; Dlugokencky, E. J.; Krummel, P. B.; Fraser, P. J.; Steele, L. P.; Langenfelds, R. L.; Trudinger, C. M.; White, J. W. C.; Vaughn, B.; Saeki, T.; Aoki, S.; Nakazawa, T.</t>
  </si>
  <si>
    <t>Variations in global methane sources and sinks during 1910-2010</t>
  </si>
  <si>
    <t>ATMOSPHERIC METHANE; ISOTOPIC COMPOSITION; TROPOSPHERIC OH; STRATOSPHERIC METHANE; NORTHERN-HEMISPHERE; DRAMATIC DECREASE; GROWTH-RATE; CH4; CARBON; AIR</t>
  </si>
  <si>
    <t>Atmospheric methane (CH4) increased from similar to 900 ppb (parts per billion, or nanomoles per mole of dry air) in 1900 to similar to 1800 ppb in 2010 at a rate unprecedented in any observational records. However, the contributions of the various methane sources and sinks to the CH4 increase are poorly understood. Here we use initial emissions from bottom-up inventories for anthropogenic sources, emissions from wetlands and rice paddies simulated by a terrestrial biogeochemical model, and an atmospheric general circulation model (AGCM)-based chemistry-transport model (i.e. ACTM) to simulate atmospheric CH4 concentrations for 1910-2010. The ACTM simulations are compared with the CH4 concentration records reconstructed from Antarctic and Arctic ice cores and firn air samples, and from direct measurements since the 1980s at multiple sites around the globe. The differences between ACTM simulations and observed CH4 concentrations are minimized to optimize the global total emissions using a mass balance calculation. During 1910-2010, the global total CH4 emission doubled from similar to 290 to similar to 580 Tg yr(-1). Compared to optimized emission, the bottom-up emission data set underestimates the rate of change of global total CH4 emissions by similar to 30% during the high growth period of 1940-1990, while it overestimates by similar to 380% during the low growth period of 1990-2010. Further, using the CH4 stable carbon isotopic data (delta C-13), we attribute the emission increase during 1940-1990 primarily to enhancement of biomass burning. The total lifetime of CH4 shortened from 9.4 yr during 1910-1919 to 9 yr during 2000-2009 by the combined effect of the increasing abundance of atomic chlorine radicals (Cl) and increases in average air temperature. We show that changes of CH4 loss rate due to increased tropospheric air temperature and CH4 loss due to Cl in the stratosphere are important sources of uncertainty to more accurately estimate the global CH4 budget from delta C-13 observations.</t>
  </si>
  <si>
    <t>[Ghosh, A.; Kawamura, K.] Natl Inst Polar Res, Tokyo, Japan; [Ghosh, A.; Patra, P. K.; Ishijima, K.; Ito, A.; Saeki, T.] JAMSTEC, Dept Environm Geochem Cycle Res, Yokohama, Kanagawa, Japan; [Patra, P. K.; Umezawa, T.; Aoki, S.; Nakazawa, T.] Tohoku Univ, Ctr Atmospher &amp; Ocean Studies, Sendai, Miyagi 980, Japan; [Umezawa, T.] Max Planck Inst Chem, D-55128 Mainz, Germany; [Ito, A.] Natl Inst Environm Studies, Tsukuba, Ibaraki, Japan; [Etheridge, D. M.; Krummel, P. B.; Fraser, P. J.; Steele, L. P.; Langenfelds, R. L.; Trudinger, C. M.] CSIRO Oceans &amp; Atmosphere Flagship, Aspendale, Vic, Australia; [Sugawara, S.] Miyagi Univ Educ, Sendai, Miyagi, Japan; [Kawamura, K.] JAMSTEC, Dept Biogeochem, Yokosuka, Kanagawa, Japan; [Miller, J. B.; Dlugokencky, E. J.] NOAA, Earth Syst Res Lab, Boulder, CO USA; [Miller, J. B.] Univ Colorado, CIRES, Boulder, CO 80309 USA; [White, J. W. C.; Vaughn, B.] Univ Colorado, INSTAAR, Boulder, CO 80309 USA</t>
  </si>
  <si>
    <t>Research Organization of Information &amp; Systems (ROIS); National Institute of Polar Research (NIPR) - Japan; Japan Agency for Marine-Earth Science &amp; Technology (JAMSTEC); Tohoku University; Max Planck Society; National Institute for Environmental Studies - Japan; Commonwealth Scientific &amp; Industrial Research Organisation (CSIRO); Miyagi University Education; Japan Agency for Marine-Earth Science &amp; Technology (JAMSTEC); National Oceanic Atmospheric Admin (NOAA) - USA; University of Colorado System; University of Colorado Boulder; University of Colorado System; University of Colorado Boulder</t>
  </si>
  <si>
    <t>Ghosh, A (corresponding author), Natl Inst Polar Res, Tokyo, Japan.</t>
  </si>
  <si>
    <t>arindamgr@gmail.com; prabir@jamstec.go.jp</t>
  </si>
  <si>
    <t>Etheridge, David M/B-7334-2013; Vaughn, Bruce/AAO-8867-2020; White, James W.C./A-7845-2009; Patra, Prabir/B-5206-2009; Krummel, Paul B/A-4293-2013; Steele, Paul/B-3185-2009; Dlugokencky, Edward/AAN-8746-2020; Umezawa, Taku/AAK-8029-2021; Saeki, Tazu/GNP-1981-2022; Trudinger, Cathy/A-2532-2008; Miller, John B./AAE-7714-2019; Fraser, Paul J. B./D-1755-2012; Ito, Akihiko/P-2624-2017; Langenfelds, Ray/B-5381-2012; Kawamura, Kenji/C-7660-2011</t>
  </si>
  <si>
    <t>Patra, Prabir/0000-0001-5700-9389; Krummel, Paul B/0000-0002-4884-3678; Dlugokencky, Edward/0000-0003-0612-6985; Umezawa, Taku/0000-0003-1217-7439; Saeki, Tazu/0000-0003-1900-1786; Miller, John B./0000-0001-8630-1610; Ito, Akihiko/0000-0001-5265-0791; Langenfelds, Ray/0000-0003-4890-2049; Kawamura, Kenji/0000-0003-1163-700X; Trudinger, Cathy/0000-0002-4844-2153; Etheridge, David/0000-0001-7970-2002</t>
  </si>
  <si>
    <t>Green Network of Excellence (GRENE) Project by the Ministry of Education, Culture, Sports, Science and Technology (MEXT), Japan; Australian Climate Change Science Program, an Australian Government Initiative; Grants-in-Aid for Scientific Research [25241005, 26241011, 25241006, 22221002, 21671001] Funding Source: KAKEN</t>
  </si>
  <si>
    <t>Green Network of Excellence (GRENE) Project by the Ministry of Education, Culture, Sports, Science and Technology (MEXT), Japan; Australian Climate Change Science Program, an Australian Government Initiative(Australian Government); Grants-in-Aid for Scientific Research(Ministry of Education, Culture, Sports, Science and Technology, Japan (MEXT)Japan Society for the Promotion of ScienceGrants-in-Aid for Scientific Research (KAKENHI))</t>
  </si>
  <si>
    <t>This research is financially supported by the Green Network of Excellence (GRENE) Project by the Ministry of Education, Culture, Sports, Science and Technology (MEXT), Japan. We also acknowledge data centres/contributors Tohoku University, Japan; NOAA/ESRL air sampling network; GAGE/AGAGE network; NOAA's National Climate Data Center (NCDC); World Data Centre for Greenhouse Gases (WDCGG); Carbon Dioxide Information Analysis Center (CDIAC), US Department of Energy; the Australian Bureau of Meteorology/Cape Grim Baseline Air Pollution Station; Commonwealth Scientific and Industrial Research Organisation (CSIRO), Australia for the data set used in the present study. CSIRO's contribution was supported in part by the Australian Climate Change Science Program, an Australian Government Initiative.</t>
  </si>
  <si>
    <t>10.5194/acp-15-2595-2015</t>
  </si>
  <si>
    <t>WOS:000350559700024</t>
  </si>
  <si>
    <t>Fytterer, T; Mlynczak, MG; Nieder, H; Perot, K; Sinnhuber, M; Stiller, G; Urban, J</t>
  </si>
  <si>
    <t>Fytterer, T.; Mlynczak, M. G.; Nieder, H.; Perot, K.; Sinnhuber, M.; Stiller, G.; Urban, J.</t>
  </si>
  <si>
    <t>Energetic particle induced intra-seasonal variability of ozone inside the Antarctic polar vortex observed in satellite data</t>
  </si>
  <si>
    <t>SOLAR PROTON EVENTS; OCTOBER-NOVEMBER 2003; STRATOSPHERIC OZONE; ION CHEMISTRY; ODD NITROGEN; MIPAS; PRECIPITATION; ATMOSPHERE; RETRIEVAL; HNO3</t>
  </si>
  <si>
    <t>Measurements from 2002 to 2011 by three independent satellite instruments, namely MIPAS, SABER, and SMR on board the ENVISAT, TIMED, and Odin satellites are used to investigate the intra-seasonal variability of stratospheric and mesospheric O-3 volume mixing ratio (vmr) inside the Antarctic polar vortex due to solar and geomagnetic activity. In this study, we individually analysed the relative O-3 vmr variations between maximum and minimum conditions of a number of solar and geomagnetic indices (F10.7 cm solar radio flux, Ap index, &gt;= 2 MeV electron flux). The indices are 26-day averages centred at 1 April, 1 May, and 1 June while O-3 is based on 26-day running means from 1 April to 1 November at altitudes from 20 to 70 km. During solar quiet time from 2005 to 2010, the composite of all three instruments reveals an apparent negative O-3 signal associated to the geomagnetic activity (Ap index) around 1 April, on average reaching amplitudes between -5 and -10% of the respective O-3 background. The O-3 response exceeds the significance level of 95% and propagates downwards throughout the polar winter from the stratopause down to similar to 25 km. These observed results are in good qualitative agreement with the O-3 vmr pattern simulated with a three-dimensional chemistry-transport model, which includes particle impact ionisation.</t>
  </si>
  <si>
    <t>[Fytterer, T.; Nieder, H.; Sinnhuber, M.; Stiller, G.] Karlsruhe Inst Technol, Inst Meteorol &amp; Climate Res, Eggenstein Leopoldshafen, Germany; [Mlynczak, M. G.] NASA, Langley Res Ctr, Div Atmospher Sci, Hampton, VA 23665 USA; [Perot, K.; Urban, J.] Chalmers Univ Technol, Dept Earth &amp; Space Sci, S-41296 Gothenburg, Sweden</t>
  </si>
  <si>
    <t>Helmholtz Association; Karlsruhe Institute of Technology; National Aeronautics &amp; Space Administration (NASA); NASA Langley Research Center; Chalmers University of Technology</t>
  </si>
  <si>
    <t>Fytterer, T (corresponding author), Karlsruhe Inst Technol, Inst Meteorol &amp; Climate Res, Eggenstein Leopoldshafen, Germany.</t>
  </si>
  <si>
    <t>tilo.fytterer@kit.edu</t>
  </si>
  <si>
    <t>Stiller, Gabriele P./A-7340-2013; Mlynczak, Martin/K-3396-2012; Sinnhuber, Miriam/A-7252-2013; Perot, Kristell/D-3839-2013</t>
  </si>
  <si>
    <t>Stiller, Gabriele P./0000-0003-2883-6873; Sinnhuber, Miriam/0000-0002-3527-9051; Perot, Kristell/0000-0002-4267-8560</t>
  </si>
  <si>
    <t>Helmholtz Association of German Research Centres (HGF) [VH-NG-624]; Deutsche Forschungsgemeinschaft; Karlsruhe Institute of Technology; Swedish National Space Board (SNSB); Canadian Space Agency (CSA); National Technology Agency of Finland (Tekes); Centre National d'Etudes Spatiales (CNES) in France; European Space Agency (ESA)</t>
  </si>
  <si>
    <t>Helmholtz Association of German Research Centres (HGF)(Helmholtz Association); Deutsche Forschungsgemeinschaft(German Research Foundation (DFG)); Karlsruhe Institute of Technology(Helmholtz Association); Swedish National Space Board (SNSB)(Swedish National Space Agency (SNSA)); Canadian Space Agency (CSA)(Canadian Space Agency); National Technology Agency of Finland (Tekes)(Finnish Funding Agency for Technology &amp; Innovation (TEKES)); Centre National d'Etudes Spatiales (CNES) in France(Centre National D'etudes Spatiales); European Space Agency (ESA)(European Space Agency)</t>
  </si>
  <si>
    <t>T. Fytterer, H. Nieder, and M. Sinnhuber gratefully acknowledge funding by the Helmholtz Association of German Research Centres (HGF), grant VH-NG-624. The authors also acknowledge support by Deutsche Forschungsgemeinschaft and Open Access Publishing Fund of Karlsruhe Institute of Technology. Odin is a Swedish-led satellite project funded jointly by the Swedish National Space Board (SNSB), the Canadian Space Agency (CSA), the National Technology Agency of Finland (Tekes), the Centre National d'Etudes Spatiales (CNES) in France and the third party mission program of the European Space Agency (ESA). We further like to thank the ERA-Interim for free provision of data and related support.</t>
  </si>
  <si>
    <t>10.5194/acp-15-3327-2015</t>
  </si>
  <si>
    <t>WOS:000352157600022</t>
  </si>
  <si>
    <t>Lloyd, G; Choularton, TW; Bower, KN; Crosier, J; Jones, H; Dorsey, JR; Gallagher, MW; Connolly, P; Kirchgaessner, ACR; Lachlan-Cope, T</t>
  </si>
  <si>
    <t>Lloyd, G.; Choularton, T. W.; Bower, K. N.; Crosier, J.; Jones, H.; Dorsey, J. R.; Gallagher, M. W.; Connolly, P.; Kirchgaessner, A. C. R.; Lachlan-Cope, T.</t>
  </si>
  <si>
    <t>Observations and comparisons of cloud microphysical properties in spring and summertime Arctic stratocumulus clouds during the ACCACIA campaign</t>
  </si>
  <si>
    <t>ICE WATER-CONTENT; PARTICLES; AEROSOL; CALIBRATION; IMPACTS; NUCLEI; CDP</t>
  </si>
  <si>
    <t>Measurements from four case studies in spring and summer-time Arctic stratocumulus clouds during the Aerosol-Cloud Coupling And Climate Interactions in the Arctic (ACCACIA) campaign are presented. We compare microphysics observations between cases and with previous measurements made in the Arctic and Antarctic. During ACCACIA, stratocumulus clouds were observed to consist of liquid at cloud tops, often at distinct temperature inversions. The cloud top regions precipitated low concentrations of ice into the cloud below. During the spring cases median ice number concentrations (similar to 0.5 L-1) were found to be lower by about a factor of 5 than observations from the summer campaign (similar to 3 L-1). Cloud layers in the summer spanned a warmer temperature regime than in the spring and enhancement of ice concentrations in these cases was found to be due to secondary ice production through the Hallett-Mossop (H-M) process. Aerosol concentrations during spring ranged from similar to 300-400 cm(-3) in one case to lower values of similar to 50-100 cm(-3) in the other. The concentration of aerosol with sizes D-p &gt; 0.5 mu m was used in a primary ice nucleus (IN) prediction scheme (DeMott et al., 2010). Predicted IN values varied depending on aerosol measurement periods but were generally greater than maximum observed median values of ice crystal concentrations in the spring cases, and less than the observed ice concentrations in the summer due to the influence of secondary ice production. Comparison with recent cloud observations in the Antarctic summer (Grosvenor et al., 2012), reveals lower ice concentrations in Antarctic clouds in comparable seasons. An enhancement of ice crystal number concentrations (when compared with predicted IN numbers) was also found in Antarctic stratocumulus clouds spanning the H-M temperature zone; however, concentrations were about an order of magnitude lower than those observed in the Arctic summer cases but were similar to the peak values observed in the colder Arctic spring cases, where the H-M mechanism did not operate.</t>
  </si>
  <si>
    <t>[Lloyd, G.; Choularton, T. W.; Bower, K. N.; Crosier, J.; Jones, H.; Dorsey, J. R.; Gallagher, M. W.; Connolly, P.] Univ Manchester, Ctr Atmospher Sci, Manchester, Lancs, England; [Kirchgaessner, A. C. R.; Lachlan-Cope, T.] British Antarctic Survey, NERC, Cambridge CB3 0ET, England</t>
  </si>
  <si>
    <t>University of Manchester; UK Research &amp; Innovation (UKRI); Natural Environment Research Council (NERC); NERC British Antarctic Survey</t>
  </si>
  <si>
    <t>Lloyd, G (corresponding author), Univ Manchester, Ctr Atmospher Sci, Manchester, Lancs, England.</t>
  </si>
  <si>
    <t>gary.lloyd@manchester.ac.uk</t>
  </si>
  <si>
    <t>Connolly, Paul J/A-2024-2012; Crosier, Jonathan/G-8952-2011; Kirchgaessner, Amelie/JGL-9010-2023; Gallagher, Martin/ABH-7381-2020</t>
  </si>
  <si>
    <t>Kirchgaessner, Amelie/0000-0001-7483-3652; Choularton, Thomas/0000-0002-0409-4329; Lloyd, Gary/0000-0003-2353-0891; Crosier, Jonathan/0000-0002-3086-4729; Bower, Keith/0000-0002-9802-3264; Dorsey, James/0000-0002-1720-9412; Gallagher, Martin/0000-0002-4968-6088</t>
  </si>
  <si>
    <t>Natural Environment Research Council [NE/1028296/1]; Natural Environment Research Council [bas0100032, NE/I028653/1] Funding Source: researchfish; NERC [NE/I028653/1, bas0100032]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</si>
  <si>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</si>
  <si>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project was supported by the Natural Environment Research Council under grant NE/1028296/1. Airborne data were obtained using the BAe-146-301 Atmospheric Research Aircraft [ARA] flown by Directflight Ltd and managed by the Facility for Airborne Atmospheric Measurements (FAAM), which is a joint entity of the Natural Environment Research Council (NERC) and the Met Office.</t>
  </si>
  <si>
    <t>10.5194/acp-15-3719-2015</t>
  </si>
  <si>
    <t>WOS:000352957400006</t>
  </si>
  <si>
    <t>Barbaro, E; Zangrando, R; Vecchiato, M; Piazza, R; Cairns, WRL; Capodaglio, G; Barbante, C; Gambaro, A</t>
  </si>
  <si>
    <t>Barbaro, E.; Zangrando, R.; Vecchiato, M.; Piazza, R.; Cairns, W. R. L.; Capodaglio, G.; Barbante, C.; Gambaro, A.</t>
  </si>
  <si>
    <t>Free amino acids in Antarctic aerosol: potential markers for the evolution and fate of marine aerosol</t>
  </si>
  <si>
    <t>SECONDARY ORGANIC AEROSOL; CALIFORNIA CENTRAL VALLEY; FINE PARTICLES PM2.5; ATMOSPHERIC AEROSOLS; FOG WATERS; DOME-C; CHEMICAL-COMPOSITION; BOUNDARY-LAYER; NITROGEN; ICE</t>
  </si>
  <si>
    <t>To investigate the impact of marine aerosols on global climate change it is important to study their chemical composition and size distribution. Amino acids are a component of the organic nitrogen in aerosols and particles containing amino acids have been found to be efficient ice nuclei. The main aim of this study was to investigate the L- and D-free amino acid composition as possible tracers of primary biological production in Antarctic aerosols from three different areas: two continental bases, Mario Zucchelli Station (MZS) on the coast of the Ross Sea, Concordia Station at Dome C on the Antarctic Plateau, and the Southern Ocean near the Antarctic continent. Studying the size distribution of amino acids in aerosols allowed us to characterize this component of the water-soluble organic carbon (WSOC) in marine aerosols near their source and after long-range transport. The presence of only free L-amino acids in our samples is indicative of the prevalence of phytoplanktonic material. Sampling at these three points allowed us to study the reactivity of these compounds during long-range transport. The mean total amino acid concentration detected at MZS was 11 pmol m(-3), a higher percentage of amino acids were found in the fine fraction. The aerosol samples collected at Dome C had the lowest amino acid values (0.7 and 0.8 pmol m(-3)), and the coarse particles were found to have higher concentrations of amino acids compared to the coastal site. The amino acid composition in the aerosol collected at Dome C had also changed compared to the coastal site, suggesting that physical and chemical transformations had occurred during long range transport. During the sampling cruise on the R/V Italica on the Southern Ocean, high concentrations of amino acids were found in the total suspended particles, this we attribute to the presence of intact biological material (as microorganisms or plant material) in the sample.</t>
  </si>
  <si>
    <t>[Barbaro, E.; Piazza, R.; Capodaglio, G.; Gambaro, A.] Univ Venice, Dept Environm Sci Informat &amp; Stat, I-30123 Venice, Italy; [Barbaro, E.; Zangrando, R.; Vecchiato, M.; Piazza, R.; Cairns, W. R. L.; Capodaglio, G.; Barbante, C.; Gambaro, A.] CNR, Inst Dynam Environm Proc, I-30123 Venice, Italy; [Vecchiato, M.] Univ Siena, Dept Phys Sci Earth &amp; Environm, I-53100 Siena, Italy</t>
  </si>
  <si>
    <t>Universita Ca Foscari Venezia; Consiglio Nazionale delle Ricerche (CNR); Istituto per la Dinamica dei Processi Ambientali (IDPA-CNR); University of Siena</t>
  </si>
  <si>
    <t>Barbaro, E (corresponding author), Univ Venice, Dept Environm Sci Informat &amp; Stat, CalleLarga Santa Marta 2137, I-30123 Venice, Italy.</t>
  </si>
  <si>
    <t>barbaro@unive.it</t>
  </si>
  <si>
    <t>BARBARO, ELENA/AAK-3106-2021; Capodaglio, Gabriele/D-5295-2014; Barbante, Carlo/B-3195-2011; Cairns, Warren/AAX-5018-2020; Barbaro, Elena/AAX-8809-2020</t>
  </si>
  <si>
    <t>Capodaglio, Gabriele/0000-0002-3689-4865; Cairns, Warren/0000-0002-7128-7753; Barbaro, Elena/0000-0003-2639-7475; Piazza, Rossano/0000-0002-1897-4124; Vecchiato, Marco/0000-0002-5112-8472; Barbante, Carlo/0000-0003-4177-2288</t>
  </si>
  <si>
    <t>Italian Programma Nazionale di Ricerche in Antartide (PNRA) through the project Studio delle sorgenti e dei processi di trasferimento dell'aerosol atmosferico antartico [2009/A2.11]; National Research Council of Italy (CNR); Early Human Impact ERC Advance Grant from the European Commission's VII Framework Programme [267696]; European Research Council (ERC) [267696] Funding Source: European Research Council (ERC)</t>
  </si>
  <si>
    <t>Italian Programma Nazionale di Ricerche in Antartide (PNRA) through the project Studio delle sorgenti e dei processi di trasferimento dell'aerosol atmosferico antartico; National Research Council of Italy (CNR)(Consiglio Nazionale delle Ricerche (CNR)); Early Human Impact ERC Advance Grant from the European Commission's VII Framework Programme; European Research Council (ERC)(European Research Council (ERC)Spanish Government)</t>
  </si>
  <si>
    <t>This work was financially supported by the Italian Programma Nazionale di Ricerche in Antartide (PNRA) through the project Studio delle sorgenti e dei processi di trasferimento dell'aerosol atmosferico antartico (2009/A2.11). The research was also supported by funding from the National Research Council of Italy (CNR) and from the Early Human Impact ERC Advance Grant from the European Commission's VII Framework Programme, grant number 267696, contribution no. 12.</t>
  </si>
  <si>
    <t>10.5194/acp-15-5457-2015</t>
  </si>
  <si>
    <t>CJ2BM</t>
  </si>
  <si>
    <t>WOS:000355289200009</t>
  </si>
  <si>
    <t>Allan, JD; Williams, PI; Najera, J; Whitehead, JD; Flynn, MJ; Taylor, JW; Liu, D; Darbyshire, E; Carpenter, LJ; Chance, R; Andrews, SJ; Hackenberg, SC; McFiggans, G</t>
  </si>
  <si>
    <t>Allan, J. D.; Williams, P. I.; Najera, J.; Whitehead, J. D.; Flynn, M. J.; Taylor, J. W.; Liu, D.; Darbyshire, E.; Carpenter, L. J.; Chance, R.; Andrews, S. J.; Hackenberg, S. C.; McFiggans, G.</t>
  </si>
  <si>
    <t>Iodine observed in new particle formation events in the Arctic atmosphere during ACCACIA</t>
  </si>
  <si>
    <t>POSITIVE MATRIX FACTORIZATION; AEROSOL MASS-SPECTROMETER; OXIDATION-PRODUCTS; HYGROSCOPIC GROWTH; EASTERN ATLANTIC; SULFURIC-ACID; NUCLEATION; SIZE; EMISSIONS; SYSTEM</t>
  </si>
  <si>
    <t>Accurately accounting for new particle formation (NPF) is crucial to our ability to predict aerosol number concentrations in many environments and thus cloud properties, which is in turn vital in simulating radiative transfer and climate. Here we present an analysis of NPF events observed in the Greenland Sea during the summertime as part of the Aerosol-Cloud Coupling And Climate Interactions in the Arctic (ACCACIA) project. While NPF events have been reported in the Arctic before, we were able, for the first time, to detect iodine in the growing particles using an Aerosol Mass Spectrometer (AMS) during a persistent event in the region of the coastal sea-ice near Greenland. Given the potency of iodine as a nucleation precursor, the results imply that iodine was responsible for the initial NPF, a phenomenon that has been reported at lower latitudes and associated with molecular iodine emissions from coastal macroalgae. The initial source of iodine in this instance is not clear, but it was associated with air originating approximately 1 day previously over melting coastal sea-ice. These results show that atmospheric models must consider iodine as a source of new particles in addition to established precursors such as sulfur compounds.</t>
  </si>
  <si>
    <t>[Allan, J. D.; Williams, P. I.; Najera, J.; Whitehead, J. D.; Flynn, M. J.; Taylor, J. W.; Liu, D.; Darbyshire, E.; McFiggans, G.] Univ Manchester, Sch Earth Atmospher &amp; Environm Sci, Manchester M13 9PL, Lancs, England; [Allan, J. D.; Williams, P. I.] Univ Manchester, Natl Ctr Atmospher Sci, Manchester M13 9PL, Lancs, England; [Carpenter, L. J.; Chance, R.; Andrews, S. J.; Hackenberg, S. C.] Univ York, Dept Chem, Wolfson Atmospher Chem Lab, York YO10 5DD, N Yorkshire, England</t>
  </si>
  <si>
    <t>University of Manchester; UK Research &amp; Innovation (UKRI); Natural Environment Research Council (NERC); NERC National Centre for Atmospheric Science; University of Manchester; University of York - UK</t>
  </si>
  <si>
    <t>Allan, JD (corresponding author), Univ Manchester, Sch Earth Atmospher &amp; Environm Sci, Oxford Rd, Manchester M13 9PL, Lancs, England.</t>
  </si>
  <si>
    <t>james.allan@manchester.ac.uk</t>
  </si>
  <si>
    <t>McFiggans, Gordon B/B-8689-2011; Liu, Dantong/AAY-1281-2020; Carpenter, Laura/JPY-0437-2023; Williams, Paul I/C-2663-2013; Ford, James/A-4284-2013; Allan, James/B-1160-2010; Carpenter, Lucy J/E-6742-2013; Taylor, Jonathan/AAD-2004-2022; Liu, Dantong/E-6668-2017; Whitehead, James D/D-3088-2012</t>
  </si>
  <si>
    <t>Liu, Dantong/0000-0003-3768-1770; Williams, Paul I/0000-0002-8973-4718; Ford, James/0000-0002-2066-3456; Allan, James/0000-0001-6492-4876; Taylor, Jonathan/0000-0002-2120-186X; Liu, Dantong/0000-0002-3879-2280; Darbyshire, Eoghan/0000-0002-5119-7259; McFiggans, Gordon/0000-0002-3423-7896; Carpenter, Lucy/0000-0002-6257-3950</t>
  </si>
  <si>
    <t>UK Natural Environment Research Council through the Aerosol-Cloud Coupling And Climate Interactions in the Arctic (ACCACIA) project [NE/I028696/1, NE/I028769/1]; Natural Environment Research Council [1093432, 1236935, NE/I028696/1, ncas10006, NE/I028769/1] Funding Source: researchfish; NERC [NE/I028696/1, NE/I028769/1, ncas10006] Funding Source: UKRI</t>
  </si>
  <si>
    <t>UK Natural Environment Research Council through the Aerosol-Cloud Coupling And Climate Interactions in the Arctic (ACCACIA) project; Natural Environment Research Council(UK Research &amp; Innovation (UKRI)Natural Environment Research Council (NERC)); NERC(UK Research &amp; Innovation (UKRI)Natural Environment Research Council (NERC))</t>
  </si>
  <si>
    <t>This work was supported by the UK Natural Environment Research Council through the Aerosol-Cloud Coupling And Climate Interactions in the Arctic (ACCACIA) project (Grant refs: NE/I028696/1; NE/I028769/1) and a PhD studentship (E. Darbyshire). For the cruise planning, operation and support, the authors thank the British Antarctic Survey (BAS), the crew of the RRS James Clark Ross and Ian Brooks (U. Leeds) as PI of ACCACIA. Coastline data were obtained from the National Geophysical Data Centre (Boulder, CO, USA). Sea-ice data was obtained from the NASA Distributed Active Archive Center at the National Snow and Ice Data Center (Boulder, CO USA).</t>
  </si>
  <si>
    <t>10.5194/acp-15-5599-2015</t>
  </si>
  <si>
    <t>WOS:000355289200017</t>
  </si>
  <si>
    <t>Gallée, H; Preunkert, S; Argentini, S; Frey, MM; Genthon, C; Jourdain, B; Pietroni, I; Casasanta, G; Barral, H; Vignon, E; Amory, C; Legrand, M</t>
  </si>
  <si>
    <t>Gallee, H.; Preunkert, S.; Argentini, S.; Frey, M. M.; Genthon, C.; Jourdain, B.; Pietroni, I.; Casasanta, G.; Barral, H.; Vignon, E.; Amory, C.; Legrand, M.</t>
  </si>
  <si>
    <t>Characterization of the boundary layer at Dome C (East Antarctica) during the OPALE summer campaign</t>
  </si>
  <si>
    <t>SURFACE MASS-BALANCE; MODEL; SIMULATION; TURBULENCE; PLATEAU; SNOW; DYNAMICS; SEA</t>
  </si>
  <si>
    <t>Regional climate model MAR (Modele Atmospherique Regional) was run for the region of Dome C located on the East Antarctic plateau, during Antarctic summer 2011-2012, in order to refine our understanding of meteorological conditions during the OPALE tropospheric chemistry campaign. A very high vertical resolution is set up in the lower troposphere, with a grid spacing of roughly 2 m. Model output is compared with temperatures and winds observed near the surface and from a 45m high tower as well as sodar and radiation data. MAR is generally in very good agreement with the observations, but sometimes underestimates cloud formation, leading to an underestimation of the simulated downward long-wave radiation. Absorbed short-wave radiation may also be slightly overestimated due to an underestimation of the snow albedo, and this influences the surface energy budget and atmospheric turbulence. Nevertheless, the model provides sufficiently reliable information about surface turbulent fluxes, vertical profiles of vertical diffusion coefficients and boundary layer height when discussing the representativeness of chemical measurements made nearby the ground surface during field campaigns conducted at Concordia station located at Dome C (3233m above sea level).</t>
  </si>
  <si>
    <t>[Gallee, H.; Preunkert, S.; Genthon, C.; Jourdain, B.; Barral, H.; Vignon, E.; Amory, C.; Legrand, M.] UJF Grenoble 1, CNRS, Lab Glaciol &amp; Geophys Environm, Grenoble, France; [Argentini, S.; Pietroni, I.; Casasanta, G.] CNR, ISAC, I-00185 Rome, Italy; [Frey, M. M.] British Antarctic Survey, Nat Environm Res Council, Cambridge CB3 0ET, England</t>
  </si>
  <si>
    <t>Communaute Universite Grenoble Alpes; Universite Grenoble Alpes (UGA); Centre National de la Recherche Scientifique (CNRS); Consiglio Nazionale delle Ricerche (CNR); Istituto di Scienze dell'Atmosfera e del Clima (ISAC-CNR); UK Research &amp; Innovation (UKRI); Natural Environment Research Council (NERC); NERC British Antarctic Survey</t>
  </si>
  <si>
    <t>Gallée, H (corresponding author), UJF Grenoble 1, CNRS, Lab Glaciol &amp; Geophys Environm, Grenoble, France.</t>
  </si>
  <si>
    <t>gallee@lgge.obs.ujf-grenoble.fr</t>
  </si>
  <si>
    <t>Legrand, Michel/AAU-4678-2020; Frey, Markus/G-1756-2012</t>
  </si>
  <si>
    <t>Frey, Markus/0000-0003-0535-0416; ARGENTINI, STEFANIA/0000-0002-7939-0309; Genthon, Christophe/0000-0002-3678-4447; Amory, Charles/0000-0002-5906-4303; VIGNON, Etienne/0000-0003-3801-9367</t>
  </si>
  <si>
    <t>ANR (Agence National de Recherche) [ANR-09-BLAN-0226]; Rhone-Alpes region [CPER07_13 CIRA]; OSUG@2020 labex [ANR10 LABX56]; Equip@Meso project of the Investissements d'Avenir programme [ANR-10-EQPX-29-01]; IPEV-CALVA project; IPEV-CESOA project; INSU-LEFE-CLAPA project; OSUG GLACIOCLIM-CENACLAM project; Italian National Research Programme (PNRA) in the framework of French-Italian projects; Natural Environment Research Council [bas0100032] Funding Source: researchfish; NERC [bas0100032] Funding Source: UKRI</t>
  </si>
  <si>
    <t>ANR (Agence National de Recherche)(Agence Nationale de la Recherche (ANR)); Rhone-Alpes region(Region Auvergne-Rhone-Alpes); OSUG@2020 labex; Equip@Meso project of the Investissements d'Avenir programme(Agence Nationale de la Recherche (ANR)); IPEV-CALVA project; IPEV-CESOA project; INSU-LEFE-CLAPA project; OSUG GLACIOCLIM-CENACLAM project; Italian National Research Programme (PNRA) in the framework of French-Italian projects; Natural Environment Research Council(UK Research &amp; Innovation (UKRI)Natural Environment Research Council (NERC)); NERC(UK Research &amp; Innovation (UKRI)Natural Environment Research Council (NERC))</t>
  </si>
  <si>
    <t>The OPALE project was funded by ANR (Agence National de Recherche) contract ANR-09-BLAN-0226. Most of the computations presented in this paper were performed using the Froggy platform of the CIMENT infrastructure (https://ciment.ujf-grenoble.fr), which is supported by the Rhone-Alpes region (grant CPER07_13 CIRA), the OSUG@2020 labex (reference ANR10 LABX56) and the Equip@Meso project (reference ANR-10-EQPX-29-01) of the Investissements d'Avenir programme supervised by the Agence Nationale pour la Recherche. This work was also granted access to the HPC resources of [TGCC/CINES/IDRIS] under the allocation 2014-1523 made by GENCI. The IPEV-CALVA, IPEV-CESOA, INSU-LEFE-CLAPA and OSUG GLACIOCLIM-CENACLAM projects are acknowledged for their support. ABLCLIMAT research was supported by the Italian National Research Programme (PNRA) in the framework of French-Italian projects for Dome C.</t>
  </si>
  <si>
    <t>10.5194/acp-15-6225-2015</t>
  </si>
  <si>
    <t>WOS:000356180900014</t>
  </si>
  <si>
    <t>Preunkert, S; Legrand, M; Frey, MM; Kukui, A; Savarino, J; Gallée, H; King, M; Jourdain, B; Vicars, W; Helmig, D</t>
  </si>
  <si>
    <t>Preunkert, S.; Legrand, M.; Frey, M. M.; Kukui, A.; Savarino, J.; Gallee, H.; King, M.; Jourdain, B.; Vicars, W.; Helmig, D.</t>
  </si>
  <si>
    <t>Formaldehyde (HCHO) in air, snow, and interstitial air at Concordia (East Antarctic Plateau) in summer</t>
  </si>
  <si>
    <t>GAS-PHASE REACTIONS; ATMOSPHERIC CHEMISTRY; PHOTOCHEMICAL DATA; HYDROGEN-PEROXIDE; BOUNDARY-LAYER; DOME C; SOUTH-POLE; VARIABILITY; RADICALS; OH</t>
  </si>
  <si>
    <t>During the 2011/12 and 2012/13 austral summers, HCHO was investigated for the first time in ambient air, snow, and interstitial air at the Concordia site, located near Dome C on the East Antarctic Plateau, by deploying an Aerolaser AL-4021 analyzer. Snow emission fluxes were estimated from vertical gradients of mixing ratios observed at 1 cm and 1 m above the snow surface as well as in interstitial air a few centimeters below the surface and in air just above the snowpack. Typical flux values range between 1 and 2 x 10(12) molecules m(-2) s(-1) at night and 3 and 5 x 10(12) molecules m(-2) s(-1) at noon. Shading experiments suggest that the photochemical HCHO production in the snowpack at Concordia remains negligible compared to temperature-driven air-snow exchanges. At 1 m above the snow surface, the observed mean mixing ratio of 130 pptv and its diurnal cycle characterized by a slight decrease around noon are quite well reproduced by 1-D simulations that include snow emissions and gas-phase methane oxidation chemistry. Simulations indicate that the gas-phase production from CH4 oxidation largely contributes (66%) to the observed HCHO mixing ratios. In addition, HCHO snow emissions account for 30% at night and 10% at noon to the observed HCHO levels.</t>
  </si>
  <si>
    <t>[Preunkert, S.; Legrand, M.; Savarino, J.; Gallee, H.; Jourdain, B.] CNRS, LGGE, F-38000 Grenoble, France; [Preunkert, S.; Legrand, M.; Savarino, J.; Gallee, H.; Jourdain, B.] Univ Grenoble Alpes, LGGE, F-38000 Grenoble, France; [Frey, M. M.] British Antarctic Survey, Nat Environm Res Council, Cambridge CB3 0ET, England; [Kukui, A.] Lab Atmospheres Milieux Observat Spatiales LATMOS, Paris, France; [Kukui, A.] CNRS, LPC2E, UMR, F-45071 Orleans, France; [King, M.] Royal Holloway Univ London, Dept Earth Sci, Egham TW20 0EX, Surrey, England; [Vicars, W.; Helmig, D.] Univ Colorado, Inst Arctic &amp; Alpine Res INSTAAR, Boulder, CO 80309 USA</t>
  </si>
  <si>
    <t>Communaute Universite Grenoble Alpes; Universite Grenoble Alpes (UGA); Centre National de la Recherche Scientifique (CNRS); Communaute Universite Grenoble Alpes; Universite Grenoble Alpes (UGA); UK Research &amp; Innovation (UKRI); Natural Environment Research Council (NERC); NERC British Antarctic Survey; Universite Paris Saclay; Sorbonne Universite; Centre National de la Recherche Scientifique (CNRS); Universite de Orleans; University of London; Royal Holloway University London; University of Colorado System; University of Colorado Boulder</t>
  </si>
  <si>
    <t>Preunkert, S (corresponding author), CNRS, LGGE, F-38000 Grenoble, France.</t>
  </si>
  <si>
    <t>preunkert@lgge.obs.ujf-grenoble.fr</t>
  </si>
  <si>
    <t>King, Martin/B-1308-2009; Kukui, Alexandre/K-6643-2012; Legrand, Michel/AAU-4678-2020; Frey, Markus/G-1756-2012; Savarino, Joel/H-9730-2012</t>
  </si>
  <si>
    <t>King, Martin/0000-0002-0089-7693; Frey, Markus/0000-0003-0535-0416; Savarino, Joel/0000-0002-6708-9623; Kukui, Alexandre/0000-0002-3657-0414</t>
  </si>
  <si>
    <t>ANR (Agence National de Recherche) [ANR-09-BLAN-0226]; Institut Polaire Francais-Paul Emile Victor (IPEV) [414, 903, 1011]; United States National Science Foundation Office of Polar Programs (NSF) [1142145]; NERC [NE/F0004796/1, NE/F010788]; NERC FSF [555.0608, 584.0609]; Office of Polar Programs (OPP); Directorate For Geosciences [1142145] Funding Source: National Science Foundation; Natural Environment Research Council [fsf010001, bas0100032] Funding Source: researchfish; NERC [fsf010001, bas0100032] Funding Source: UKRI</t>
  </si>
  <si>
    <t>ANR (Agence National de Recherche)(Agence Nationale de la Recherche (ANR)); Institut Polaire Francais-Paul Emile Victor (IPEV); United States National Science Foundation Office of Polar Programs (NSF)(National Science Foundation (NSF)); NERC(UK Research &amp; Innovation (UKRI)Natural Environment Research Council (NERC)); NERC FSF;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</si>
  <si>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The OPALE project was funded by the ANR (Agence National de Recherche) through contract ANR-09-BLAN-0226. National financial support and field logistic supplies for the summer campaign were provided by the Institut Polaire Francais-Paul Emile Victor (IPEV) through program nos. 414, 903, and 1011. The 2012-2014 snowpack air sampling experiments were funded by an award to D. Helmig and J. Savarino from the United States National Science Foundation Office of Polar Programs (NSF #1142145). M. D. King was supported through NERC NE/F0004796/1 and NE/F010788 grants and NERC FSF grants 555.0608 and 584.0609. We thank PNRA for providing temperature and pressure data at Concordia. Thanks to Edward J. Dlugokencky and the World Data Centre for Greenhouse Gases for providing CH4 data from the Syowa station.</t>
  </si>
  <si>
    <t>10.5194/acp-15-6689-2015</t>
  </si>
  <si>
    <t>WOS:000357117500009</t>
  </si>
  <si>
    <t>Allin, SJ; Laube, JC; Witrant, E; Kaiser, J; McKenna, E; Dennis, P; Mulvaney, R; Capron, E; Martinerie, P; Röckmann, T; Blunier, T; Schwander, J; Fraser, PJ; Langenfelds, RL; Sturges, WT</t>
  </si>
  <si>
    <t>Allin, S. J.; Laube, J. C.; Witrant, E.; Kaiser, J.; McKenna, E.; Dennis, P.; Mulvaney, R.; Capron, E.; Martinerie, P.; Roeckmann, T.; Blunier, T.; Schwander, J.; Fraser, P. J.; Langenfelds, R. L.; Sturges, W. T.</t>
  </si>
  <si>
    <t>Chlorine isotope composition in chlorofluorocarbons CFC-11, CFC-12 and CFC-113 in firn, stratospheric and tropospheric air</t>
  </si>
  <si>
    <t>NITROUS-OXIDE CONCENTRATION; OZONE-DEPLETING SUBSTANCES; ATMOSPHERIC N2O; SEASONAL CYCLES; ICE-CORE; SOUTH-POLE; TRANSPORT; FRACTIONATION; CHEMISTRY; METHANE</t>
  </si>
  <si>
    <t>The stratospheric degradation of chlorofluorocarbons (CFCs) releases chlorine, which is a major contributor to the destruction of stratospheric ozone (O-3). A recent study reported strong chlorine isotope fractionation during the breakdown of the most abundant CFC (CFC-12, CCl2F2, Laube et al., 2010a), similar to effects seen in nitrous oxide (N2O). Using air archives to obtain a long-term record of chlorine isotope ratios in CFCs could help to identify and quantify their sources and sinks. We analyse the three most abundant CFCs and show that CFC-11 (CCl3F) and CFC-113 (CClF2CCl2F) exhibit significant stratospheric chlorine isotope fractionation, in common with CFC-12. The apparent isotope fractionation (epsilon(app)) for mid- and high-latitude stratospheric samples are respectively -2.4 (0.5) and -2.3 (0.4) parts per thousand for CFC-11, -12.2 (1.6) and -6.8 (0.8) parts per thousand for CFC-12 and -3.5 (1.5) and -3.3 (1.2) parts per thousand for CFC-113, where the number in parentheses is the numerical value of the standard uncertainty expressed in per mil. Assuming a constant isotope composition of emissions, we calculate the expected trends in the tropospheric isotope signature of these gases based on their stratospheric Cl-37 enrichment and stratosphere-troposphere exchange. We compare these projections to the long-term delta (Cl-37) trends of all three CFCs, measured on background tropospheric samples from the Cape Grim air archive (Tasmania, 1978-2010) and tropospheric firn air samples from Greenland (North Greenland Eemian Ice Drilling (NEEM) site) and Antarctica (Fletcher Promontory site). From 1970 to the present day, projected trends agree with tropospheric measurements, suggesting that within analytical uncertainties, a constant average emission isotope delta (delta) is a compatible scenario. The measurement uncertainty is too high to determine whether the average emission isotope delta has been affected by changes in CFC manufacturing processes or not. Our study increases the suite of trace gases amenable to direct isotope ratio measurements in small air volumes (approximately 200 mL), using a single-detector gas chromatography-mass spectrometry (GC-MS) system.</t>
  </si>
  <si>
    <t>[Allin, S. J.; Laube, J. C.; Kaiser, J.; McKenna, E.; Dennis, P.; Sturges, W. T.] Univ E Anglia, Sch Environm Sci, Ctr Ocean &amp; Atmospher Sci, Norwich NR4 7TJ, Norfolk, England; [Witrant, E.] Univ Grenoble 1, CNRS, Grenoble Image Parole Signal Automat, Grenoble, France; [Mulvaney, R.; Capron, E.] British Antarctic Survey, NERC, Cambridge CB3 0ET, England; [Martinerie, P.] Univ Grenoble Alpes, CNRS, F-38041 Grenoble, France; [Roeckmann, T.] Univ Utrecht, Inst Marine &amp; Atmospher Res Utrecht, Utrecht, Netherlands; [Blunier, T.] Univ Copenhagen, Ctr Ice &amp; Climate, Copenhagen, Denmark; [Schwander, J.] Univ Bern, Inst Phys, Bern, Switzerland; [Fraser, P. J.; Langenfelds, R. L.] CSIRO, Ctr Australian Weather &amp; Climate Res, Oceans &amp; Atmosphere Flagship, Aspendale, Vic, Australia</t>
  </si>
  <si>
    <t>University of East Anglia; Communaute Universite Grenoble Alpes; Universite Grenoble Alpes (UGA); Centre National de la Recherche Scientifique (CNRS); UK Research &amp; Innovation (UKRI); Natural Environment Research Council (NERC); NERC British Antarctic Survey; Communaute Universite Grenoble Alpes; Universite Grenoble Alpes (UGA); Centre National de la Recherche Scientifique (CNRS); Utrecht University; University of Copenhagen; University of Bern; Commonwealth Scientific &amp; Industrial Research Organisation (CSIRO)</t>
  </si>
  <si>
    <t>Allin, SJ (corresponding author), Univ E Anglia, Sch Environm Sci, Ctr Ocean &amp; Atmospher Sci, Norwich NR4 7TJ, Norfolk, England.</t>
  </si>
  <si>
    <t>s.allin@uea.ac.uk</t>
  </si>
  <si>
    <t>Capron, Emilie/ITU-2672-2023; Laube, Johannes C/P-6772-2017; Mulvaney, Robert/K-3929-2012; Fraser, Paul J. B./D-1755-2012; Kaiser, Jan/D-3327-2009; Martinerie, Patricia/N-5731-2017; Rockmann, Thomas/F-4479-2015; Langenfelds, Ray/B-5381-2012; Blunier, Thomas/M-4609-2014</t>
  </si>
  <si>
    <t>Kaiser, Jan/0000-0002-1553-4043; Martinerie, Patricia/0000-0002-6820-2296; Rockmann, Thomas/0000-0002-6688-8968; Langenfelds, Ray/0000-0003-4890-2049; Dennis, Paul/0000-0002-0307-4406; Blunier, Thomas/0000-0002-6065-7747</t>
  </si>
  <si>
    <t>UK Natural Environment Research Council, the National Centre for Atmospheric Science [NE/K500896/1, NE/F015585/1, NE/I021918/1]; European Commission [INFRA-2011-1.1.11-284274]; Belgium (FNRS-CFB); Belgium (FWO); Canada (GSC); China (CAS); Denmark (FIST); France (IPEV); France (CNRS/INSU); France (CEA); France (ANR); Germany (AWI); Iceland (RannIs); Japan (NIPR); Korea (KOPRI); Netherlands (NWO/ALW); Sweden (VR); Switzerland (SNF); United Kingdom (NERC); USA (US NSF, Office of Polar Programs); ESA under the PremieEx project; Forschungszentrum Julich; Natural Environment Research Council; European Commission as part of the FP7 project RECONCILE [RECONCILE-226365-FP7-ENV-2008-1]; Dutch Science Foundation (NWO) [865.07.001]; NERC [NE/I021918/1, NE/F015585/1, bas0100034, NE/F021194/1] Funding Source: UKRI; Natural Environment Research Council [1092450, 1510187, NE/F015585/1, NE/F021194/1, bas0100034, NE/I021918/1] Funding Source: researchfish</t>
  </si>
  <si>
    <t>UK Natural Environment Research Council, the National Centre for Atmospheric Science; European Commission(European Union (EU)European Commission Joint Research Centre); Belgium (FNRS-CFB)(Fonds de la Recherche Scientifique - FNRS); Belgium (FWO)(FWO); Canada (GSC);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Netherlands (NWO/ALW)(Netherlands Organization for Scientific Research (NWO)Netherlands Government); Sweden (VR)(Swedish Research Council); Switzerland (SNF); United Kingdom (NERC)(UK Research &amp; Innovation (UKRI)Natural Environment Research Council (NERC)); USA (US NSF, Office of Polar Programs); ESA under the PremieEx project; Forschungszentrum Julich(Helmholtz Association); Natural Environment Research Council(UK Research &amp; Innovation (UKRI)Natural Environment Research Council (NERC)); European Commission as part of the FP7 project RECONCILE; Dutch Science Foundation (NWO)(Netherlands Organization for Scientific Research (NWO)); NERC(UK Research &amp; Innovation (UKRI)Natural Environment Research Council (NERC)); Natural Environment Research Council(UK Research &amp; Innovation (UKRI)Natural Environment Research Council (NERC))</t>
  </si>
  <si>
    <t>We thank the UK Natural Environment Research Council (grant nos. NE/K500896/1, NE/F015585/1 &amp; NE/I021918/1, the National Centre for Atmospheric Science) and the European Commission (INFRA-2011-1.1.11-284274) for funding. We thank the staff at the Cape Grim station and at CSIRO GASLAB Aspendale for collecting and maintaining the Cape Grim air archive and preparing the UEA flasks and sub-samples. We also acknowledge CSIRO and the Bureau of Meteorology for funding these activities. NEEM is directed and organised by the Centre for Ice and Climate at the Niels Bohr Institute and US NSF, Office of Polar Programs. It is supported by funding agencies and institutions in Belgium (FNRS-CFB and FWO), Canada (GSC), China (CAS), Denmark (FIST), France (IPEV, CNRS/INSU, CEA and ANR), Germany (AWI), Iceland (RannIs), Japan (NIPR), Korea (KOPRI), the Netherlands (NWO/ALW), Sweden (VR), Switzerland (SNF), United Kingdom (NERC) and the USA (US NSF, Office of Polar Programs). The Geophysica flights from Oberpfaffenhofen were funded by ESA under the PremieEx project and by Forschungszentrum Julich. The Fletcher air pumping campaign was made possible with the support of BAS operations and logistics and funded by the Natural Environment Research Council. The Geophysica flights from Kiruna were funded by the European Commission as part of the FP7 project RECONCILE (grant no. RECONCILE-226365-FP7-ENV-2008-1). Air sampling during these campaigns was funded by the Dutch Science Foundation (NWO, grant no. 865.07.001). In addition we are grateful for contributions from Michel Bolder and the Geophysica team (sample collection and campaign organisation).</t>
  </si>
  <si>
    <t>10.5194/acp-15-6867-2015</t>
  </si>
  <si>
    <t>Green Submitted, Green Accepted, gold, Green Published</t>
  </si>
  <si>
    <t>WOS:000357117500021</t>
  </si>
  <si>
    <t>Hindley, NP; Wright, CJ; Smith, ND; Mitchell, NJ</t>
  </si>
  <si>
    <t>Hindley, N. P.; Wright, C. J.; Smith, N. D.; Mitchell, N. J.</t>
  </si>
  <si>
    <t>The southern stratospheric gravity wave hot spot: individual waves and their momentum fluxes measured by COSMIC GPS-RO</t>
  </si>
  <si>
    <t>SATELLITE-OBSERVATIONS; MOUNTAIN WAVES; ATMOSPHERE; VARIANCES; SPECTRUM</t>
  </si>
  <si>
    <t>Nearly all general circulation models significantly fail to reproduce the observed behaviour of the southern wintertime polar vortex. It has been suggested that these biases result from an underestimation of gravity wave drag on the atmosphere at latitudes near 60 degrees S, especially around the hot spot of intense gravity wave fluxes above the mountainous Southern Andes and Antarctic peninsula. Here, we use Global Positioning System radio occultation (GPS-RO) data from the COSMIC satellite constellation to determine the properties of gravity waves in the hot spot and beyond. We show considerable southward propagation to latitudes near 60 degrees S of waves apparently generated over the southern Andes. We propose that this propagation may account for much of the wave drag missing from the models. Furthermore, there is a long leeward region of increased gravity wave energy that sweeps eastwards from the mountains over the Southern Ocean. Despite its striking nature, the source of this region has historically proved difficult to determine. Our observations suggest that this region includes both waves generated locally and orographic waves advected downwind from the hot spot. We describe and use a new wavelet-based analysis technique for the quantitative identification of individual waves from COSMIC temperature profiles. This analysis reveals different geographical regimes of wave amplitude and short-timescale variability in the wave field over the Southern Ocean. Finally, we use the increased numbers of closely spaced pairs of profiles from the deployment phase of the COSMIC constellation in 2006 to make estimates of gravity wave horizontal wavelengths. We show that, given sufficient observations, GPS-RO can produce physically reasonable estimates of stratospheric gravity wave momentum flux in the hot spot that are consistent with measurements made by other techniques. We discuss our results in the con-text of previous satellite and modelling studies and explain how they advance our understanding of the nature and origins of waves in the southern stratosphere.</t>
  </si>
  <si>
    <t>[Hindley, N. P.; Wright, C. J.; Smith, N. D.; Mitchell, N. J.] Univ Bath, Ctr Space Atmospher &amp; Ocean Sci, Bath BA2 7AY, Avon, England</t>
  </si>
  <si>
    <t>University of Bath</t>
  </si>
  <si>
    <t>Hindley, NP (corresponding author), Univ Bath, Ctr Space Atmospher &amp; Ocean Sci, Bath BA2 7AY, Avon, England.</t>
  </si>
  <si>
    <t>n.hindley@bath.ac.uk</t>
  </si>
  <si>
    <t>Wright, Corwin/J-4598-2014</t>
  </si>
  <si>
    <t>Wright, Corwin/0000-0003-2496-953X; Hindley, Neil/0000-0003-4377-2038</t>
  </si>
  <si>
    <t>UK Natural Environment Research Council (NERC); NERC [NE/K015117/1]; Natural Environment Research Council [NE/K015117/1, 1189316] Funding Source: researchfish; NERC [NE/K015117/1] Funding Source: UKRI</t>
  </si>
  <si>
    <t>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</si>
  <si>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supported by the UK Natural Environment Research Council (NERC): C. J. Wright and N. J. Mitchell are supported by NERC grant NE/K015117/1 and N. P. Hindley by a PhD studentship awarded to the University of Bath. We are grateful to Andrew Moss for helpful suggestions and discussions. We would also like to acknowledge Harrower and Brewer (2003) for the ColorBrewer colour maps featured in this study.</t>
  </si>
  <si>
    <t>10.5194/acp-15-7797-2015</t>
  </si>
  <si>
    <t>CN9VS</t>
  </si>
  <si>
    <t>WOS:000358799000004</t>
  </si>
  <si>
    <t>Frey, MM; Roscoe, HK; Kukui, A; Savarino, J; France, JL; King, MD; Legrand, M; Preunkert, S</t>
  </si>
  <si>
    <t>Frey, M. M.; Roscoe, H. K.; Kukui, A.; Savarino, J.; France, J. L.; King, M. D.; Legrand, M.; Preunkert, S.</t>
  </si>
  <si>
    <t>Atmospheric nitrogen oxides (NO and NO2) at Dome C, East Antarctica, during the OPALE campaign</t>
  </si>
  <si>
    <t>BOUNDARY-LAYER; SOUTH-POLE; RADIATIVE-TRANSFER; PHOTOCHEMICAL PRODUCTION; TROPOSPHERIC BRO; SNOW; EMISSIONS; PLATEAU; NITRATE; FLUXES</t>
  </si>
  <si>
    <t>Mixing ratios of the atmospheric nitrogen oxides NO and NO2 were measured as part of the OPALE (Oxidant Production in Antarctic Lands &amp; Export) campaign at Dome C, East Antarctica (75.1 degrees S, 123.3 degrees E, 3233 m), during December 2011 to January 2012. Profiles of NOx mixing ratios of the lower 100m of the atmosphere confirm that, in contrast to the South Pole, air chemistry at Dome C is strongly influenced by large diurnal cycles in solar irradiance and a sudden collapse of the atmospheric boundary layer in the early evening. Depth profiles of mixing ratios in firn air suggest that the upper snowpack at Dome C holds a significant reservoir of photolytically produced NO2 and is a sink of gas-phase ozone (O-3). First-time observations of bromine oxide (BrO) at Dome C show that mixing ratios of BrO near the ground are low, certainly less than 5 pptv, with higher levels in the free troposphere. Assuming steady state, observed mixing ratios of BrO and RO2 radicals are too low to explain the large NO2 : NO ratios found in ambient air, possibly indicating the existence of an unknown process contributing to the atmospheric chemistry of reactive nitrogen above the Antarctic Plateau. During 2011-2012, NOx mixing ratios and flux were larger than in 2009-2010, consistent with also larger surface O-3 mixing ratios resulting from increased net O-3 production. Large NOx mixing ratios at Dome C arise from a combination of continuous sunlight, shallow mixing height and significant NOx emissions by surface snow (F-NOx). During 23 December 2011-12 January 2012, median F-NOx was twice that during the same period in 20092010 due to significantly larger atmospheric turbulence and a slightly stronger snowpack source. A tripling of F-NOx in December 2011 was largely due to changes in snowpack source strength caused primarily by changes in NO3- concentrations in the snow skin layer, and only to a secondary order by decrease of total column O-3 and associated increase in NO3- photolysis rates. A source of uncertainty in model estimates of F-NOx is the quantum yield of NO3- photolysis in natural snow, which may change over time as the snow ages.</t>
  </si>
  <si>
    <t>[Frey, M. M.; Roscoe, H. K.] NERC, British Antarctic Survey, Cambridge, England; [Kukui, A.] Univ Paris 06, Univ Versailles St Quentin, CNRS, LATMOS,UMR8190, Paris, France; [Kukui, A.] Univ Orleans, CNRS, Lab Phys &amp; Chim Environm &amp; Espace LPC2E, UMR6115, F-45071 Orleans 2, France; [Savarino, J.; Legrand, M.; Preunkert, S.] Univ Grenoble Alpes, LGGE, F-38000 Grenoble, France; [Savarino, J.; Legrand, M.; Preunkert, S.] CNRS, LGGE, F-38000 Grenoble, France; [France, J. L.] Univ E Anglia, Sch Environm Sci, Norwich NR4 7TJ, Norfolk, England; [King, M. D.] Univ London, Royal Holloway, Dept Earth Sci, Egham TW20 0EX, Surrey, England</t>
  </si>
  <si>
    <t>UK Research &amp; Innovation (UKRI); Natural Environment Research Council (NERC); NERC British Antarctic Survey; Sorbonne Universite; Universite Paris Saclay; Centre National de la Recherche Scientifique (CNRS); CNRS - National Institute for Earth Sciences &amp; Astronomy (INSU); Centre National de la Recherche Scientifique (CNRS); Universite de Orleans; Communaute Universite Grenoble Alpes; Universite Grenoble Alpes (UGA); Centre National de la Recherche Scientifique (CNRS); Communaute Universite Grenoble Alpes; Universite Grenoble Alpes (UGA); University of East Anglia; University of London; Royal Holloway University London</t>
  </si>
  <si>
    <t>Frey, MM (corresponding author), NERC, British Antarctic Survey, Cambridge, England.</t>
  </si>
  <si>
    <t>maey@bas.ac.uk</t>
  </si>
  <si>
    <t>Savarino, Joel/H-9730-2012; Frey, Markus/G-1756-2012; Kukui, Alexandre/K-6643-2012; Legrand, Michel/AAU-4678-2020; King, Martin/B-1308-2009; France, James/L-9719-2015</t>
  </si>
  <si>
    <t>Savarino, Joel/0000-0002-6708-9623; Frey, Markus/0000-0003-0535-0416; King, Martin/0000-0002-0089-7693; France, James/0000-0002-8785-1240; Kukui, Alexandre/0000-0002-3657-0414</t>
  </si>
  <si>
    <t>Natural Environment Research Council through the British Antarctic Survey Polar Science for Planet Earth programme; NERC [NE/F0004796/1, NE/F010788]; ANR (Agence National de Recherche) [ANR-09-BLAN-0226]; Institut Polaire Francais-Paul Emile Victor (IPEV) [414, 903, 1011]; NERC FSF 20 [555.0608, 584.0609]; NERC [bas0100032, fsf010001] Funding Source: UKRI; Natural Environment Research Council [bas0100032, fsf010001] Funding Source: researchfish</t>
  </si>
  <si>
    <t>Natural Environment Research Council through the British Antarctic Survey Polar Science for Planet Earth programme; NERC(UK Research &amp; Innovation (UKRI)Natural Environment Research Council (NERC)); ANR (Agence National de Recherche)(Agence Nationale de la Recherche (ANR)); Institut Polaire Francais-Paul Emile Victor (IPEV); NERC FSF 20; NERC(UK Research &amp; Innovation (UKRI)Natural Environment Research Council (NERC)); Natural Environment Research Council(UK Research &amp; Innovation (UKRI)Natural Environment Research Council (NERC))</t>
  </si>
  <si>
    <t>M. M. Frey is funded by the Natural Environment Research Council through the British Antarctic Survey Polar Science for Planet Earth programme. This study was supported by core funding from NERC to BAS's Chemistry &amp; Past Climate programme. The OPALE project was funded by the ANR (Agence National de Recherche) contract ANR-09-BLAN-0226. National financial support and field logistic supplies for the summer campaign were provided by the Institut Polaire Francais-Paul Emile Victor (IPEV) within programmes nos. 414, 903, and 1011. J. L. France and M. D. King wish to thank NERC NE/F0004796/1 and NE/F010788, NERC FSF 20 grants 555.0608 and 584.0609. We thank B. Jourdain for assistance with balloon soundings and firn air experiments, PNRA for meteorological data, and IPEV for logistic support. We are also grateful to J. Dibb and D. Perovich for valuable input on the design of the firn air probe. Collected data are accessible through NERC's Polar Data Centre.</t>
  </si>
  <si>
    <t>10.5194/acp-15-7859-2015</t>
  </si>
  <si>
    <t>WOS:000358799000008</t>
  </si>
  <si>
    <t>Chan, HG; King, MD; Frey, MM</t>
  </si>
  <si>
    <t>Chan, H. G.; King, M. D.; Frey, M. M.</t>
  </si>
  <si>
    <t>The impact of parameterising light penetration into snow on the photochemical production of NOx and OH radicals in snow</t>
  </si>
  <si>
    <t>E-FOLDING DEPTH; OPTICAL-PROPERTIES; SOLAR-RADIATION; QUANTUM YIELDS; NITROGEN-DIOXIDE; SPECTRAL ALBEDO; ANTARCTIC SNOW; SOUTH-POLE; GRAIN-SIZE; PHOTOLYSIS</t>
  </si>
  <si>
    <t>Snow photochemical processes drive production of chemical trace gases in snowpacks, including nitrogen oxides (NOx = NO + NO2) and hydrogen oxide radical (HOx = OH + HO2), which are then released to the lower atmosphere. Coupled atmosphere-snow modelling of theses processes on global scales requires simple parameterisations of actinic flux in snow to reduce computational cost. The disagreement between a physical radiative-transfer (RT) method and a parameterisation based upon the e-folding depth of actinic flux in snow is evaluated. In particular, the photolysis of the nitrate anion (NO3-), the nitrite anion (NO2-) and hydrogen peroxide (H2O2) in snow and nitrogen dioxide (NO2) in the snowpack interstitial air are considered. The emission flux from the snowpack is estimated as the product of the depth-integrated photolysis rate coefficient, nu, and the concentration of photolysis precursors in the snow. The depth-integrated photolysis rate coefficient is calculated (a) explicitly with an RT model (TUV), nu(TUV), and (b) with a simple parameterisation based on e-folding depth, nu(ze). The metric for the evaluation is based upon the deviation of the ratio of the depth-integrated photolysis rate coefficient determined by the two methods, nu(TUV)/nu(ze), from unity. The ratio depends primarily on the position of the peak in the photolysis action spectrum of chemical species, solar zenith angle and physical properties of the snowpack, i.e. strong dependence on the light-scattering cross section and the mass ratio of light-absorbing impurity (i.e. black carbon and HULIS) with a weak dependence on density. For the photolysis of NO2, the NO2- anion, the NO3- anion and H2O2 the ratio nu(TUV)/nu(ze) varies within the range of 0.82-1.35, 0.88-1.28, 0.93-1.27 and 0.91-1.28 respectively. The e-folding depth parameterisation underestimates for small solar zenith angles and overestimates at solar zenith angles around 60 degrees compared to the RT method. A simple algorithm has been developed to improve the parameterisation which reduces the ratio nu(TUV)/nu(ze) to 0.97-1.02, 0.99-1.02, 0.99-1.03 and 0.98-1.06 for photolysis of NO2, the NO2- anion, the NO3- anion and H2O2 respectively. The e-folding depth parameterisation may give acceptable results for the photolysis of the NO3- anion and H2O2 in cold polar snow with large solar zenith angles, but it can be improved by a correction based on solar zenith angle and for cloudy skies.</t>
  </si>
  <si>
    <t>[Chan, H. G.; Frey, M. M.] NERC, British Antarctic Survey, Cambridge CB3 0ET, England; [Chan, H. G.; King, M. D.] Royal Holloway Univ London, Dept Earth Sci, Egham TW20 0EX, Surrey, England</t>
  </si>
  <si>
    <t>UK Research &amp; Innovation (UKRI); Natural Environment Research Council (NERC); NERC British Antarctic Survey; University of London; Royal Holloway University London</t>
  </si>
  <si>
    <t>Chan, HG (corresponding author), NERC, British Antarctic Survey, Cambridge CB3 0ET, England.</t>
  </si>
  <si>
    <t>hohan47@bas.ac.uk</t>
  </si>
  <si>
    <t>King, Martin/B-1308-2009; Frey, Markus/G-1756-2012</t>
  </si>
  <si>
    <t>King, Martin/0000-0002-0089-7693; Frey, Markus/0000-0003-0535-0416</t>
  </si>
  <si>
    <t>Natural Environment Research Council [NE/L501633/1]; NERC [bas0100032] Funding Source: UKRI; Natural Environment Research Council [1381533, bas0100032]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</si>
  <si>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</si>
  <si>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H. G. Chan is funded by the Natural Environment Research Council through Doctoral Studentship NE/L501633/1.</t>
  </si>
  <si>
    <t>10.5194/acp-15-7913-2015</t>
  </si>
  <si>
    <t>WOS:000358799000011</t>
  </si>
  <si>
    <t>Wright, CJ; Osprey, SM; Gille, JC</t>
  </si>
  <si>
    <t>Wright, C. J.; Osprey, S. M.; Gille, J. C.</t>
  </si>
  <si>
    <t>Global distributions of overlapping gravity waves in HIRDLS data</t>
  </si>
  <si>
    <t>MOMENTUM FLUX; MIDDLE ATMOSPHERE; CLIMATE; LIMB; PARAMETERIZATION; TEMPERATURE; VARIANCE; SPECTRUM; MODELS</t>
  </si>
  <si>
    <t>Data from the High Resolution Dynamics Limb Sounder (HIRDLS) instrument on NASA's Aura satellite are used to investigate the relative numerical variability of observed gravity wave packets as a function of both horizontal and vertical wavenumber, with support from the Sounding of the Atmosphere using Broadband Emission Radiometry (SABER) instrument on TIMED. We see that these distributions are dominated by large vertical and small horizontal wavenumbers, and have a similar spectral form at all heights and latitudes, albeit with important differences. By dividing our observed wavenumber distribution into particular subspecies of waves, we demonstrate that these distributions exhibit significant temporal and spatial variability, and that small-scale variability associated with particular geophysical phenomena such as the monsoon arises due to variations in specific parts of the observed spectrum. We further show that the well-known Andes/Antarctic Peninsula gravity wave hotspot during southern winter, home to some of the largest wave fluxes on the planet, is made up of relatively few waves, but with a significantly increased flux per wave due to their spectral characteristics. These results have implications for the modelling of gravity wave phenomena.</t>
  </si>
  <si>
    <t>[Wright, C. J.] Univ Bath, Ctr Space Atmosphere &amp; Ocean Sci, Bath BA2 7AY, Avon, England; [Wright, C. J.; Gille, J. C.] Natl Ctr Atmospher Res, Div Atmospher Chem, Boulder, CO 80307 USA; [Osprey, S. M.] Univ Oxford, Dept Phys, Atmospher Ocean &amp; Planetary Phys, Oxford, England; [Gille, J. C.] Univ Colorado, Ctr Limb Atmospher Sounding, Boulder, CO 80309 USA</t>
  </si>
  <si>
    <t>University of Bath; National Center Atmospheric Research (NCAR) - USA; University of Oxford; University of Colorado System; University of Colorado Boulder</t>
  </si>
  <si>
    <t>Wright, CJ (corresponding author), Univ Bath, Ctr Space Atmosphere &amp; Ocean Sci, Bath BA2 7AY, Avon, England.</t>
  </si>
  <si>
    <t>corwin.wright@trinity.oxon.org</t>
  </si>
  <si>
    <t>Osprey, Scott/GQI-3483-2022; Osprey, Scott/P-6621-2016; Osprey, Scott/S-7908-2019; Wright, Corwin/J-4598-2014</t>
  </si>
  <si>
    <t>Osprey, Scott/0000-0002-8751-1211; Osprey, Scott/0000-0002-8751-1211; Osprey, Scott/0000-0002-8751-1211; Wright, Corwin/0000-0003-2496-953X</t>
  </si>
  <si>
    <t>NERC [NE/K015117/1]; UK National Centre for Atmospheric Science; NASA's Aura satellite program [NAS5-9704]; National Science Foundation; Natural Environment Research Council [NE/K015117/1] Funding Source: researchfish; NERC [NE/K015117/1] Funding Source: UKRI</t>
  </si>
  <si>
    <t>NERC(UK Research &amp; Innovation (UKRI)Natural Environment Research Council (NERC)); UK National Centre for Atmospheric Science; NASA's Aura satellite program; National Science Foundation(National Science Foundation (NSF)); Natural Environment Research Council(UK Research &amp; Innovation (UKRI)Natural Environment Research Council (NERC)); NERC(UK Research &amp; Innovation (UKRI)Natural Environment Research Council (NERC))</t>
  </si>
  <si>
    <t>C. J. Wright is currently supported by NERC grant NE/K015117/1. S. M. Osprey is funded by the UK National Centre for Atmospheric Science. C. J. Wright and J. C. Gille were supported by NASA's Aura satellite program under contract NAS5-9704 for part of this work.; The National Center for Atmospheric Research is sponsored by the National Science Foundation. Any opinions, findings and conclusions or recommendations expressed in the publication are those of the authors and do not necessarily reflect the views of the National Science Foundation.</t>
  </si>
  <si>
    <t>10.5194/acp-15-8459-2015</t>
  </si>
  <si>
    <t>WOS:000358799000040</t>
  </si>
  <si>
    <t>Rolf, C; Afchine, A; Bozem, H; Buchholz, B; Ebert, V; Guggenmoser, T; Hoor, P; Konopka, P; Kretschmer, E; Müller, S; Schlager, H; Spelten, N; Suminska-Ebersoldt, O; Ungermann, J; Zahn, A; Krämer, M</t>
  </si>
  <si>
    <t>Rolf, C.; Afchine, A.; Bozem, H.; Buchholz, B.; Ebert, V.; Guggenmoser, T.; Hoor, P.; Konopka, P.; Kretschmer, E.; Mueller, S.; Schlager, H.; Spelten, N.; Suminska-Ebersoldt, O.; Ungermann, J.; Zahn, A.; Kremer, M.</t>
  </si>
  <si>
    <t>Transport of Antarctic stratospheric strongly dehydrated air into the troposphere observed during the HALO-ESMVal campaign 2012</t>
  </si>
  <si>
    <t>TRANSFORM SPECTROMETER GLORIA; CHEMICAL LAGRANGIAN MODEL; POLAR VORTEX; LATE WINTER; TROPOPAUSE; AIRBORNE; VALIDATION; WATER; HYGROMETER; RETRIEVAL</t>
  </si>
  <si>
    <t>Dehydration in the Antarctic winter stratosphere is a well-known phenomenon that is annually observed by satellites and occasionally observed by balloon-borne measurements. However, in situ measurements of dehydrated air masses in the Antarctic vortex are very rare. Here, we present detailed observations with the in situ and GLORIA remote sensing instrument payload aboard the German aircraft HALO. Strongly dehydrated air masses down to 1.6 ppmv of water vapor were observed as far north as 47 degrees S in an altitude between 12 and 13 km in the lowermost stratosphere. The dehydration can be traced back to individual ice formation events above the Antarctic Peninsula and Plateau, where ice crystals sedimented out and water vapor was irreversibly removed. Within these dehydrated stratospheric air masses, filaments of moister air reaching down to the tropopause are detected with the high-resolution limb sounder, GLORIA. Furthermore, dehydrated air masses are observed with GLORIA in the Antarctic lowermost stratosphere down to 7 km. With the help of a backward trajectory analysis, a midlatitude origin of the moist filaments in the vortex can be identified, while the dry air masses down to 7 km have stratospheric origins. Antarctic stratosphere-troposphere exchange (STE) and transport of dehydrated air masses into the troposphere are investigated. Further, it is shown that the exchange process can be attributed to several successive Rossby wave events in combination with an isentropic exchange of air masses across the thermal tropopause. The transport into the troposphere is caused by air masses that are detached from the potential vorticity (PV) structure by Rossby wave breaking events and subsequently transported diabatically across the dynamical tropopause. Once transported to the troposphere, air masses with stratospheric origin can reach near-surface levels within several days.</t>
  </si>
  <si>
    <t>[Rolf, C.; Afchine, A.; Guggenmoser, T.; Konopka, P.; Spelten, N.; Ungermann, J.; Kremer, M.] Forschungszentrum Julich, IEK 7, D-52457 Julich, Germany; [Bozem, H.; Hoor, P.; Mueller, S.] Johannes Gutenberg Univ Mainz, Inst Atmospher Phys, D-55122 Mainz, Germany; [Buchholz, B.; Ebert, V.] PTB, D-38116 Braunschweig, Germany; [Kretschmer, E.; Suminska-Ebersoldt, O.; Zahn, A.] KIT, IMK ASF, D-76021 Karlsruhe, Germany; [Schlager, H.] Deutsch Zentrum Luft &amp; Raumfahrt, IPA, D-82234 Oberpfaffenhofen, Germany</t>
  </si>
  <si>
    <t>Helmholtz Association; Research Center Julich; Johannes Gutenberg University of Mainz; Physikalisch-Technische Bundesanstalt (PTB); Helmholtz Association; Karlsruhe Institute of Technology; Helmholtz Association; German Aerospace Centre (DLR)</t>
  </si>
  <si>
    <t>Rolf, C (corresponding author), Forschungszentrum Julich, IEK 7, D-52457 Julich, Germany.</t>
  </si>
  <si>
    <t>c.rolf@fz-juelich.de</t>
  </si>
  <si>
    <t>Zahn, Andreas/K-2567-2012; Ungermann, Jörn/K-7776-2012; hoor, peter m/G-5421-2010; 1294, HALO SPP/AAA-7658-2021; Afchine, Armin/R-2267-2017; Ebert, Volker/I-6604-2019; Ebert, Volker/E-7671-2011; Kretschmer, Erik/L-7171-2014; Rolf, Christian/K-5275-2016; Krämer, Martina/A-7482-2013; Konopka, Paul/A-7329-2013; Bozem, Heiko/O-2702-2016</t>
  </si>
  <si>
    <t>Zahn, Andreas/0000-0003-3153-3451; Ungermann, Jörn/0000-0001-9095-8332; hoor, peter m/0000-0001-6582-6864; Afchine, Armin/0000-0002-7669-8295; Ebert, Volker/0000-0002-1394-3097; Ebert, Volker/0000-0002-1394-3097; Kretschmer, Erik/0000-0001-8923-5516; Rolf, Christian/0000-0001-5329-0054; Krämer, Martina/0000-0002-2888-1722; Konopka, Paul/0000-0002-5915-830X; Bozem, Heiko/0000-0003-2412-9864</t>
  </si>
  <si>
    <t>German Science Foundation (DFG); Helmholtz Association of German Research Centres; German Research Foundation (DFG) through the project LASSO [HALO-SPP 1294/GR 3786]</t>
  </si>
  <si>
    <t>German Science Foundation (DFG)(German Research Foundation (DFG)); Helmholtz Association of German Research Centres(Helmholtz Association); German Research Foundation (DFG) through the project LASSO</t>
  </si>
  <si>
    <t>Sincere thanks go to the whole CLaMS team and in particular to Jens-Uwe Grooss for supporting the trajectory calculations. We acknowledge the NASA Langley Research Atmospheric Science Data Center for providing the CALIPSO data. In addition, we acknowledge the European Centre for Medium-Range Weather Forecasts for meteorological reanalysis data support. The development and application of the HAI instrument was financially supported by the German Science Foundation (DFG). We thank all members of the GLORIA instrument team for their great efforts in developing the first IR limb imager. The GLORIA hardware was mainly funded by the Helmholtz Association of German Research Centres through several large investment funds. Great thanks go to the coordinators of the TACTS campaign, Andreas Engel and Harald Bonisch, and of course to the whole HALO community for the great work during both campaigns. We thank Jens-Uwe Grooss for assisting the flight planning by CLaMS model forecasts supported by the German Research Foundation (DFG) through the project LASSO (HALO-SPP 1294/GR 3786). Special thanks go to Anna Luebke for language revision. Finally, we greatly acknowledge the two reviewers, Heini Wernli and Howard Roscoe, as well as Adrian Tuck, who provided constructive and fruitful comments leading to an improvement of the study.</t>
  </si>
  <si>
    <t>10.5194/acp-15-9143-2015</t>
  </si>
  <si>
    <t>CQ5LT</t>
  </si>
  <si>
    <t>Green Published, gold, Green Accepted</t>
  </si>
  <si>
    <t>WOS:000360646500004</t>
  </si>
  <si>
    <t>Saiz-Lopez, A; Blaszczak-Boxe, CS; Carpenter, LJ</t>
  </si>
  <si>
    <t>Saiz-Lopez, A.; Blaszczak-Boxe, C. S.; Carpenter, L. J.</t>
  </si>
  <si>
    <t>A mechanism for biologically induced iodine emissions from sea ice</t>
  </si>
  <si>
    <t>MARINE BOUNDARY-LAYER; PARTICLE FORMATION; HALOGEN CHEMISTRY; HOMOGENEOUS NUCLEATION; POTENTIAL INFLUENCE; NITROGEN-DIOXIDE; OZONE LOSS; COASTAL; NITRATE; POLAR</t>
  </si>
  <si>
    <t>Ground-and satellite-based measurements have reported high concentrations of iodine monoxide (IO) in coastal Antarctica. The sources of such a large iodine burden in the coastal Antarctic atmosphere remain unknown. We propose a mechanism for iodine release from sea ice based on the premise that micro-algae are the primary source of iodine emissions in this environment. The emissions are triggered by the biological production of iodide (I) and hypoiodous acid (HOI) from micro-algae (contained within and underneath sea ice) and their diffusion through sea-ice brine channels, ultimately accumulating in a thin brine layer (BL) on the surface of sea ice. Prior to reaching the BL, the diffusion timescale of iodine within sea ice is depth-dependent. The BL is also a vital component of the proposed mechanism as it enhances the chemical kinetics of iodine-related reactions, which allows for the efficient release of iodine to the polar boundary layer. We suggest that iodine is released to the atmosphere via three possible pathways: (1) emitted from the BL and then transported throughout snow atop sea ice, from where it is released to the atmosphere; (2) released directly from the BL to the atmosphere in regions of sea ice that are not covered with snowpack; or (3) emitted to the atmosphere directly through fractures in the sea-ice pack. To investigate the proposed biology-ice-atmosphere coupling at coastal Antarctica we use a multiphase model that incorporates the transport of iodine species, via diffusion, at variable depths, within brine channels of sea ice. Model simulations were conducted to interpret observations of elevated springtime IO in the coastal Antarctic, around the Weddell Sea. While a lack of experimental and observational data adds uncertainty to the model predictions, the results nevertheless show that the levels of inorganic iodine (i.e. I-2, IBr, ICl) released from sea ice through this mechanism could account for the observed IO concentrations during this timeframe. The model results also indicate that iodine may trigger the catalytic release of bromine from sea ice through phase equilibration of IBr. Considering the extent of sea ice around the Antarctic continent, we suggest that the resulting high levels of iodine may have widespread impacts on catalytic ozone destruction and aerosol formation in the Antarctic lower troposphere.</t>
  </si>
  <si>
    <t>[Saiz-Lopez, A.] CSIC, Inst Phys Chem Rocasolano, Atmospher Chem &amp; Climate Grp, Madrid, Spain; [Blaszczak-Boxe, C. S.] NYU, Medgar Evers College City, Dept Phys Environm &amp; Comp Sci, Brooklyn, NY 11235 USA; [Blaszczak-Boxe, C. S.] CUNY Grad Sch &amp; Univ Ctr, Div Chem, Div Earth &amp; Environm Sci, New York, NY 10016 USA; [Carpenter, L. J.] Univ York, Dept Chem, Wolfson Atmospher Chem Labs, York YO10 5DD, N Yorkshire, England</t>
  </si>
  <si>
    <t>Consejo Superior de Investigaciones Cientificas (CSIC); CSIC - Instituto de Quimica Fisica Rocasolano (IQFR); New York University; City University of New York (CUNY) System; City University of New York (CUNY) Graduate School; University of York - UK</t>
  </si>
  <si>
    <t>Saiz-Lopez, A (corresponding author), CSIC, Inst Phys Chem Rocasolano, Atmospher Chem &amp; Climate Grp, Madrid, Spain.</t>
  </si>
  <si>
    <t>a.saiz@csic.es</t>
  </si>
  <si>
    <t>Carpenter, Lucy J/E-6742-2013; Carpenter, Laura/JPY-0437-2023; Saiz-Lopez, Alfonso/B-3759-2015</t>
  </si>
  <si>
    <t>Saiz-Lopez, Alfonso/0000-0002-0060-1581; Carpenter, Lucy/0000-0002-6257-3950</t>
  </si>
  <si>
    <t>NASA Upper Atmosphere Research and Tropospheric Chemistry programs; UK NERC [NE/I028769/1, NE/D006538/1]; NERC [NE/D006538/1, NE/D006104/1, NE/I028769/1, NE/D006546/1, NE/D006287/1] Funding Source: UKRI; Natural Environment Research Council [NE/D006104/1, NE/D006538/1, NE/D006287/1, NE/D006546/1, NE/I028769/1] Funding Source: researchfish</t>
  </si>
  <si>
    <t>NASA Upper Atmosphere Research and Tropospheric Chemistry programs(National Aeronautics &amp; Space Administration (NASA)); UK NERC(UK Research &amp; Innovation (UKRI)Natural Environment Research Council (NERC)); NERC(UK Research &amp; Innovation (UKRI)Natural Environment Research Council (NERC)); Natural Environment Research Council(UK Research &amp; Innovation (UKRI)Natural Environment Research Council (NERC))</t>
  </si>
  <si>
    <t>During the inception of this project, A. Saiz-Lopez and C. S. Boxe were supported by appointments to the NASA Postdoctoral Program at the Jet Propulsion Laboratory, administered by Oak Ridge Associated Universities through a contract with NASA. Research at the Jet Propulsion Laboratory, California Institute of Technology, was also supported by the NASA Upper Atmosphere Research and Tropospheric Chemistry programs. L. J. Carpenter thanks the UK NERC (grants NE/I028769/1 and NE/D006538/1) for funding. We thank Erik Campbell for producing Fig. 1. We are grateful to John Plane, Stanley Sander, Ross Salawitch and Rosie Chance for very helpful discussions and comments on this work.</t>
  </si>
  <si>
    <t>10.5194/acp-15-9731-2015</t>
  </si>
  <si>
    <t>CR7YH</t>
  </si>
  <si>
    <t>WOS:000361567600001</t>
  </si>
  <si>
    <t>Prytherch, J; Yelland, MJ; Brooks, IM; Tupman, DJ; Pascal, RW; Moat, BI; Norris, SJ</t>
  </si>
  <si>
    <t>Prytherch, J.; Yelland, M. J.; Brooks, I. M.; Tupman, D. J.; Pascal, R. W.; Moat, B. I.; Norris, S. J.</t>
  </si>
  <si>
    <t>Motion-correlated flow distortion and wave-induced biases in air-sea flux measurements from ships</t>
  </si>
  <si>
    <t>TURBULENT FLUXES; MOBILE PLATFORMS; EDDY-CORRELATION; BOUNDARY-LAYERS; MERCHANT SHIPS; R/V LATALANTE; MOMENTUM FLUX; WIND STRESS; OPEN-OCEAN; CFD MODEL</t>
  </si>
  <si>
    <t>Direct measurements of the turbulent air-sea fluxes of momentum, heat, moisture and gases are often made using sensors mounted on ships. Ship-based turbulent wind measurements are corrected for platform motion using well established techniques, but biases at scales associated with wave and platform motion are often still apparent in the flux measurements. It has been uncertain whether this signal is due to time-varying distortion of the air flow over the platform or to wind-wave interactions impacting the turbulence. Methods for removing such motion-scale biases from scalar measurements have previously been published but their application to momentum flux measurements remains controversial. Here we show that the measured motion-scale bias has a dependence on the horizontal ship velocity and that a correction for it reduces the dependence of the measured momentum flux on the orientation of the ship to the wind. We conclude that the bias is due to experimental error and that time-varying motion-dependent flow distortion is the likely source.</t>
  </si>
  <si>
    <t>[Prytherch, J.; Brooks, I. M.; Tupman, D. J.; Norris, S. J.] Univ Leeds, Sch Earth &amp; Environm, Leeds, W Yorkshire, England; [Yelland, M. J.; Pascal, R. W.; Moat, B. I.] Natl Oceanog Ctr, Southampton, Hants, England</t>
  </si>
  <si>
    <t>University of Leeds; NERC National Oceanography Centre</t>
  </si>
  <si>
    <t>Prytherch, J (corresponding author), Univ Leeds, Sch Earth &amp; Environm, Leeds, W Yorkshire, England.</t>
  </si>
  <si>
    <t>j.prytherch@leeds.ac.uk</t>
  </si>
  <si>
    <t>Brooks, Ian M/E-1378-2012; Yelland, Margaret j/P-1476-2019; Moat, Ben/IAM-1637-2023; Norris, Sarah J/I-3450-2012; Prytherch, John/AFQ-5503-2022</t>
  </si>
  <si>
    <t>Yelland, Margaret j/0000-0002-0936-4957; Moat, Ben/0000-0001-8676-7779; Prytherch, John/0000-0003-1209-289X; Brooks, Ian/0000-0002-5051-1322; Dennis, Sarah/0000-0002-9815-6892</t>
  </si>
  <si>
    <t>Natural Environment Research Council [NE/G00353X/1, NE/G003696/1]; NERC [NE/J020893/1, noc010013, noc010003, NE/G00353X/1, NE/G000107/1, NE/G003696/1] Funding Source: UKRI; Natural Environment Research Council [noc010013, NE/G00353X/1, NE/J020893/1, NE/G003696/1, NE/G000107/1, noc010012, noc010003] Funding Source: researchfish</t>
  </si>
  <si>
    <t>WAGES was funded by the Natural Environment Research Council (grant numbers NE/G00353X/1 and NE/G003696/1). We would like to thank the two captains and crews of the RRS James Clark Ross and the ship logistics support staff at the British Antarctic Survey for their help throughout the project. We would also like to acknowledge helpful and ongoing technical discussions with S. Landwehr and B. Ward (University of Galway) that have contributed to this research.</t>
  </si>
  <si>
    <t>10.5194/acp-15-10619-2015</t>
  </si>
  <si>
    <t>CT0AZ</t>
  </si>
  <si>
    <t>WOS:000362457400021</t>
  </si>
  <si>
    <t>Chi, JW; Li, WJ; Zhang, DZ; Zhang, JC; Lin, YT; Shen, XJ; Sun, JY; Chen, JM; Zhang, XY; Zhang, YM; Wang, WX</t>
  </si>
  <si>
    <t>Chi, J. W.; Li, W. J.; Zhang, D. Z.; Zhang, J. C.; Lin, Y. T.; Shen, X. J.; Sun, J. Y.; Chen, J. M.; Zhang, X. Y.; Zhang, Y. M.; Wang, W. X.</t>
  </si>
  <si>
    <t>Sea salt aerosols as a reactive surface for inorganic and organic acidic gases in the Arctic troposphere</t>
  </si>
  <si>
    <t>MARINE BOUNDARY-LAYER; SPRAY AEROSOL; SUPERSATURATED STRUCTURES; HETEROGENEOUS CHEMISTRY; ATMOSPHERIC CHEMISTRY; OPTICAL-PROPERTIES; PHASE-TRANSITIONS; CURRENT KNOWLEDGE; AIR-POLLUTION; MIXING STATE</t>
  </si>
  <si>
    <t>Sea salt aerosols (SSA) are dominant particles in the Arctic atmosphere and determine the polar radiative balance. SSA react with acidic pollutants that lead to changes in physical and chemical properties of their surface, which in turn alter their hygroscopic and optical properties. Transmission electron microscopy with energy-dispersive X-ray spectrometry was used to analyze morphology, composition, size, and mixing state of individual SSA at Ny-Alesund, Svalbard, in summertime. Individual fresh SSA contained cubic NaCl coated by certain amounts of MgCl2 and CaSO4. Individual partially aged SSA contained irregular NaCl coated by a mixture of NaNO3, Na2SO4, Mg(NO3)(2), and MgSO4. The comparison suggests the hydrophilic MgCl2 coating in fresh SSA likely intrigued the heterogeneous reactions at the beginning of SSA and acidic gases. Individual fully aged SSA normally had Na2SO4 cores and an amorphous coating of NaNO3. Elemental mappings of individual SSA particles revealed that as the particles ageing Cl gradually decreased, the C, N, O, and S content increased. C-12(-) mapping from nanoscale secondary ion mass spectrometry indicates that organic matter increased in the aged SSA compared with the fresh SSA. C-12(-) line scan further shows that organic matter was mainly concentrated on the aged SSA surface. These new findings indicate that this mixture of organic matter and NaNO3 on particle surfaces likely determines their hygroscopic and optical properties. These abundant SSA as reactive surfaces adsorbing inorganic and organic acidic gases can shorten acidic gas lifetime and influence the possible gaseous reactions in the Arctic atmosphere, which need to be incorporated into atmospheric chemical models in the Arctic troposphere.</t>
  </si>
  <si>
    <t>[Chi, J. W.; Li, W. J.; Chen, J. M.; Wang, W. X.] Shandong Univ, Environm Res Inst, Jinan 250100, Shandong, Peoples R China; [Zhang, D. Z.] Prefectural Univ Kumamoto, Fac Environm &amp; Symbiot Sci, Kumamoto 8628502, Japan; [Zhang, J. C.; Lin, Y. T.] Chinese Acad Sci, Inst Geol &amp; Geophys, Key Lab Earth Deep Interior, Beijing 100029, Peoples R China; [Shen, X. J.; Sun, J. Y.; Zhang, X. Y.; Zhang, Y. M.] Chinese Acad Meteorol Sci, Inst Atmospher Composit, CMA, Key Lab Atmospher Chem, Beijing 100081, Peoples R China</t>
  </si>
  <si>
    <t>Shandong University; Chinese Academy of Sciences; Institute of Geology &amp; Geophysics, CAS; China Meteorological Administration; Chinese Academy of Meteorological Sciences (CAMS)</t>
  </si>
  <si>
    <t>Li, WJ (corresponding author), Shandong Univ, Environm Res Inst, Jinan 250100, Shandong, Peoples R China.</t>
  </si>
  <si>
    <t>liweijun@sdu.edu.cn; ymzhang@cams.cma.gov.cn</t>
  </si>
  <si>
    <t>Li, Shuya/JHT-2171-2023; Shen, Xiaojing/AAK-8911-2020; Shen, Xiaojing/HDN-6883-2022; Chen, Jianmin/M-8575-2019; Li, Weijun/H-3195-2011; Wen, Jing/KCL-6614-2024; Sun, Junying/AAU-6239-2020; lin, yt/IQT-6771-2023; SDU, ERI/G-8937-2016</t>
  </si>
  <si>
    <t>Li, Shuya/0000-0001-5320-8452; Chen, Jianmin/0000-0001-5859-3070; Li, Weijun/0000-0003-4887-4260; Sun, Junying/0000-0003-1064-9017; SDU, ERI/0000-0003-2503-7398; Zhang, Daizhou/0000-0002-1448-2325</t>
  </si>
  <si>
    <t>National Natural Science Foundation of China [41575116]; Chinese Arctic and Antarctic Administration [2012WZ03003]; Shandong Natural Science Funds for Distinguished Young Scholar [JQ201413]; Shandong University [2015WLJH37, 2014QY001]; China Polar Science Strategy Research Foundation [20140310]</t>
  </si>
  <si>
    <t>National Natural Science Foundation of China(National Natural Science Foundation of China (NSFC)); Chinese Arctic and Antarctic Administration; Shandong Natural Science Funds for Distinguished Young Scholar; Shandong University; China Polar Science Strategy Research Foundation</t>
  </si>
  <si>
    <t>We appreciate Peter Hyde's comments and proofreading. This work was funded by the National Natural Science Foundation of China (41575116), the Chinese Arctic and Antarctic Administration (2012WZ03003), Shandong Natural Science Funds for Distinguished Young Scholar (JQ201413), Young Scholars Program of Shandong University (2015WLJH37), China Polar Science Strategy Research Foundation (20140310), and Fundamental Research Funds of Shandong University (2014QY001). We gratefully acknowledge the NOAA Air Resources Laboratory (ARL) for the provision of the HYSPLIT transport used in this publication.</t>
  </si>
  <si>
    <t>10.5194/acp-15-11341-2015</t>
  </si>
  <si>
    <t>CT7CN</t>
  </si>
  <si>
    <t>WOS:000362971000026</t>
  </si>
  <si>
    <t>Erbland, J; Savarino, J; Morin, S; France, JL; Frey, MM; King, MD</t>
  </si>
  <si>
    <t>Erbland, J.; Savarino, J.; Morin, S.; France, J. L.; Frey, M. M.; King, M. D.</t>
  </si>
  <si>
    <t>Air-snow transfer of nitrate on the East Antarctic Plateau - Part 2: An isotopic model for the interpretation of deep ice-core records</t>
  </si>
  <si>
    <t>GAS-PHASE REACTIONS; NITROGEN-OXIDES NO; QUASI-LIQUID LAYER; DOME C; ATMOSPHERIC CHEMISTRY; PHOTOCHEMICAL DATA; ANOMALY DELTA-O-17; LIGHT PENETRATION; BOUNDARY-LAYER; SOUTH-POLE</t>
  </si>
  <si>
    <t>Unraveling the modern budget of reactive nitrogen on the Antarctic Plateau is critical for the interpretation of ice-core records of nitrate. This requires accounting for nitrate recycling processes occurring in near-surface snow and the overlying atmospheric boundary layer. Not only concentration measurements but also isotopic ratios of nitrogen and oxygen in nitrate provide constraints on the processes at play. However, due to the large number of intertwined chemical and physical phenomena involved, numerical modeling is required to test hypotheses in a quantitative manner. Here we introduce the model TRANSITS (TRansfer of Atmospheric Nitrate Stable Isotopes To the Snow), a novel conceptual, multi-layer and one-dimensional model representing the impact of processes operating on nitrate at the air-snow interface on the East Antarctic Plateau, in terms of concentrations (mass fraction) and nitrogen (delta N-15) and oxygen isotopic composition (O-17 excess, Delta O-17) in nitrate. At the air-snow interface at Dome C (DC; 75 degrees 06'S, 123 degrees 19'E), the model reproduces well the values of delta N-15 in atmospheric and surface snow (skin layer) nitrate as well as in the delta N-15 profile in DC snow, including the observed extraordinary high positive values (around +300 %) below 2 cm. The model also captures the observed variability in nitrate mass fraction in the snow. While oxygen data are qualitatively reproduced at the air-snow interface at DC and in East Antarctica, the simulated Delta O-17 values underestimate the observed Delta O-17 values by several per mill. This is explained by the simplifications made in the description of the atmospheric cycling and oxidation of NO2 as well as by our lack of understanding of the NOx chemistry at Dome C. The model reproduces well the sensitivity of delta N-15, Delta O-17 and the apparent fractionation constants ((15)epsilon(app), E-17(app)) to the snow accumulation rate. Building on this development, we propose a framework for the interpretation of nitrate records measured from ice cores. Measurement of nitrate mass fractions and delta N-15 in the nitrate archived in an ice core may be used to derive information about past variations in the total ozone column and/or the primary inputs of nitrate above Antarctica as well as in nitrate trapping efficiency (defined as the ratio between the archived nitrate flux and the primary nitrate input flux). The Delta O-17 of nitrate could then be corrected from the impact of cage recombination effects associated with the photolysis of nitrate in snow. Past changes in the relative contributions of the Delta O-17 in the primary inputs of nitrate and the Delta O-17 in the locally cycled NO2 and that inherited from the additional O atom in the oxidation of NO2 could then be determined. Therefore, information about the past variations in the local and long-range processes operating on reactive nitrogen species could be obtained from ice cores collected in low-accumulation regions such as the Antarctic Plateau.</t>
  </si>
  <si>
    <t>[Erbland, J.; Savarino, J.] Univ Grenoble Alpes, LGGE, F-38000 Grenoble, France; [Erbland, J.; Savarino, J.] LGGE, CNRS, F-38000 Grenoble, France; [Morin, S.] CEN, CNRM GAME UMR 3589, Meteo France CNRS, F-38041 Grenoble, France; [France, J. L.; King, M. D.] Univ London Royal Holloway &amp; Bedford New Coll, Dept Earth Sci, Egham TW20 0EX, Surrey, England; [Frey, M. M.] British Antarctic Survey, Nat Environm Res Council, Cambridge CB3 0ET, England</t>
  </si>
  <si>
    <t>Communaute Universite Grenoble Alpes; Universite Grenoble Alpes (UGA); Communaute Universite Grenoble Alpes; Universite Grenoble Alpes (UGA); Centre National de la Recherche Scientifique (CNRS); Meteo France; Centre National de la Recherche Scientifique (CNRS); CNRS - National Institute for Earth Sciences &amp; Astronomy (INSU); University of London; Royal Holloway University London; UK Research &amp; Innovation (UKRI); Natural Environment Research Council (NERC); NERC British Antarctic Survey</t>
  </si>
  <si>
    <t>Savarino, J (corresponding author), Univ Grenoble Alpes, LGGE, F-38000 Grenoble, France.</t>
  </si>
  <si>
    <t>joel.savarino@ujf-grenoble.fr</t>
  </si>
  <si>
    <t>Frey, Markus/G-1756-2012; Savarino, Joel/H-9730-2012; Morin, Samuel/E-8005-2011; King, Martin/B-1308-2009; France, James/L-9719-2015</t>
  </si>
  <si>
    <t>Frey, Markus/0000-0003-0535-0416; Savarino, Joel/0000-0002-6708-9623; Morin, Samuel/0000-0002-1781-687X; King, Martin/0000-0002-0089-7693; France, James/0000-0002-8785-1240; Erbland, Joseph/0000-0002-1186-1370</t>
  </si>
  <si>
    <t>Agence Nationale de la Recherche (ANR) through VANISH [ANR-07-VULN-013]; Agence Nationale de la Recherche (ANR) through OPALE [ANR-09-BLAN-0226]; NERC [NE/F0004796/1, NE/F010788]; NERC FSF [555.0608, 584.0609]; Royal Holloway Earth Sciences research strategy fund; LICENCE (LEFE-CHAT); scientific program of the Institut National des Sciences de l'Univers (INSU/CNRS); IPICS program (CNRS); IPEV [NITEDC - 1011]; Natural Environment Research Council [bas0100032] Funding Source: researchfish; NERC [bas0100032] Funding Source: UKRI</t>
  </si>
  <si>
    <t>Agence Nationale de la Recherche (ANR) through VANISH(Agence Nationale de la Recherche (ANR)); Agence Nationale de la Recherche (ANR) through OPALE(Agence Nationale de la Recherche (ANR)); NERC(UK Research &amp; Innovation (UKRI)Natural Environment Research Council (NERC)); NERC FSF; Royal Holloway Earth Sciences research strategy fund; LICENCE (LEFE-CHAT); scientific program of the Institut National des Sciences de l'Univers (INSU/CNRS); IPICS program (CNRS); IPEV; Natural Environment Research Council(UK Research &amp; Innovation (UKRI)Natural Environment Research Council (NERC)); NERC(UK Research &amp; Innovation (UKRI)Natural Environment Research Council (NERC))</t>
  </si>
  <si>
    <t>This research received the financial support of the Agence Nationale de la Recherche (ANR), through the VANISH (contract ANR-07-VULN-013) and OPALE (contract ANR-09-BLAN-0226) projects (J. Erbland, J. Savarino). It was partly conducted in the framework of the International Associated Laboratory (LIA) Climate and Environments from Ice Archives 2012-2016, linking several Russian and French laboratories and institutes. J. L. France and M. D. King gratefully acknowledge NERC for support through grants NE/F0004796/1 and NE/F010788, NERC FSF for support and expertise through grants 555.0608 and 584.0609, and Royal Holloway Earth Sciences research strategy fund awards. Partial funding was also received from LICENCE (LEFE-CHAT), a scientific program of the Institut National des Sciences de l'Univers (INSU/CNRS), as well as from the IPICS program (CNRS) and from IPEV (program NITEDC - 1011) (J. Erbland, J. Savarino). LGGE and CNRM-GAME/CEN are part of LabEx OSUG@2020 (ANR10 LABX56). We thank F. Domine, G. Picard and D. Voisin for helpful discussions on light penetration in snow and modeling; C. Carmagnola, G. Picard, F. Dupont and N. Champollion, who shared their knowledge on Python; M. Zatko for discussions about nitrate diffusion and the number of recyclings; and the overwintering volunteers (S. Lafont, I. Bourgeois, S. Aubin, A. Barbero and C. Lenormant) for the sample collection at Concordia-Dome C from 2010 to 2013. Last, we thank the reviewers for their help in improving the manuscript. Eric Wolff is deeply acknowledged for his fundamental contribution to calculate the recycling effect.</t>
  </si>
  <si>
    <t>10.5194/acp-15-12079-2015</t>
  </si>
  <si>
    <t>CV5NE</t>
  </si>
  <si>
    <t>WOS:000364316800036</t>
  </si>
  <si>
    <t>Humphries, RS; Schofield, R; Keywood, MD; Ward, J; Pierce, JR; Gionfriddo, CM; Tate, MT; Krabbenhoft, DP; Galbally, IE; Molloy, SB; Klekociuk, AR; Johnston, PV; Kreher, K; Thomas, AJ; Robinson, AD; Harris, NRP; Johnson, R; Wilson, SR</t>
  </si>
  <si>
    <t>Humphries, R. S.; Schofield, R.; Keywood, M. D.; Ward, J.; Pierce, J. R.; Gionfriddo, C. M.; Tate, M. T.; Krabbenhoft, D. P.; Galbally, I. E.; Molloy, S. B.; Klekociuk, A. R.; Johnston, P. V.; Kreher, K.; Thomas, A. J.; Robinson, A. D.; Harris, N. R. P.; Johnson, R.; Wilson, S. R.</t>
  </si>
  <si>
    <t>Boundary layer new particle formation over East Antarctic sea ice - possible Hg-driven nucleation?</t>
  </si>
  <si>
    <t>NUMBER SIZE DISTRIBUTIONS; METHANE SULFONIC-ACID; ATMOSPHERIC MERCURY; AEROSOL FORMATION; SULFURIC-ACID; SOUTH-POLE; SPRINGTIME DEPLETION; MOLECULAR CLUSTERS; DIMETHYL SULFIDE; WORLDWIDE TREND</t>
  </si>
  <si>
    <t>Aerosol observations above the Southern Ocean and Antarctic sea ice are scarce. Measurements of aerosols and atmospheric composition were made in East Antarctic pack ice on board the Australian icebreaker Aurora Australis during the spring of 2012. One particle formation event was observed during the 32 days of observations. This event occurred on the only day to exhibit extended periods of global irradiance in excess of 600 Wm(-2). Within the single air mass influencing the measurements, number concentrations of particles larger than 3 nm (CN3) reached almost 7700 cm(3) within a few hours of clouds clearing, and grew at rates of 5.6 nm h(-1). Formation rates of 3 nm particles were in the range of those measured at other Antarctic locations at 0.2-1.1 +/- 0.1 cm(-3) s(-1). Our investigations into the nucleation chemistry found that there were insufficient precursor concentrations for known halogen or organic chemistry to explain the nucleation event. Modelling studies utilising known sulfuric acid nucleation schemes could not simultaneously reproduce both particle formation or growth rates. Surprising correlations with total gaseous mercury (TGM) were found that, together with other data, suggest a mercury-driven photochemical nucleation mechanism may be responsible for aerosol nucleation. Given the very low vapour pressures of the mercury species involved, this nucleation chemistry is likely only possible where pre-existing aerosol concentrations are low and both TGM concentrations and solar radiation levels are relatively high (similar to 1.5 ng m(-3) and &gt;= 600 W m(-2), respectively), such as those observed in the Antarctic sea ice boundary layer in this study or in the global free troposphere, particularly in the Northern Hemisphere.</t>
  </si>
  <si>
    <t>[Humphries, R. S.; Wilson, S. R.] Univ Wollongong, Ctr Atmospher Chem, Wollongong, NSW, Australia; [Schofield, R.; Gionfriddo, C. M.] Univ Melbourne, Sch Earth Sci, Melbourne, Vic, Australia; [Schofield, R.] Univ New S Wales, ARC Ctr Excellence Climate Syst Sci, Sydney, NSW, Australia; [Humphries, R. S.; Keywood, M. D.; Ward, J.; Galbally, I. E.; Molloy, S. B.] CSIRO, Ocean &amp; Atmosphere Business Unit, Aspendale, Vic, Australia; [Pierce, J. R.] Colorado State Univ, Dept Atmospher Sci, Ft Collins, CO 80523 USA; [Tate, M. T.; Krabbenhoft, D. P.] US Geol Survey, Middleton, WI USA; [Klekociuk, A. R.] Australian Antarctic Div, Hobart, Tas, Australia; [Johnston, P. V.; Kreher, K.; Thomas, A. J.] Natl Inst Water &amp; Atmospher Res, Lauder, New Zealand; [Robinson, A. D.; Harris, N. R. P.] Univ Cambridge, Dept Chem, Ctr Atmospher Sci, Cambridge CB2 1EW, England; [Johnson, R.] Univ Tasmania, Inst Marine &amp; Antarctic Studies, Hobart, Tas, Australia</t>
  </si>
  <si>
    <t>University of Wollongong; University of Melbourne; Melbourne Bioinformatics; University of New South Wales Sydney; ARC Centre of Excellence for Climate System Science; Commonwealth Scientific &amp; Industrial Research Organisation (CSIRO); Colorado State University; United States Department of the Interior; United States Geological Survey; Australian Antarctic Division; National Institute of Water &amp; Atmospheric Research (NIWA) - New Zealand; University of Cambridge; University of Tasmania</t>
  </si>
  <si>
    <t>Humphries, RS (corresponding author), CSIRO, Ocean &amp; Atmosphere Business Unit, Aspendale, Vic, Australia.</t>
  </si>
  <si>
    <t>rsh615@uowmail.edu.au</t>
  </si>
  <si>
    <t>Schofield, Robyn/A-4062-2010; Gionfriddo, Caitlin/JGL-7314-2023; Humphries, Ruhi S/M-4074-2018; Wilson, Stephen R/O-6151-2018; Wilson, Stephen R/B-8541-2008; keywood, melita/C-5139-2011; Klekociuk, Andrew/A-4498-2015; Pierce, Jeffrey/E-4681-2013; Galbally, Ian/E-5852-2011</t>
  </si>
  <si>
    <t>Schofield, Robyn/0000-0002-4230-717X; Gionfriddo, Caitlin/0000-0003-0745-9255; Humphries, Ruhi S/0000-0002-4864-5321; Wilson, Stephen R/0000-0003-4546-2527; Wilson, Stephen R/0000-0003-4546-2527; keywood, melita/0000-0001-9953-6806; Klekociuk, Andrew/0000-0003-3335-0034; Tate, Michael/0000-0003-1525-1219; Pierce, Jeffrey/0000-0002-4241-838X; Harris, Neil/0000-0003-1256-3006; Galbally, Ian/0000-0003-2383-1360</t>
  </si>
  <si>
    <t>Australian Antarctic Science Grant Programme (AAS) [4032]; CSIRO OCE Postgraduate Top-Up Scholarship; UK Natural Environmental Research Council (NERC); NERC through an Advanced Research Fellowship; NERC through the CAST project; Natural Environment Research Council [NE/F020341/1, NE/G014655/1] Funding Source: researchfish; NERC [NE/F020341/1, NE/G014655/1, NE/J006246/1] Funding Source: UKRI</t>
  </si>
  <si>
    <t>Australian Antarctic Science Grant Programme (AAS); CSIRO OCE Postgraduate Top-Up Scholarship; UK Natural Environmental Research Council (NERC)(UK Research &amp; Innovation (UKRI)Natural Environment Research Council (NERC)); NERC through an Advanced Research Fellowship; NERC through the CAST project; Natural Environment Research Council(UK Research &amp; Innovation (UKRI)Natural Environment Research Council (NERC)); NERC(UK Research &amp; Innovation (UKRI)Natural Environment Research Council (NERC))</t>
  </si>
  <si>
    <t>This research was funded by the Australian Antarctic Science Grant Programme (AAS project 4032). Additional support was also provided by the CSIRO OCE Postgraduate Top-Up Scholarship. We would also like to thank the SIPEXII team and the Australian Antarctic Division for logistics and technical support during the campaign, in particular L. Symons, K. Briggs, M. Jordan, M. Longmire, I. McLean, J. Reeve and K. Meiners. We thank R. Chang and F. Yu for assistance in model commissioning. Development of the mu Dirac was funded by the UK Natural Environmental Research Council (NERC). We thank A. Gordon for running the peak analysis software for the mu Dirac. N. Harris and A. Robinson would like to thank NERC for financial support through an Advanced Research Fellowship and the CAST project.</t>
  </si>
  <si>
    <t>10.5194/acp-15-13339-2015</t>
  </si>
  <si>
    <t>CZ6CU</t>
  </si>
  <si>
    <t>WOS:000367189600005</t>
  </si>
  <si>
    <t>Tegtmeier, S; Ziska, F; Pisso, I; Quack, B; Velders, GJM; Yang, X; Krüger, K</t>
  </si>
  <si>
    <t>Tegtmeier, S.; Ziska, F.; Pisso, I.; Quack, B.; Velders, G. J. M.; Yang, X.; Kruger, K.</t>
  </si>
  <si>
    <t>Oceanic bromoform emissions weighted by their ozone depletion potential</t>
  </si>
  <si>
    <t>SHORT-LIVED HALOGENS; STRATOSPHERIC BR-Y; BROMINE; IMPACT; CONVECTION; TRANSPORT; CLIMATE; UNCERTAINTIES; BROMOCARBONS; CIRCULATION</t>
  </si>
  <si>
    <t>At present, anthropogenic halogens and oceanic emissions of very short-lived substances (VSLSs) both contribute to the observed stratospheric ozone depletion. Emissions of the long-lived anthropogenic halogens have been reduced and are currently declining, whereas emissions of the biogenic VSLSs are expected to increase in future climate due to anthropogenic activities affecting oceanic production and emissions. Here, we introduce a new approach for assessing the impact of oceanic halocarbons on stratospheric ozone by calculating their ozone depletion potential (ODP)-weighted emissions. Seasonally and spatially dependent, global distributions are derived within a case-study framework for CHBr3 for the period 1999-2006. At present, ODP-weighted emissions of CHBr3 amount up to 50% of ODP-weighted anthropogenic emissions of CFC-11 and to 9% of all long-lived ozone depleting halogens. The ODP-weighted emissions are large where strong oceanic emissions coincide with high-reaching convective activity and show pronounced peaks at the Equator and the coasts with largest contributions from the Maritime Continent and western Pacific Ocean. Variations of tropical convective activity lead to seasonal shifts in the spatial distribution of the trajectory-derived ODP with the updraught mass flux, used as a proxy for trajectory-derived ODP, explaining 71% of the variance of the ODP distribution. Future climate projections based on the RCP 8.5 scenario suggest a 31% increase of the ODP-weighted CHBr3 emissions by 2100 compared to present values. This increase is related to a larger convective updraught mass flux in the upper troposphere and increasing emissions in a future climate. However, at the same time, it is reduced by less effective bromine-related ozone depletion due to declining stratospheric chlorine concentrations. The comparison of the ODP-weighted emissions of short-and long-lived halocarbons provides a new concept for assessing the overall impact of oceanic halocarbon emissions on stratospheric ozone depletion for current conditions and future projections.</t>
  </si>
  <si>
    <t>[Tegtmeier, S.; Ziska, F.; Quack, B.] GEOMAR Helmholtz Ctr Ocean Res Kiel, Kiel, Germany; [Pisso, I.] Norwegian Inst Air Res NILU, Kjeller, Norway; [Velders, G. J. M.] Natl Inst Publ Hlth &amp; Environm, NL-3720 BA Bilthoven, Netherlands; [Yang, X.] British Antarctic Survey, Cambridge CB3 0ET, England; [Kruger, K.] Univ Oslo, Oslo, Norway</t>
  </si>
  <si>
    <t>Helmholtz Association; GEOMAR Helmholtz Center for Ocean Research Kiel; NILU; Netherlands National Institute for Public Health &amp; the Environment; UK Research &amp; Innovation (UKRI); Natural Environment Research Council (NERC); NERC British Antarctic Survey; University of Oslo</t>
  </si>
  <si>
    <t>Tegtmeier, S (corresponding author), GEOMAR Helmholtz Ctr Ocean Res Kiel, Kiel, Germany.</t>
  </si>
  <si>
    <t>stegtmeier@geomar.de</t>
  </si>
  <si>
    <t>Tegtmeier, Susann/HIA-0554-2022; Yang, Xin/AGB-3514-2022; Pisso, Ignacio/B-1357-2017; Velders, Guus/H-1204-2013</t>
  </si>
  <si>
    <t>Yang, Xin/0000-0002-3838-9758; Pisso, Ignacio/0000-0002-0056-7897; Velders, Guus/0000-0002-6597-7088; Susann, Tegtmeier/0000-0001-9206-3161; Kruger, Kirstin/0000-0002-0636-9488</t>
  </si>
  <si>
    <t>EU project SHIVA [FP7-ENV-2007-1-226224]; BMBF project ROMIC THREAT [01LG1217A]; NERC [bas0100032] Funding Source: UKRI; Natural Environment Research Council [bas0100032] Funding Source: researchfish</t>
  </si>
  <si>
    <t>EU project SHIVA; BMBF project ROMIC THREAT(Federal Ministry of Education &amp; Research (BMBF)); NERC(UK Research &amp; Innovation (UKRI)Natural Environment Research Council (NERC)); Natural Environment Research Council(UK Research &amp; Innovation (UKRI)Natural Environment Research Council (NERC))</t>
  </si>
  <si>
    <t>The authors are grateful to the ECMWF for making the reanalysis product ERA-Interim available. This study was carried out within the EU project SHIVA (FP7-ENV-2007-1-226224) and the BMBF project ROMIC THREAT (01LG1217A). We thank Steve Montzka for helpful discussions.</t>
  </si>
  <si>
    <t>10.5194/acp-15-13647-2015</t>
  </si>
  <si>
    <t>WOS:000367189600023</t>
  </si>
  <si>
    <t>Kobashi, T; Ikeda-Fukazawa, T; Suwa, M; Schwander, J; Kameda, T; Lundin, J; Hori, A; Motoyama, H; Döring, M; Leuenberger, M</t>
  </si>
  <si>
    <t>Kobashi, T.; Ikeda-Fukazawa, T.; Suwa, M.; Schwander, J.; Kameda, T.; Lundin, J.; Hori, A.; Motoyama, H.; Doering, M.; Leuenberger, M.</t>
  </si>
  <si>
    <t>Post-bubble close-off fractionation of gases in polar firn and ice cores: effects of accumulation rate on permeation through overloading pressure</t>
  </si>
  <si>
    <t>ABRUPT CLIMATE-CHANGE; ANTARCTIC ICE; TRAPPED AIR; MOLECULAR-DIFFUSION; OCCLUDED AIR; SIPLE DOME; GREENLAND; SUMMIT; SHEET; GISP2</t>
  </si>
  <si>
    <t>Gases in ice cores are invaluable archives of past environmental changes (e.g., the past atmosphere). However, gas fractionation processes after bubble closure in the firn are poorly understood, although increasing evidence indicates preferential leakages of smaller molecules (e.g., neon, oxygen, and argon) from the closed bubbles through the ice matrix. These fractionation processes are believed to be responsible for the observed millennial delta O-2/N-2 variations in ice cores, linking ice core chronologies with orbital parameters. In this study, we investigated high-resolution delta Ar/N-2 of the GISP2 (Greenland Ice Sheet Project 2), NGRIP (North Greenland Ice Core Project), and Dome Fuji ice cores for the past few thousand years. We find that delta Ar/N-2 at multidecadal resolution on the gas-age scale in the GISP2 ice core has a significant negative correlation with accumulation rate and a positive correlation with air contents over the past 6000 years, indicating that changes in overloading pressure induced delta Ar/N-2 fractionation in the firn. Furthermore, the GISP2 temperature and accumulation rate for the last 4000 years have nearly equal effects on delta Ar/N-2 with sensitivities of 0.72 +/- 0.1 parts per thousand degrees C-1 and -0.58 +/- 0.09 parts per thousand(0.01mice year(-1))(-1), respectively. To understand the fractionation processes, we applied a permeation model for two different processes of bubble pressure build-up in the firn, pressure sensitive process (e.g., microbubbles: 0.3-3% of air contents) with a greater sensitivity to overloading pressures and normal bubble process. The model indicates that delta Ar/N-2 in the bubbles under the pressure sensitive process are negatively correlated with the accumulation rate due to changes in overloading pressure. On the other hand, the normal bubbles experience only limited depletion (&lt; 0.5 parts per thousand) in the firn. Colder temperatures in the firn induce more depletion in delta Ar/N-2 through thicker firn. The pressure sensitive bubbles are so depleted in delta Ar/N-2 at the bubble close-off depth that they dominate the total delta Ar/N-2 changes in spite of their smaller air contents. The model also indicates that delta Ar/N-2 of ice cores should have experienced several per mil of depletion during the storage 14-18 years after coring. Further understanding of the delta Ar/N-2 fractionation processes in the firn, combined with nitrogen and argon isotope data, may lead to a new proxy for the past temperature and accumulation rate.</t>
  </si>
  <si>
    <t>[Kobashi, T.; Schwander, J.; Doering, M.; Leuenberger, M.] Univ Bern, Climate &amp; Environm Phys, Bern, Switzerland; [Kobashi, T.; Schwander, J.; Doering, M.; Leuenberger, M.] Univ Bern, Oeschger Ctr Climate Change Res, Bern, Switzerland; [Kobashi, T.; Motoyama, H.] Natl Inst Polar Res, Tokyo, Japan; [Ikeda-Fukazawa, T.] Meiji Univ, Dept Appl Chem, Tokyo, Kanagawa 101, Japan; [Suwa, M.] World Bank, Washington, DC 20433 USA; [Kameda, T.; Hori, A.] Kitami Inst Technol, Dept Civil &amp; Environm Engn, Kitami, Hokkaido 090, Japan; [Lundin, J.] Univ Washington, Dept Earth &amp; Space Sci, Seattle, WA 98195 USA</t>
  </si>
  <si>
    <t>University of Bern; University of Bern; Research Organization of Information &amp; Systems (ROIS); National Institute of Polar Research (NIPR) - Japan; Meiji University; The World Bank; Kitami Institute of Technology; University of Washington; University of Washington Seattle</t>
  </si>
  <si>
    <t>Kobashi, T (corresponding author), Univ Bern, Climate &amp; Environm Phys, Bern, Switzerland.</t>
  </si>
  <si>
    <t>kobashi@climate.unibe.ch</t>
  </si>
  <si>
    <t>Leuenberger, Markus C/K-9655-2016; Kobashi, Takuro/E-8918-2012; Motoyama, Hideaki/E-6103-2013</t>
  </si>
  <si>
    <t>Leuenberger, Markus C/0000-0003-4299-6793; Kobashi, Takuro/0000-0003-4153-8272; Kameda, Takao/0000-0001-6317-4399; Motoyama, Hideaki/0000-0003-2533-320X; Doring, Michael/0000-0001-5575-0747; Ikeda-Fukazawa, Tomoko/0000-0002-5265-4706</t>
  </si>
  <si>
    <t>KAKENHI [23710020, 22221002, 25740007, 21221002, 21671001]; EU Marie Curie fellowship; Senshin project; NIPR ice core center; Grants-in-Aid for Scientific Research [22221002, 23710020, 25740007] Funding Source: KAKEN</t>
  </si>
  <si>
    <t>KAKENHI(Ministry of Education, Culture, Sports, Science and Technology, Japan (MEXT)Japan Society for the Promotion of ScienceGrants-in-Aid for Scientific Research (KAKENHI)); EU Marie Curie fellowship(European Union (EU)); Senshin project(SENSHIN Medical Research FoundationMukai Science and Technology Foundation); NIPR ice core center; Grants-in-Aid for Scientific Research(Ministry of Education, Culture, Sports, Science and Technology, Japan (MEXT)Japan Society for the Promotion of ScienceGrants-in-Aid for Scientific Research (KAKENHI))</t>
  </si>
  <si>
    <t>We are grateful to G. Hargreaves at the US National Ice Core Laboratory, J. P. Steffensen at the Center for Ice and Climate, S. Kipfstuhl at the Alfred Wegener Institute, and S. Fujita at the National Institute of Polar Research for supplying ice core information. We thank T. Uchida, and B. Vinther for discussions, and R. Spahni for help on firn modeling. This project is supported by KAKENHI 23710020, 25740007, 22221002, 21221002, and 21671001, and a EU Marie Curie fellowship for T. Kobashi. The NGRIP and Dome Fuji ice cores were analyzed at the National Institute of Polar Research by T. Kobashi supported by the Senshin project and NIPR ice core center. The GISP2 ice core was analyzed by T. Kobashi at Scripps Institution of Oceanography, supported by J. Severinghaus. The early version of the paper was written when T. Kobashi was visiting the Centre for Ice and Climate (CIC), University of Copenhagen, in spring 2015 hosted by T. Blunier and B. Vinther. Finally, we thank two anonymous reviewers, whose comments substantially improved this manuscript.</t>
  </si>
  <si>
    <t>10.5194/acp-15-13895-2015</t>
  </si>
  <si>
    <t>CZ8YE</t>
  </si>
  <si>
    <t>WOS:000367384200004</t>
  </si>
  <si>
    <t>Su, W; Corbett, J; Eitzen, Z; Liang, L</t>
  </si>
  <si>
    <t>Su, W.; Corbett, J.; Eitzen, Z.; Liang, L.</t>
  </si>
  <si>
    <t>Next-generation angular distribution models for top-of-atmosphere radiative flux calculation from CERES instruments: methodology</t>
  </si>
  <si>
    <t>ENERGY SYSTEM INSTRUMENT; BIDIRECTIONAL REFLECTANCE; PART I; TERRA SATELLITE; CLOUDS; SURFACE; AEROSOLS; RETRIEVAL; ALGORITHM; INVERSION</t>
  </si>
  <si>
    <t>The top-of-atmosphere (TOA) radiative fluxes are critical components to advancing our understanding of the Earth's radiative energy balance, radiative effects of clouds and aerosols, and climate feedback. The Clouds and the Earth's Radiant Energy System (CERES) instruments provide broadband shortwave and longwave radiance measurements. These radiances are converted to fluxes by using scene-type-dependent angular distribution models (ADMs). This paper describes the next-generation ADMs that are developed for Terra and Aqua using all available CERES rotating azimuth plane radiance measurements. Coincident cloud and aerosol retrievals, and radiance measurements from the Moderate Resolution Imaging Spectroradiometer (MODIS), and meteorological parameters from Goddard Earth Observing System (GEOS) data assimilation version 5.4.1 are used to define scene type. CERES radiance measurements are stratified by scene type and by other parameters that are important for determining the anisotropy of the given scene type. Anisotropic factors are then defined either for discrete intervals of relevant parameters or as a continuous functions of combined parameters, depending on the scene type. Significant differences between the ADMs described in this paper and the existing ADMs are over clear-sky scene types and polar scene types. Over clear ocean, we developed a set of shortwave (SW) ADMs that explicitly account for aerosols. Over clear land, the SW ADMs are developed for every 1 degrees latitude x 1 degrees longitude region for every calendar month using a kernel-based bidirectional reflectance model. Over clear Antarctic scenes, SW ADMs are developed by accounting the effects of sastrugi on anisotropy. Over sea ice, a sea-ice brightness index is used to classify the scene type. Under cloudy conditions over all surface types, the longwave (LW) and window (WN) ADMs are developed by combining surface and cloud-top temperature, surface and cloud emissivity, cloud fraction, and precipitable water. Compared to the existing ADMs, the new ADMs change the monthly mean instantaneous fluxes by up to 5 W m(-2) on a regional scale of 1 degrees latitude x 1 degrees longitude, but the flux changes are less than 0.5 W m(-2) on a global scale.</t>
  </si>
  <si>
    <t>[Su, W.] NASA, Langley Res Ctr, Hampton, VA 23665 USA; [Corbett, J.; Eitzen, Z.; Liang, L.] Sci Syst &amp; Applicat Inc, Hampton, VA USA</t>
  </si>
  <si>
    <t>National Aeronautics &amp; Space Administration (NASA); NASA Langley Research Center; Science Systems and Applications Inc</t>
  </si>
  <si>
    <t>Su, W (corresponding author), NASA, Langley Res Ctr, MS420, Hampton, VA 23665 USA.</t>
  </si>
  <si>
    <t>wenying.su-1@nasa.gov</t>
  </si>
  <si>
    <t>Keyes, Dennis/AAZ-9285-2021</t>
  </si>
  <si>
    <t>Corbett, Joseph/0000-0002-2183-670X</t>
  </si>
  <si>
    <t>10.5194/amt-8-611-2015</t>
  </si>
  <si>
    <t>CC7OR</t>
  </si>
  <si>
    <t>WOS:000350558300007</t>
  </si>
  <si>
    <t>Kang, HJ; Yoo, JM; Jeong, MJ; Won, YI</t>
  </si>
  <si>
    <t>Kang, H. -J.; Yoo, J. -M.; Jeong, M. -J.; Won, Y. -I.</t>
  </si>
  <si>
    <t>Uncertainties of satellite-derived surface skin temperatures in the polar oceans: MODIS, AIRS/AMSU, and AIRS only</t>
  </si>
  <si>
    <t>CLOUDY ATMOSPHERES; VARIABILITY; RETRIEVALS; VALIDATION; EXTENT; COVER; SNOW</t>
  </si>
  <si>
    <t>Uncertainties in the satellite-derived surface skin temperature (SST) data in the polar oceans during two periods (16-24 April and 15-23 September) 2003-2014 were investigated and the three data sets were intercompared as follows: MODerate Resolution Imaging Spectroradiometer Ice Surface Temperature (MODIS IST), the SST of the Atmospheric Infrared Sounder/Advanced Microwave Sounding Unit-A (AIRS/AMSU), and AIRS only. The AIRS only algorithm was developed in preparation for the degradation of the AMSU-A. MODIS IST was systematically warmer up to 1.65 K at the sea ice boundary and colder down to -2.04 K in the polar sea ice regions of both the Arctic and Antarctic than that of the AIRS/AMSU. This difference in the results could have been caused by the surface classification method. The spatial correlation coefficient of the AIRS only to the AIRS/AMSU (0.992-0.999) method was greater than that of the MODIS IST to the AIRS/AMSU (0.968-0.994). The SST of the AIRS only compared to that of the AIRS/AMSU had a bias of 0.168 K with a RMSE of 0.590 K over the Northern Hemisphere high latitudes and a bias of 0.109 K with a RMSE of 0.852 K over the Southern Hemisphere high latitudes. There was a systematic disagreement between the AIRS retrievals at the boundary of the sea ice, because the AIRS only algorithm utilized a less accurate GCM forecast over the seasonally varying frozen oceans than the microwave data. The three data sets (MODIS, AIRS/AMSU and AIRS only) showed significant warming rates (2.3 +/- 1.7 similar to 2.8 +/- 1.9 K decade(-1)) in the northern high regions (70-80 degrees N) as expected from the ice-albedo feedback. The systematic temperature disagreement associated with surface type classification had an impact on the resulting temperature trends.</t>
  </si>
  <si>
    <t>[Kang, H. -J.] Ewha Womans Univ, Dept Atmospher Sci &amp; Engn, Seoul 120750, South Korea; [Yoo, J. -M.] Ewha Womans Univ, Dept Sci Educ, Seoul 120750, South Korea; [Jeong, M. -J.] Gangneung Wonju Natl Univ, Dept Atmospher &amp; Environm Sci, Kangnung 210702, South Korea; [Won, Y. -I.] NASA, Wyle ST&amp;E, GSFC, Greenbelt, MD USA</t>
  </si>
  <si>
    <t>Ewha Womans University; Ewha Womans University; Kangnung Wonju National University; National Aeronautics &amp; Space Administration (NASA); NASA Goddard Space Flight Center</t>
  </si>
  <si>
    <t>Yoo, JM (corresponding author), Ewha Womans Univ, Dept Sci Educ, Seoul 120750, South Korea.</t>
  </si>
  <si>
    <t>yjm@ewha.ac.kr</t>
  </si>
  <si>
    <t>Jeong, Myeong J/B-8803-2008</t>
  </si>
  <si>
    <t>National Research Foundation of Korea (NRF) - Korean Government (MSIP) [2009-0083527]; Korean Ministry of Environment as Eco-technopia 21 project [2012000160003]; National Research Foundation of Korea [2009-0083527] Funding Source: Korea Institute of Science &amp; Technology Information (KISTI), National Science &amp; Technology Information Service (NTIS)</t>
  </si>
  <si>
    <t>National Research Foundation of Korea (NRF) - Korean Government (MSIP); Korean Ministry of Environment as Eco-technopia 21 project; National Research Foundation of Korea(National Research Foundation of Korea)</t>
  </si>
  <si>
    <t>This study was supported by the National Research Foundation of Korea (NRF) grant funded by the Korean Government (MSIP) (No. 2009-0083527) and the Korean Ministry of Environment as the Eco-technopia 21 project (No. 2012000160003). We thank Goddard Earth Sciences Data Information and Services Center for AIRS/AMSU data, and NASA National Snow and Ice Data Center for MODIS IST data. We also thank Bob Iacovazzi Jr., J. M. Blaisdell, and C.-Y. Liu for their constructive comments.</t>
  </si>
  <si>
    <t>10.5194/amt-8-4025-2015</t>
  </si>
  <si>
    <t>CV5NM</t>
  </si>
  <si>
    <t>WOS:000364317600004</t>
  </si>
  <si>
    <t>Hosking, JS; Bannister, D; Orr, A; King, J; Young, E; Phillips, T</t>
  </si>
  <si>
    <t>Hosking, J. Scott; Bannister, Daniel; Orr, Andrew; King, John; Young, Emma; Phillips, Tony</t>
  </si>
  <si>
    <t>Orographic disturbances of surface winds over the shelf waters adjacent to South Georgia</t>
  </si>
  <si>
    <t>ATMOSPHERIC SCIENCE LETTERS</t>
  </si>
  <si>
    <t>orographic disturbances; regional modelling; South Georgia; surface heat fluxes; wind stress curl; WRF</t>
  </si>
  <si>
    <t>LARGE ISLANDS; OCEAN; SATELLITE; NORTHWEST; SYSTEM; MODEL; WAKE; VARIABILITY; RETENTION; GREENLAND</t>
  </si>
  <si>
    <t>This study seeks to quantify the influence of South Georgia's orography on regional surface winds. A typical case study characterized by large-scale westerly winds is analysed using a high-resolution setup (3.3km) of the Weather Research and Forecasting (WRF) regional model. The simulation produces significant fine-scale spatial variability which is in agreement with satellite-derived winds. The model simulation indicates that these orography-driven wind disturbances are responsible for strong wind stress curl and enhanced heat flux over the shelf waters surrounding South Georgia. Such surface forcing is entirely absent from the reanalysis, highlighting the need to use high-resolution forcing in regional ocean model simulations.</t>
  </si>
  <si>
    <t>[Hosking, J. Scott; Bannister, Daniel; Orr, Andrew; King, John; Young, Emma; Phillips, Tony] British Antarctic Survey, NERC, Cambridge CB3 0ET, England</t>
  </si>
  <si>
    <t>UK Research &amp; Innovation (UKRI); Natural Environment Research Council (NERC); NERC British Antarctic Survey</t>
  </si>
  <si>
    <t>Hosking, JS (corresponding author), British Antarctic Survey, Madingley Rd, Cambridge CB3 0ET, England.</t>
  </si>
  <si>
    <t>jask@bas.ac.uk</t>
  </si>
  <si>
    <t>; Hosking, Scott/D-3437-2013</t>
  </si>
  <si>
    <t>Bannister, Daniel/0000-0002-2982-3751; Young, Emma/0000-0002-7069-6109; Hosking, Scott/0000-0002-3646-3504</t>
  </si>
  <si>
    <t>PhD studentship - UK Natural Environment Research Council; NERC [bas0100023] Funding Source: UKRI; Natural Environment Research Council [1119744, bas0100023] Funding Source: researchfish</t>
  </si>
  <si>
    <t>PhD studentship - UK Natural Environment Research Council; NERC(UK Research &amp; Innovation (UKRI)Natural Environment Research Council (NERC)); Natural Environment Research Council(UK Research &amp; Innovation (UKRI)Natural Environment Research Council (NERC))</t>
  </si>
  <si>
    <t>The case study examined in this article was also a focus of the Jet Propulsion Laboratory 'Photojournal' (http://photojournal.jpl.nasa.gov/catalog/PIA02457). Daniel Bannister was supported by a PhD studentship funded by the UK Natural Environment Research Council.</t>
  </si>
  <si>
    <t>WILEY-BLACKWELL</t>
  </si>
  <si>
    <t>1530-261X</t>
  </si>
  <si>
    <t>ATMOS SCI LETT</t>
  </si>
  <si>
    <t>Atmos. Sci. Lett.</t>
  </si>
  <si>
    <t>10.1002/asl2.519</t>
  </si>
  <si>
    <t>Geochemistry &amp; Geophysics; Meteorology &amp; Atmospheric Sciences</t>
  </si>
  <si>
    <t>CA3ZZ</t>
  </si>
  <si>
    <t>Green Accepted</t>
  </si>
  <si>
    <t>WOS:000348845300008</t>
  </si>
  <si>
    <t>McInnes, KL; Church, J; Monselesan, D; Hunter, JR; O'Grady, JG; Haigh, ID; Zhang, XB</t>
  </si>
  <si>
    <t>McInnes, Kathleen L.; Church, John; Monselesan, Didier; Hunter, John R.; O'Grady, Julian G.; Haigh, Ivan D.; Zhang, Xuebin</t>
  </si>
  <si>
    <t>Information for Australian Impact and Adaptation Planning in response to Sea-level Rise</t>
  </si>
  <si>
    <t>AUSTRALIAN METEOROLOGICAL AND OCEANOGRAPHIC JOURNAL</t>
  </si>
  <si>
    <t>PROBABILISTIC ASSESSMENT; MASS-BALANCE; PINE ISLAND; ICE; CLIMATE; TIME; ATMOSPHERE; VARIABILITY; WIDESPREAD; PREDICTION</t>
  </si>
  <si>
    <t>Sea levels along Australia's coastline are influenced by natural climate variability and anthropogenic climate change. Projections of sea-level rise (SLR) for 2090 for the Australian coastline are similar to the global mean sea-level projections. The global and regional projections are almost independent of the Representative Concentration Pathways (RCPs) for greenhouse gas emissions chosen for the first decades of the 21st century, but they begin to diverge significantly from about 2050. For the business-as-usual scenario (RCP8.5), the rates increase steadily through the 21st century, reaching almost 12 mm yr(-1) by 2100 at all locations. For the intermediate scenarios of RCP 6.0 and RCP 4.5, the rates stabilise in about 2090 and 2060 at about 7-8 and 6 mm yr(-1), respectively. For the strong mitigation scenario (RCP 2.6, requiring significant and urgent mitigation of greenhouse gas emissions), the rate of rise stabilises much earlier than the other scenarios and then reduces slightly to about 4 mm yr(-1). On the north and west coasts of Australia, the observed sea-level trends from the start of the projections in 1996 to 2010 are larger than the model projections as a result of the combined effect of SLR and internal modes of climate variability. The impacts of SLR will be felt most profoundly during extreme sea-level events. The meteorological and climate processes that contribute to extreme sea levels around the coast of Australia are highly regionally heterogeneous. Allowances were calculated that provide estimates of the height that present assets or their protective measures would need to be raised to ensure that the likelihood of exceedance of those levels in the future does not change from the present climate. These allowances vary according to SLR projections, their uncertainties and the variability of extreme sea levels. For 2030, when the uncertainty surrounding future SLR scenarios is small, the allowances are approximately the median projected SLR. However by 2090, the larger uncertainties associated with the projections lead to allowances that typically lie towards the upper end of the range of projected SLR.</t>
  </si>
  <si>
    <t>[McInnes, Kathleen L.; O'Grady, Julian G.] CSIRO Oceans &amp; Atmosphere, Aspendale, Vic 3195, Australia; [Church, John; Monselesan, Didier; Hunter, John R.; Zhang, Xuebin] CSIRO Oceans &amp; Atmosphere, Hobart, Tas, Australia; [Hunter, John R.] Univ Tasmania, Antarctic Climate &amp; Ecosyst Cooperat Res Ctr, Hobart, Tas 7001, Australia; [Haigh, Ivan D.] Univ Southampton, Natl Oceanog Ctr, Ocean &amp; Earth Sci, Southampton SO9 5NH, Hants, England; [Haigh, Ivan D.] Univ Western Australia, Sch Civil Environm &amp; Min Engn, Crawley, WA, Australia; [Haigh, Ivan D.] Univ Western Australia, UWA Oceans Inst, Crawley, WA, Australia</t>
  </si>
  <si>
    <t>Commonwealth Scientific &amp; Industrial Research Organisation (CSIRO); Commonwealth Scientific &amp; Industrial Research Organisation (CSIRO); University of Tasmania; Antarctic Climate &amp; Ecosystems Cooperative Research Centre (ACE CRC); University of Southampton; NERC National Oceanography Centre; University of Western Australia; University of Western Australia</t>
  </si>
  <si>
    <t>McInnes, KL (corresponding author), CSIRO Oceans &amp; Atmosphere, PMB 1, Aspendale, Vic 3195, Australia.</t>
  </si>
  <si>
    <t>kathleen.mcinnes@csiro.au</t>
  </si>
  <si>
    <t>O'Grady, Julian/T-2742-2019; Church, John A/A-1541-2012; Haigh, Ivan D/A-6575-2010; Zhang, Xuebin/A-3405-2012; O'Grady, Julian/H-9603-2016; Monselesan, Didier/A-2327-2012; McInnes, Kathleen/A-7787-2012</t>
  </si>
  <si>
    <t>O'Grady, Julian/0000-0003-3552-9193; Church, John A/0000-0002-7037-8194; Zhang, Xuebin/0000-0003-1731-3524; O'Grady, Julian/0000-0003-3552-9193; Monselesan, Didier/0000-0002-0310-8995; McInnes, Kathleen/0000-0002-1810-7215</t>
  </si>
  <si>
    <t>Department of Climate Change and Energy Efficiency; Australian Climate Change Science Program (ACCSP)</t>
  </si>
  <si>
    <t>The CSIRO authors acknowledge the support of the Department of Climate Change and Energy Efficiency through their funding for the Natural Resource Management (NRM) project and the Australian Climate Change Science Program (ACCSP).</t>
  </si>
  <si>
    <t>AUSTRALIAN BUREAU METEOROLOGY</t>
  </si>
  <si>
    <t>GPO BOX 1289, MELBOURNE, VIC 3001, AUSTRALIA</t>
  </si>
  <si>
    <t>1836-716X</t>
  </si>
  <si>
    <t>AUST METEOROL OCEAN</t>
  </si>
  <si>
    <t>Aust. Meteorol. Oceanogr. J.</t>
  </si>
  <si>
    <t>10.22499/2.6501.009</t>
  </si>
  <si>
    <t>CV8FM</t>
  </si>
  <si>
    <t>WOS:000364516300009</t>
  </si>
  <si>
    <t>Moreau, CVE; Aguera, A; Jossart, Q; Danis, B</t>
  </si>
  <si>
    <t>Moreau, Camille V. E.; Aguera, Antonio; Jossart, Quentin; Danis, Bruno</t>
  </si>
  <si>
    <t>Southern Ocean Asteroidea: a proposed update for the Register of Antarctic Marine Species</t>
  </si>
  <si>
    <t>BIODIVERSITY DATA JOURNAL</t>
  </si>
  <si>
    <t>Asteroidea; Sea stars; Southern Ocean; RAMS; WoRMS; Register of Antarctic Marine Species; Biodiversity; Checklist</t>
  </si>
  <si>
    <t>Background The Register of Antarctic Marine Species (RAMS, De Broyer et al. 2015) is the regional component of the World Register of Marine Species (WoRMS Editorial Board 2015) in the Southern Ocean. It has been operating for the last ten years, with a special effort devoted towards its completion after the International Polar Year (IPY) in 2007-2008, in the framework of the Census of Antarctic Marine Life (CAML, 2005 - 2010). Its objective is to offer free and open access to a complete register of all known species living in the Southern Ocean, building a workbench of the present taxonomic knowledge for that region. The Antarctic zone defined by this dynamic and community-based tool has been investigated with a particular interest. The Sub-Antarctic zone was a secondary objective during the establishment of the RAMS and is still lacking the impulse of the scientific community for some taxa. New information In the present study, more than 13,000 occurrences records of Asteroidea (Echinodermata) have been compiled within the RAMS area of interest and checked against the RAMS species list of sea stars, using WoRMS Taxon Match tool. Few mismatches (basionym mistakes : i.e. original name misspelled or incorrect) were found within the existing list and 97 unregistered species are actually occurring within the RAMS boundaries. After this update, the number of Asteroidea species was increased by around 50%, now reaching 295 accepted species.</t>
  </si>
  <si>
    <t>[Moreau, Camille V. E.; Aguera, Antonio; Jossart, Quentin; Danis, Bruno] Univ Libre Bruxelles, 50 Ave F Roosevelt, B-1050 Brussels, Belgium</t>
  </si>
  <si>
    <t>Universite Libre de Bruxelles</t>
  </si>
  <si>
    <t>Moreau, CVE (corresponding author), Univ Libre Bruxelles, 50 Ave F Roosevelt, B-1050 Brussels, Belgium.</t>
  </si>
  <si>
    <t>mr.moreau.camille@gmail.com</t>
  </si>
  <si>
    <t>Danis, Bruno/AAS-8444-2021; Agüera, Antonio/O-5498-2017</t>
  </si>
  <si>
    <t>Danis, Bruno/0000-0002-9037-7623; Agüera, Antonio/0000-0003-0076-1849; Moreau, Camille/0000-0002-0981-7442; Jossart, Quentin/0000-0002-2280-243X</t>
  </si>
  <si>
    <t>Belgian Science Policy Office (BELSPO) [BR/132/A1/vERSO]; Fonds pour la formation a la Recherche dans l'Industrie et dans l'Agriculture (FRIA) grants</t>
  </si>
  <si>
    <t>Belgian Science Policy Office (BELSPO)(Belgian Federal Science Policy Office); Fonds pour la formation a la Recherche dans l'Industrie et dans l'Agriculture (FRIA) grants(Fonds de la Recherche Scientifique - FNRS)</t>
  </si>
  <si>
    <t>The work was supported by a Fonds pour la formation a la Recherche dans l'Industrie et dans l'Agriculture (FRIA) grants to C. Moreau. This is contribution no. 8 to the vERSO project (www.versoproject.be), funded by the Belgian Science Policy Office (BELSPO, contract no BR/132/A1/vERSO).</t>
  </si>
  <si>
    <t>1314-2836</t>
  </si>
  <si>
    <t>1314-2828</t>
  </si>
  <si>
    <t>BIODIVERS DATA J</t>
  </si>
  <si>
    <t>Biodiver. Data J.</t>
  </si>
  <si>
    <t>e7062</t>
  </si>
  <si>
    <t>10.3897/BDJ.3.e7062</t>
  </si>
  <si>
    <t>Biodiversity Conservation</t>
  </si>
  <si>
    <t>Biodiversity &amp; Conservation</t>
  </si>
  <si>
    <t>VH7VD</t>
  </si>
  <si>
    <t>WOS:000454927300108</t>
  </si>
  <si>
    <t>Fedorova, I; Chetverova, A; Bolshiyanov, D; Makarov, A; Boike, J; Heim, B; Morgenstern, A; Overduin, PP; Wegner, C; Kashina, V; Eulenburg, A; Dobrotina, E; Sidorina, I</t>
  </si>
  <si>
    <t>Fedorova, I.; Chetverova, A.; Bolshiyanov, D.; Makarov, A.; Boike, J.; Heim, B.; Morgenstern, A.; Overduin, P. P.; Wegner, C.; Kashina, V.; Eulenburg, A.; Dobrotina, E.; Sidorina, I.</t>
  </si>
  <si>
    <t>Lena Delta hydrology and geochemistry: long-term hydrological data and recent field observations</t>
  </si>
  <si>
    <t>INTERANNUAL VARIABILITY; COASTAL EROSION; RIVER DELTA; SEDIMENT; PERMAFROST; TRANSPORT; INPUT; SHELF; OCEAN; FLUX</t>
  </si>
  <si>
    <t>The Lena River forms one of the largest deltas in the Arctic. We compare two sets of data to reveal new insights into the hydrological, hydrochemical, and geochemical processes within the delta: (i) long-term hydrometric observations at the Khabarova station at the head of the delta from 1951 to 2005; (ii) field hydrological and geochemical observations carried out within the delta since 2002. Periods with differing relative discharge and intensity of fluvial processes were identified from the long-term record of water and sediment discharge. Ice events during spring melt (high water) reconfigured branch channels and probably influenced sediment transport within the delta. Based on summer field measurements during 2005-2012 of discharge and sediment fluxes along main delta channels, both are increased between the apex and the front of the delta. This increase is to a great extent connected with an additional influx of water from tributaries, as well as an increase of suspended and dissolved material released from the ice complex. Summer concentrations of major ion and biogenic substances along the delta branches are partly explained by water sources within the delta, such as thawing ice complex waters, small Lena River branches and estuarine areas.</t>
  </si>
  <si>
    <t>[Fedorova, I.; Chetverova, A.; Bolshiyanov, D.; Makarov, A.; Dobrotina, E.] Arctic &amp; Antarctic Res Inst, St Petersburg 199226, Russia; [Fedorova, I.; Chetverova, A.; Bolshiyanov, D.; Makarov, A.; Kashina, V.; Sidorina, I.] St Petersburg State Univ, Inst Earth Sci, Dept Hydrogeol, St Petersburg 199034, Russia; [Boike, J.; Heim, B.; Morgenstern, A.; Overduin, P. P.; Eulenburg, A.] Helmholtz Ctr Polar &amp; Marine Res, Alfred Wegener Inst, Potsdam, Germany; [Wegner, C.] Helmholtz Ctr Ocean Res, Kiel, Germany</t>
  </si>
  <si>
    <t>Arctic &amp; Antarctic Research Institute; Saint Petersburg State University; Helmholtz Association; Alfred Wegener Institute, Helmholtz Centre for Polar &amp; Marine Research; Helmholtz Association; GEOMAR Helmholtz Center for Ocean Research Kiel</t>
  </si>
  <si>
    <t>Fedorova, I (corresponding author), Arctic &amp; Antarctic Res Inst, St Petersburg 199226, Russia.</t>
  </si>
  <si>
    <t>umnichka@mail.ru</t>
  </si>
  <si>
    <t>Overduin, Paul P/B-3258-2017; Boike, Julia/JZT-8129-2024; Boike, Julia/R-4766-2016; Morgenstern, Anne/N-3648-2015; Boike, Julia/JCE-5402-2023; Cheterova, Antonina/N-1019-2013; Heim, Birgit/B-2815-2017; Fedorova, Irina/N-3436-2013</t>
  </si>
  <si>
    <t>Overduin, Paul P/0000-0001-9849-4712; Boike, Julia/0000-0002-5875-2112; Boike, Julia/0000-0002-5875-2112; Morgenstern, Anne/0000-0002-6466-7571; Cheterova, Antonina/0000-0001-7461-3617; Heim, Birgit/0000-0003-2614-9391; Fedorova, Irina/0000-0001-5370-427X</t>
  </si>
  <si>
    <t>Russian Foundation of Basic Research [05-05-64419-at, 10-05-00727-a]; German Federal Ministry of Education and Research (BMBF) [OSL-11-02, OSL-12-01]; German Research Foundation (DFG)</t>
  </si>
  <si>
    <t>Russian Foundation of Basic Research(Russian Foundation for Basic Research (RFBR)); German Federal Ministry of Education and Research (BMBF)(Federal Ministry of Education &amp; Research (BMBF)); German Research Foundation (DFG)(German Research Foundation (DFG))</t>
  </si>
  <si>
    <t>The results presented here were made possible by combining data from fieldwork undertaken in summer expeditions from 2002 to 2012 (Bolshiyanov et al., 2003; Bolshiyanov and Tretiakov, 2002; Fedorova et al., 2006, 2007; Morgenstern et al., 2012; Wagner et al., 2012) with the assistance of the Russian-German Samoylov Island Scientific Research Station project, the Russian Federal Target Program entitled Development of methods and methodologies for assessment of geosystem changeability and environmental monitoring of the Laptev Sea region in collaboration with German research institutions, grants from the Russian Foundation of Basic Research (No. 05-05-64419-at and No. 10-05-00727-a), grants from the German Federal Ministry of Education and Research (BMBF), OSL-11-02 Substantial flow transformation processes in the Lena river delta and OSL-12-01 The study of geochemical processes of the Lena River delta, and a grant from the German Research Foundation (DFG).</t>
  </si>
  <si>
    <t>10.5194/bg-12-345-2015</t>
  </si>
  <si>
    <t>WOS:000348982200005</t>
  </si>
  <si>
    <t>Brandt, P; Bange, HW; Banyte, D; Dengler, M; Didwischus, SH; Fischer, T; Greatbatch, RJ; Hahn, J; Kanzow, T; Karstensen, J; Krörtzinger, A; Krahmann, G; Schmidtko, S; Stramma, L; Tanhua, T; Visbeck, M</t>
  </si>
  <si>
    <t>Brandt, P.; Bange, H. W.; Banyte, D.; Dengler, M.; Didwischus, S. -H.; Fischer, T.; Greatbatch, R. J.; Hahn, J.; Kanzow, T.; Karstensen, J.; Kroertzinger, A.; Krahmann, G.; Schmidtko, S.; Stramma, L.; Tanhua, T.; Visbeck, M.</t>
  </si>
  <si>
    <t>On the role of circulation and mixing in the ventilation of oxygen minimum zones with a focus on the eastern tropical North Atlantic</t>
  </si>
  <si>
    <t>ANTARCTIC INTERMEDIATE WATER; EQUATORIAL DEEP JETS; SOUTH-PACIFIC OCEAN; CURRENT SYSTEM; ANTHROPOGENIC CARBON; UTILIZATION RATES; MEAN CIRCULATION; MESOSCALE EDDIES; INTERNAL TIDES; UPPER-LAYER</t>
  </si>
  <si>
    <t>Ocean observations are analysed in the framework of Collaborative Research Center 754 (SFB 754) Climate-Biogeochemistry Interactions in the Tropical Ocean to study (1) the structure of tropical oxygen minimum zones (OMZs), (2) the processes that contribute to the oxygen budget, and (3) long-term changes in the oxygen distribution. The OMZ of the eastern tropical North Atlantic (ETNA), located between the well-ventilated subtropical gyre and the equatorial oxygen maximum, is composed of a deep OMZ at about 400m in depth with its core region centred at about 20 degrees W, 10 degrees N and a shallow OMZ at about 100m in depth, with the lowest oxygen concentrations in proximity to the coastal up-welling region off Mauritania and Senegal. The oxygen budget of the deep OMZ is given by oxygen consumption mainly balanced by the oxygen supply due to meridional eddy fluxes (about 60 %) and vertical mixing (about 20 %, locally up to 30 %). Advection by zonal jets is crucial for the establishment of the equatorial oxygen maximum. In the latitude range of the deep OMZ, it dominates the oxygen supply in the upper 300 to 400m and generates the intermediate oxygen maximum between deep and shallow OMZs. Water mass ages from transient tracers indicate substantially older water masses in the core of the deep OMZ (about 120-180 years) compared to regions north and south of it. The deoxygenation of the ETNA OMZ during recent decades suggests a substantial imbalance in the oxygen budget: about 10% of the oxygen consumption during that period was not balanced by ventilation. Long-term oxygen observations show variability on interannual, decadal and multidecadal timescales that can partly be attributed to circulation changes. In comparison to the ETNA OMZ, the eastern tropical South Pacific OMZ shows a similar structure, including an equatorial oxygen maximum driven by zonal advection but overall much lower oxygen concentrations approaching zero in extended regions. As the shape of the OMZs is set by ocean circulation, the widespread misrepresentation of the intermediate circulation in ocean circulation models substantially contributes to their oxygen bias, which might have significant impacts on predictions of future oxygen levels.</t>
  </si>
  <si>
    <t>[Brandt, P.; Bange, H. W.; Banyte, D.; Dengler, M.; Didwischus, S. -H.; Fischer, T.; Greatbatch, R. J.; Hahn, J.; Kanzow, T.; Karstensen, J.; Kroertzinger, A.; Krahmann, G.; Schmidtko, S.; Stramma, L.; Tanhua, T.; Visbeck, M.] GEOMAR Helmholtz Zentrum Ozeanforsch Kiel, Kiel, Germany</t>
  </si>
  <si>
    <t>Helmholtz Association; GEOMAR Helmholtz Center for Ocean Research Kiel</t>
  </si>
  <si>
    <t>Brandt, P (corresponding author), GEOMAR Helmholtz Zentrum Ozeanforsch Kiel, Kiel, Germany.</t>
  </si>
  <si>
    <t>pbrandt@geomar.de</t>
  </si>
  <si>
    <t>Hahn, Johannes/AAK-5487-2020; Brandt, Peter/C-8254-2013; Visbeck, Martin H/B-6541-2016; Tanhua, Toste/HLX-5402-2023; Karstensen, Johannes/A-8534-2013; Fischer, Tim/HOC-7334-2023; Dengler, Marcus/A-7327-2014; Schmidtko, Sunke/F-3355-2011; Fischer, Tim/A-2988-2015</t>
  </si>
  <si>
    <t>Hahn, Johannes/0000-0002-5638-2031; Brandt, Peter/0000-0002-9235-955X; Visbeck, Martin H/0000-0002-0844-834X; Karstensen, Johannes/0000-0001-5044-7079; Dengler, Marcus/0000-0001-5993-9088; Kanzow, Torsten/0000-0002-5786-3435; Schmidtko, Sunke/0000-0003-3272-7055; Bange, Hermann W./0000-0003-4053-1394; Fischer, Tim/0000-0001-7025-1129; Stramma, Lothar/0000-0003-1391-4808</t>
  </si>
  <si>
    <t>Deutsche Forschungsgemeinschaft [Sonderforschungsbereich 754]; Deutsche Bundesministerium fur Bildung und Forschung (BMBF) [03F0605B, 03F0443B, 03F0651B, 03F0462A, 03F0611A, 03F0662A, 01DG12073E]</t>
  </si>
  <si>
    <t>Deutsche Forschungsgemeinschaft(German Research Foundation (DFG)); Deutsche Bundesministerium fur Bildung und Forschung (BMBF)(Federal Ministry of Education &amp; Research (BMBF))</t>
  </si>
  <si>
    <t>This study was funded by the Deutsche Forschungsgemeinschaft as part of Sonderforschungsbereich 754 Climate-Biogeochemistry Interactions in the Tropical Ocean, through several research cruises with RV Meteor, RV Maria S. Merian, and RV L'Atalante, and by the Deutsche Bundesministerium fur Bildung und Forschung (BMBF) as part of projects NORDATLANTIK (03F0605B, 03F0443B), RACE (03F0651B), SOPRAN (03F0462A, 03F0611A, 03F0662A), and AWA (01DG12073E). Moored velocity and oxygen observations were partly acquired in cooperation with the PIRATA project, and we would like to thank B. Bourles, R. Lumpkin, C. Schmid, and G. Foltz for their help with mooring work and data sharing. We also thank J. Lubbecke, L. D. Bryant, and B. Dewitte for helpful discussions and comments on an earlier version of the manuscript. We thank the captains and crew of the RV Maria S. Merian, RV Meteor, RV Poseidon, and RV L'Atalante as well as our technical group for their help with the fieldwork.</t>
  </si>
  <si>
    <t>10.5194/bg-12-489-2015</t>
  </si>
  <si>
    <t>WOS:000348982200015</t>
  </si>
  <si>
    <t>Laurenceau-Cornec, EC; Trull, TW; Davies, DM; Bray, SG; Doran, J; Planchon, F; Carlotti, F; Jouandet, MP; Cavagna, AJ; Waite, AM; Blain, S</t>
  </si>
  <si>
    <t>Laurenceau-Cornec, E. C.; Trull, T. W.; Davies, D. M.; Bray, S. G.; Doran, J.; Planchon, F.; Carlotti, F.; Jouandet, M-P.; Cavagna, A-J.; Waite, A. M.; Blain, S.</t>
  </si>
  <si>
    <t>The relative importance of phytoplankton aggregates and zooplankton fecal pellets to carbon export: insights from free-drifting sediment trap deployments in naturally iron-fertilised waters near the Kerguelen Plateau</t>
  </si>
  <si>
    <t>PARTICULATE ORGANIC-CARBON; SOUTHERN-OCEAN; VERTICAL FLUX; SINKING RATES; MARINE SNOW; PARTICLE FLUXES; SIZE SPECTRA; COPEPOD; DIATOM; BLOOM</t>
  </si>
  <si>
    <t>The first KErguelen Ocean and Plateau compared Study (KEOPS1), conducted in the naturally iron-fertilised Kerguelen bloom, demonstrated that fecal material was the main pathway for exporting carbon to the deep ocean during summer (January-February 2005), suggesting a limited role of direct export via phytodetrital aggregates. The KEOPS2 project reinvestigated this issue during the spring bloom initiation (October-November 2011), when zooplankton communities may exert limited grazing pressure, and further explored the link between carbon flux, export efficiency and dominant sinking particles depending upon surface plankton community structure. Sinking particles were collected in polyacrylamide gel-filled and standard free-drifting sediment traps (PPS3/3), deployed at six stations between 100 and 400 m, to examine flux composition, particle origin and their size distributions. Results revealed an important contribution of phytodetrital aggregates (49 +/- 10 and 45 +/- 22% of the total number and volume of particles respectively, all stations and depths averaged). This high contribution dropped when converted to carbon content (30 +/- 16% of total carbon, all stations and depths averaged), with cylindrical fecal pellets then representing the dominant fraction (56 +/- 19 %). At 100 and 200 m depth, iron-and biomass-enriched sites exhibited the highest carbon fluxes (maxima of 180 and 84 +/- 27 mg C m(-2) d(-1), based on gel and PPS3/3 trap collection respectively), especially where large fecal pellets dominated over phytodetrital aggregates. Below these depths, carbon fluxes decreased (48 +/- 21% decrease on average between 200 and 400 m), and mixed aggregates composed of phytodetritus and fecal matter dominated, suggesting an important role played by physical aggregation in deep carbon export. Export efficiencies determined from gels, PPS3/3 traps and Th-234 disequilibria (200m carbon flux/net primary productivity) were negatively correlated to net primary productivity with observed decreases from similar to 0.2 at low-iron sites to similar to 0.02 at high-iron sites. Varying phytoplankton communities and grazing pressure appear to explain this negative relationship. Our work emphasises the need to consider detailed plankton communities to accurately identify the controls on carbon export efficiency, which appear to include small spatio-temporal variations in ecosystem structure.</t>
  </si>
  <si>
    <t>[Laurenceau-Cornec, E. C.] Univ Tasmania, Inst Marine &amp; Antarctic Studies, CSIRO UTAS Quantitat Marine Sci PhD Program, Hobart, Tas 7001, Australia; [Laurenceau-Cornec, E. C.; Trull, T. W.; Davies, D. M.; Bray, S. G.] Univ Tasmania, Antarctic Climate &amp; Ecosyst Cooperat Res Ctr, Hobart, Tas 7001, Australia; [Trull, T. W.] Commonwealth Sci &amp; Ind Res Org, Hobart, Tas 7000, Australia; [Doran, J.; Waite, A. M.] Univ Western Australia M470, UWA Oceans Inst, Crawley, WA 6009, Australia; [Planchon, F.] Univ Brest, Lab Sci Environm Marin LEMAR, CNRS, IRD,UMR6539,IUEM,Technopole Brest Iroise, F-29280 Plouzane, France; [Carlotti, F.; Jouandet, M-P.] Aix Marseille Univ, CNRS, IRD, MIO, F-13288 Marseille 09, France; [Cavagna, A-J.] Vrije Univ Brussel, Analyt &amp; Environm Geochem Dept, Brussels, Belgium; [Waite, A. M.] Alfred Wegener Inst, Helmholz Ctr Polar &amp; Marine Res, D-27570 Bremerhaven, Germany; [Blain, S.] Univ Paris 06, Sorbonne Univ, Lab Oceanog Microbienne, UMR 7621,Observ Oceanol, F-66650 Banyuls Sur Mer, France; [Blain, S.] CNRS, UMR 7621, Lab Oceanog Microbienne, Observ Oceanol, F-66650 Banyuls Sur Mer, France</t>
  </si>
  <si>
    <t>University of Tasmania; Commonwealth Scientific &amp; Industrial Research Organisation (CSIRO); University of Tasmania; Antarctic Climate &amp; Ecosystems Cooperative Research Centre (ACE CRC); Commonwealth Scientific &amp; Industrial Research Organisation (CSIRO); University of Western Australia; Universite de Bretagne Occidentale; Institut Universitaire Europeen de la Mer (IUEM); Centre National de la Recherche Scientifique (CNRS); Ifremer; Institut de Recherche pour le Developpement (IRD); Aix-Marseille Universite; Centre National de la Recherche Scientifique (CNRS); Institut de Recherche pour le Developpement (IRD); Vrije Universiteit Brussel; Helmholtz Association; Alfred Wegener Institute, Helmholtz Centre for Polar &amp; Marine Research; Centre National de la Recherche Scientifique (CNRS); CNRS - National Institute for Earth Sciences &amp; Astronomy (INSU); Sorbonne Universite; Centre National de la Recherche Scientifique (CNRS); CNRS - National Institute for Earth Sciences &amp; Astronomy (INSU); Sorbonne Universite</t>
  </si>
  <si>
    <t>Laurenceau-Cornec, EC (corresponding author), Univ Tasmania, Inst Marine &amp; Antarctic Studies, CSIRO UTAS Quantitat Marine Sci PhD Program, Private Bag 129, Hobart, Tas 7001, Australia.</t>
  </si>
  <si>
    <t>emmanuel.laurenceau@utas.edu.au</t>
  </si>
  <si>
    <t>Frederic, Planchon A.M./A-8651-2010; Trull, Tom W/B-7028-2014; Waite, Anya/A-5492-2015; blain, stephane/F-6917-2010</t>
  </si>
  <si>
    <t>Planchon, Frederic/0000-0003-1288-9698; Waite, Anya/0000-0003-2965-0296; Davies, Diana M./0000-0001-6304-3938; blain, stephane/0000-0002-5234-2446; Laurenceau-Cornec, Emmanuel/0000-0002-4041-4377</t>
  </si>
  <si>
    <t>Australian Commonwealth Cooperative Research Centres Program; Australian National Network in Marine Science via UTAS IMAS; CNES</t>
  </si>
  <si>
    <t>Australian Commonwealth Cooperative Research Centres Program(Australian GovernmentDepartment of Industry, Innovation and ScienceCooperative Research Centres (CRC) Programme); Australian National Network in Marine Science via UTAS IMAS; CNES(Centre National D'etudes Spatiales)</t>
  </si>
  <si>
    <t>This work received support through funding from the Australian Commonwealth Cooperative Research Centres Program to the ACE CRC, as well as through the Australian National Network in Marine Science via UTAS IMAS. We thank the personnel of RV Marion Dufresne, Institut Paul Emile Victor, Institut National des Sciences de l'Univers, and the KEOPS2 voyage leader Bernard Queguiner and KEOPS2 science team for assistance at sea. Peter Jansen (IMOS), Danny McLaughlan (CSIRO) and David Cherry (CSIRO) contributed to preparation of the free-drifting sediment trap arrays. MODIS (NASA) satellite ocean-colour images courtesy of Francesco d'Ovidio (Univ. Paris). The altimeter and colour/temperature products for the Kerguelen area were produced by Ssalto/Duacs and CLS with support from CNES. We thank the two anonymous referees for their comments, which helped improve the manuscript.</t>
  </si>
  <si>
    <t>10.5194/bg-12-1007-2015</t>
  </si>
  <si>
    <t>gold, Green Submitted, Green Accepted, Green Published</t>
  </si>
  <si>
    <t>WOS:000349794900008</t>
  </si>
  <si>
    <t>Salt, LA; van Heuven, SMAC; Claus, ME; Jones, EM; de Baar, HJW</t>
  </si>
  <si>
    <t>Salt, L. A.; van Heuven, S. M. A. C.; Claus, M. E.; Jones, E. M.; de Baar, H. J. W.</t>
  </si>
  <si>
    <t>Rapid acidification of mode and intermediate waters in the southwestern Atlantic Ocean</t>
  </si>
  <si>
    <t>ANTHROPOGENIC CO2; SOUTHERN-OCEAN; CARBONIC-ACID; INDIAN-OCEAN; INCREASE; MASSES; SEA; DISSOCIATION; EQUATORIAL; CONSTANTS</t>
  </si>
  <si>
    <t>Observations along the southwestern Atlantic WOCE A17 line made during the Dutch GEOTRACESNL programme (2010-2011) were compared with historical data from 1994 to quantify the changes in the anthropogenic component of the total pool of dissolved inorganic carbon (Delta C-ant). Application of the extended multilinear regression (eMLR) method shows that the Delta C-ant from 1994 to 2011 has largely remained confined to the upper 1000 dbar. The greatest changes occur in the upper 200 dbar in the Subantarctic Zone (SAZ), where a maximum increase of 37 mu mol kg(-1) is found. South Atlantic Central Water (SACW) experienced the highest rate of increase in C-ant, at 0.99 +/- 0.14 mu mol kg(-1) yr(-1), resulting in a maximum rate of decrease in pH of 0.0016 yr(-1). The highest rates of acidification relative to Delta C-ant, however, were found in Subantarctic Mode Water (SAMW) and Antarctic Intermediate Water (AAIW). The low buffering capacity of SAMW and AAIW combined with their relatively high rates of C-ant increase of 0.53 +/- 0.11 and 0.36 +/- 0.06 mu mol kg(-1) yr(-1), respectively, has lead to rapid acidification in the SAZ, and will continue to do so whilst simultaneously reducing the chemical buffering capacity of this significant CO2 sink.</t>
  </si>
  <si>
    <t>[Salt, L. A.; de Baar, H. J. W.] Royal Netherlands Inst Sea Res, NL-1797 SZ Texel, Netherlands; [van Heuven, S. M. A. C.] Univ Groningen, Ctr Isotope Res, NL-9747 AG Groningen, Netherlands; [Claus, M. E.; de Baar, H. J. W.] Univ Groningen, Dept Ocean Ecosyst, NL-9747 AG Groningen, Netherlands; [Jones, E. M.] Alfred Wegener Inst Polar &amp; Marine Res, D-27515 Bremerhaven, Germany</t>
  </si>
  <si>
    <t>Utrecht University; Royal Netherlands Institute for Sea Research (NIOZ); University of Groningen; University of Groningen; Helmholtz Association; Alfred Wegener Institute, Helmholtz Centre for Polar &amp; Marine Research</t>
  </si>
  <si>
    <t>Salt, LA (corresponding author), CNRS, Equipe Chim Marine, Stn Biol Roscoff, UMR7144, Pl Georges Teissier, F-29680 Roscoff, France.</t>
  </si>
  <si>
    <t>lesley.salt@sb-roscoff.fr</t>
  </si>
  <si>
    <t>/AAL-3738-2021</t>
  </si>
  <si>
    <t>van Heuven, Steven/0000-0003-2001-8710</t>
  </si>
  <si>
    <t>Earth and Life Sciences division (ALW) of the Netherlands Organisation for Scientific Research (NWO) [817.01.004]; EU - European Commission [264879]</t>
  </si>
  <si>
    <t>Earth and Life Sciences division (ALW) of the Netherlands Organisation for Scientific Research (NWO)(Netherlands Organization for Scientific Research (NWO)); EU - European Commission(European Union (EU)European Commission Joint Research Centre)</t>
  </si>
  <si>
    <t>We thank the captains and crews of RV Pelagia and RRS James Cook. The Earth and Life Sciences division (ALW) of the Netherlands Organisation for Scientific Research (NWO) supported this research under project number 817.01.004. The research leading to these results was supported through the EU FP7 project CARBOCHANGE Changes in carbon uptake and emissions by oceans in a changing climate, which received funding from the European Commission's Seventh Framework Programme under agreement no. 264879. We also thank M. Alvarez and an additional, anonymous referee for their helpful comments and suggestions.</t>
  </si>
  <si>
    <t>10.5194/bg-12-1387-2015</t>
  </si>
  <si>
    <t>WOS:000350987900007</t>
  </si>
  <si>
    <t>Manno, C; Stowasser, G; Enderlein, P; Fielding, S; Tarling, GA</t>
  </si>
  <si>
    <t>Manno, C.; Stowasser, G.; Enderlein, P.; Fielding, S.; Tarling, G. A.</t>
  </si>
  <si>
    <t>The contribution of zooplankton faecal pellets to deep-carbon transport in the Scotia Sea (Southern Ocean)</t>
  </si>
  <si>
    <t>NORTHWESTERN MEDITERRANEAN-SEA; NATURAL IRON FERTILIZATION; PARTICULATE ORGANIC-CARBON; MARGINAL ICE-ZONE; TERRA-NOVA BAY; PARTICLE-FLUX; SINKING RATES; VERTICAL FLUX; PHYTOPLANKTON BLOOMS; PACIFIC-OCEAN</t>
  </si>
  <si>
    <t>The northern Scotia Sea contains the largest seasonal uptake of atmospheric carbon dioxide yet measured in the Southern Ocean. This study examines one of the main routes by which this carbon fluxes to the deep ocean: through the production of faecal pellets (FPs) by the zoo-plankton community Deep sediment traps were deployed at two sites with contrasting ocean productivity regimes (P3, naturally iron-fertilized, and P2, iron-limited) within the same water mass The magnitude and seasonal pattern of particulate organic carbon (POC) and FPs in the traps was markedly different between the two sites. Maximum fluxes at P3 (22.91 mg C m(-2) d(-1); 2534 FP m(-2) d(-1)) were 1 order of magnitude higher than at P2 (4.01 mg C m(-2) d(-1); 915 FP m(-2) d(-1)), with flux at P3 exhibiting a double seasonal peak, compared to a single flatter peak at P2. The maximum contribution of FP carbon to the total amount of POC was twice as high at P3 (91%) compared to P2 (40 %). The dominant FP category at P3 varied between round, ovoidal, cylindrical and tabular over the course of the year, while, at P2, ovoidal FPs were consistently dominant, always making up more than 60 % of the FP assemblage. There was also a difference in the FP state between the two sites, with FPs being relatively intact at P3, while FPs were often fragmented with broken peritrophic membranes at P2. The exception was ovoidal FPs, which were relatively intact at both sites. Our observations suggest that there was a community shift from a herbivorous to an omnivorous diet from spring through to autumn at P3, while detritivores had a higher relative importance over the year at P2. Furthermore, the flux was mainly a product of the vertically migrating zooplankton community at P3, while the FP flux was more likely to be generated by deeper-dwelling zooplankton feeding on recycled material at P2. The results demonstrate that the feeding behaviour and vertical distribution of the zooplankton community plays a critical role in controlling the magnitude of carbon export to the deep ocean in this region.</t>
  </si>
  <si>
    <t>[Manno, C.; Stowasser, G.; Enderlein, P.; Fielding, S.; Tarling, G. A.] British Antarctic Survey, Nat Environm Res Council, Cambridge CB3 0ET, England</t>
  </si>
  <si>
    <t>Manno, C (corresponding author), British Antarctic Survey, Nat Environm Res Council, Madingley Rd, Cambridge CB3 0ET, England.</t>
  </si>
  <si>
    <t>clanno@bas.ac.uk</t>
  </si>
  <si>
    <t>Fielding, Sophie/E-5137-2012</t>
  </si>
  <si>
    <t>Stowasser, Gabriele/0000-0002-0595-0772</t>
  </si>
  <si>
    <t>NERC [bas0100025, bas0100035] Funding Source: UKRI; Natural Environment Research Council [bas0100025, bas0100035] Funding Source: researchfish</t>
  </si>
  <si>
    <t>NERC(UK Research &amp; Innovation (UKRI)Natural Environment Research Council (NERC)); Natural Environment Research Council(UK Research &amp; Innovation (UKRI)Natural Environment Research Council (NERC))</t>
  </si>
  <si>
    <t>10.5194/bg-12-1955-2015</t>
  </si>
  <si>
    <t>WOS:000352112900023</t>
  </si>
  <si>
    <t>Strutton, PG; Coles, VJ; Hood, RR; Matear, RJ; McPhaden, MJ; Phillips, HE</t>
  </si>
  <si>
    <t>Strutton, P. G.; Coles, V. J.; Hood, R. R.; Matear, R. J.; McPhaden, M. J.; Phillips, H. E.</t>
  </si>
  <si>
    <t>Biogeochemical variability in the central equatorial Indian Ocean during the monsoon transition</t>
  </si>
  <si>
    <t>RESEARCH MOORED ARRAY; SEA-SURFACE SALINITY; SEASONAL VARIABILITY; MIXED-LAYER; DIPOLE; CIRCULATION; DYNAMICS; BUDGET; MODEL; RAMA</t>
  </si>
  <si>
    <t>In this paper we examine time-series measurements of near-surface chlorophyll concentration from a mooring that was deployed at 80.5 degrees E on the equator in the Indian Ocean in 2010. These data reveal at least six striking spikes in chlorophyll from October through December, at approximately 2-week intervals, that coincide with the development of the fall Wyrtki jets during the transition between the summer and winter monsoons. Concurrent meteorological and in situ physical measurements from the mooring reveal that the chlorophyll pulses are associated with the intensification of eastward winds at the surface and eastward currents in the mixed layer. These observations are inconsistent with upwelling dynamics as they occur in the Atlantic and Pacific oceans, since eastward winds that force Wyrtki jet intensification should drive downwelling. The chlorophyll spikes could be explained by two alternative mechanisms: (1) turbulent entrainment of nutrients and/or chlorophyll from across the base of the mixed layer by wind stirring or Wyrtki jet-induced shear instability or (2) enhanced southward advection of high chlorophyll concentrations into the equatorial zone. The first mechanism is supported by the phasing and amplitude of the relationship between wind stress and chlorophyll, which suggests that the chlorophyll spikes are the result of turbulent entrainment driven by synoptic zonal wind events. The second mechanism is supported by the observation of eastward flows over the Chagos-Laccadive Ridge, generating high chlorophyll to the north of the equator. Occasional southward advection can then produce the chlorophyll spikes that are observed in the mooring record. Wind-forced biweekly mixed Rossby gravity waves are a ubiquitous feature of the ocean circulation in this region, and we examine the possibility that they may play a role in chlorophyll variability. Statistical analyses and results from the OFAM3 (Ocean Forecasting Australia Model, version 3) eddy-resolving model provide support for both mechanisms. However, the model does not reproduce the observed spikes in chlorophyll. Climatological satellite chlorophyll data show that the elevated chlorophyll concentrations in this region are consistently observed year after year and so are reflective of recurring large-scale wind-and circulation-induced productivity enhancement in the central equatorial Indian Ocean.</t>
  </si>
  <si>
    <t>[Strutton, P. G.; Phillips, H. E.] Univ Tasmania, Inst Marine &amp; Antarctic Studies, Hobart, Tas, Australia; [Strutton, P. G.; Phillips, H. E.] Australian Res Council, Ctr Excellence Climate Syst Sci, Hobart, Tas, Australia; [Coles, V. J.; Hood, R. R.] Univ Maryland, Ctr Environm Sci, Horn Point Lab, Cambridge, MD USA; [Matear, R. J.] Commonwealth Sci &amp; Ind Res Org, Marine &amp; Atmospher Res, Hobart, Tas, Australia; [McPhaden, M. J.] NOAA, Pacific Marine Environm Lab, Seattle, WA 98115 USA</t>
  </si>
  <si>
    <t>University of Tasmania; University System of Maryland; University of Maryland Center for Environmental Science; Commonwealth Scientific &amp; Industrial Research Organisation (CSIRO); National Oceanic Atmospheric Admin (NOAA) - USA</t>
  </si>
  <si>
    <t>Strutton, PG (corresponding author), Univ Tasmania, Inst Marine &amp; Antarctic Studies, Hobart, Tas, Australia.</t>
  </si>
  <si>
    <t>peter.strutton@utas.edu.au</t>
  </si>
  <si>
    <t>McPhaden, Michael J/D-9799-2016; Phillips, Helen/I-3761-2013; Coles, Victoria/AAB-3331-2022; Hood, Raleigh/AGW-0453-2022; matear, richard/C-5133-2011; Strutton, Peter/C-4466-2011</t>
  </si>
  <si>
    <t>Phillips, Helen/0000-0002-2941-7577; matear, richard/0000-0002-3225-0800; Strutton, Peter/0000-0002-2395-9471; Coles, Victoria/0000-0002-7247-0007; Hood, Raleigh/0000-0002-7248-3481</t>
  </si>
  <si>
    <t>Australian Research Council's Future Fellow scheme; Australian Research Council's Centre of Excellence for Climate System Science; Australian Research Council; CSIRO; CSIRO Wealth from Oceans National Flagship; NOAA</t>
  </si>
  <si>
    <t>Australian Research Council's Future Fellow scheme(Australian Research Council); Australian Research Council's Centre of Excellence for Climate System Science(Australian Research Council); Australian Research Council(Australian Research Council); CSIRO(Commonwealth Scientific &amp; Industrial Research Organisation (CSIRO)); CSIRO Wealth from Oceans National Flagship; NOAA(National Oceanic Atmospheric Admin (NOAA) - USA)</t>
  </si>
  <si>
    <t>P. G. Strutton is supported by the Australian Research Council's Future Fellow scheme and the Centre of Excellence for Climate System Science. H. E. Phillips is supported by the Australian Research Council's Discovery Project scheme and the Centre of Excellence for Climate System Science. R. Hood was supported by a CSIRO Frohlich fellowship. R. J. Matear is supported by the CSIRO Wealth from Oceans National Flagship. M. J. McPhaden is supported by NOAA. This is NOAA/PMEL contribution number 4113 and UMCES contribution number 4963.</t>
  </si>
  <si>
    <t>10.5194/bg-12-2367-2015</t>
  </si>
  <si>
    <t>CH2FG</t>
  </si>
  <si>
    <t>WOS:000353840500007</t>
  </si>
  <si>
    <t>Winterfeld, M; Laepple, T; Mollenhauer, G</t>
  </si>
  <si>
    <t>Winterfeld, M.; Laepple, T.; Mollenhauer, G.</t>
  </si>
  <si>
    <t>Characterization of particulate organic matter in the Lena River delta and adjacent nearshore zone, NE Siberia - Part I: Radiocarbon inventories</t>
  </si>
  <si>
    <t>LAPTEV SEA; ARCTIC-OCEAN; OLD CARBON; DOMINATED ESTUARY; POLYGONAL TUNDRA; PERMAFROST; COASTAL; DEGRADATION; QUATERNARY; TRANSPORT</t>
  </si>
  <si>
    <t>Particulate organic matter (POM) derived from permafrost soils and transported by the Lena River represents a quantitatively important terrestrial carbon pool exported to Laptev Sea sediments (next to POM derived from coastal erosion). Its fate in a future warming Arctic, i.e., its remobilization and remineralization after permafrost thawing as well as its transport pathways to and sequestration in marine sediments, is currently under debate. We present one of the first radiocarbon (C-14) data sets for surface water POM within the Lena Delta sampled in the summers of 2009-2010 and spring 2011 (n = 30 samples). The bulk Delta C-14 values varied from -55 to -391 parts per thousand translating into C-14 ages of 395 to 3920 years BP. We further estimated the fraction of soil-derived POM to our samples based on (1) particulate organic carbon to particulate nitrogen ratios (POC : PN) and (2) on the stable carbon isotope (delta C-13) composition of our samples. Assuming that this phytoplankton POM has a modern C-14 concentration, we inferred the C-14 concentrations of the soil-derived POM fractions. The results ranged from -322 to -884 parts per thousand (i.e., 3060 to 17 250 C-14 years BP) for the POC : PN-based scenario and from -261 to -944 parts per thousand (i.e., 2370 to 23 100 C-14 years BP) for the delta C-13-based scenario. Despite the limitations of our approach, the estimated Delta C-14 values of the soil-derived POM fractions seem to reflect the heterogeneous C-14 concentrations of the Lena River catchment soils covering a range from Holocene to Pleistocene ages better than the bulk POM Delta C-14 values. We further used a dual-carbon-isotope three-end-member mixing model to distinguish between POM contributions from Holocene soils and Pleistocene Ice Complex (IC) deposits to our soil-derived POM fraction. IC contributions are comparatively low (mean of 0.14) compared to Holocene soils (mean of 0.32) and riverine phytoplankton (mean of 0.55), which could be explained with the restricted spatial distribution of IC deposits within the Lena catchment. Based on our newly calculated soil-derived POM Delta C-14 values, we propose an isotopic range for the riverine soil-derived POM end member with Delta C-14 of -495 +/- 153 parts per thousand deduced from our delta C-13-based binary mixing model and delta C-13 of -26.6 +/- 1 parts per thousand deduced from our data of Lena Delta soils and literature values. These estimates can help to improve the dual-carbon-isotope simulations used to quantify contributions from riverine soil POM, Pleistocene IC POM from coastal erosion, and marine POM in Siberian shelf sediments.</t>
  </si>
  <si>
    <t>[Winterfeld, M.; Mollenhauer, G.] Helmholtz Zentrum Polar &amp; Meeresforsch, Alfred Wegener Inst, D-25570 Bremerhaven, Germany; [Winterfeld, M.; Mollenhauer, G.] Univ Bremen, Dept Geosci, D-28359 Bremen, Germany; [Laepple, T.] Helmholtz Zentrum Polar &amp; Meeresforsch, Alfred Wegener Inst, D-14473 Potsdam, Germany</t>
  </si>
  <si>
    <t>Helmholtz Association; Alfred Wegener Institute, Helmholtz Centre for Polar &amp; Marine Research; University of Bremen; Helmholtz Association; Alfred Wegener Institute, Helmholtz Centre for Polar &amp; Marine Research</t>
  </si>
  <si>
    <t>Winterfeld, M (corresponding author), Helmholtz Zentrum Polar &amp; Meeresforsch, Alfred Wegener Inst, Handelshafen 12, D-25570 Bremerhaven, Germany.</t>
  </si>
  <si>
    <t>Winterfeld, Maria/C-8211-2017; Mollenhauer, Gesine/B-5190-2015; Mollenhauer, Gesine/AAD-8167-2019; Laepple, Thomas/M-8783-2015</t>
  </si>
  <si>
    <t>Mollenhauer, Gesine/0000-0001-5138-564X; Mollenhauer, Gesine/0000-0001-5138-564X; Laepple, Thomas/0000-0001-8108-7520</t>
  </si>
  <si>
    <t>Helmholtz Young Investigators program of the Helmholtz Society; Alfred Wegener Institute</t>
  </si>
  <si>
    <t>The Helmholtz Young Investigators program of the Helmholtz Society (GM) and the Alfred Wegener Institute supported this study. We thank Waldemar Schneider from the Alfred Wegener Institute, Potsdam, Germany, and our Russian partners from the Tiksi Hydrobase, Lena Delta Reserve, and the Arctic and Antarctic Institute, St. Petersburg, for logistical support in preparation and during the expeditions. We acknowledge the good collaboration with the crews of the vessels Puteyski 405 and PTS during fieldwork in 2009 and 2010 and the help and good company of all participants of the LENA DELTA expeditions 2009-2011. We thank Ralph Kreutz and Peter Schreiber for taking samples in 2011 and Christiane Lorenzen (Alfred Wegener Institute, Bremerhaven, Germany) for suspended particulate organic carbon and nitrogen analysis. We further thank the two anonymous reviewers for their helpful and constructive comments, which considerably improved a previous version of this paper.</t>
  </si>
  <si>
    <t>10.5194/bg-12-3769-2015</t>
  </si>
  <si>
    <t>WOS:000357119000008</t>
  </si>
  <si>
    <t>Bowie, AR; van der Merwe, P; Quéroué, F; Trull, T; Fourquez, M; Planchon, F; Sarthou, G; Chever, F; Townsend, AT; Obernosterer, I; Sallée, JB; Blain, S</t>
  </si>
  <si>
    <t>Bowie, A. R.; van der Merwe, P.; Queroue, F.; Trull, T.; Fourquez, M.; Planchon, F.; Sarthou, G.; Chever, F.; Townsend, A. T.; Obernosterer, I.; Sallee, J. -B.; Blain, S.</t>
  </si>
  <si>
    <t>Iron budgets for three distinct biogeochemical sites around the Kerguelen Archipelago (Southern Ocean) during the natural fertilisation study, KEOPS-2</t>
  </si>
  <si>
    <t>DISSOLVED IRON; PHYTOPLANKTON BLOOM; TRACE-ELEMENTS; CARBON EXPORT; ORGANIC-LIGANDS; MARINE SEDIMENT; WATER COLUMN; PLATEAU; PARTICLES; ISLANDS</t>
  </si>
  <si>
    <t>Iron availability in the Southern Ocean controls phytoplankton growth, community composition and the uptake of atmospheric CO2 by the biological pump. The KEOPS-2 (KErguelen Ocean and Plateau compared Study 2) process study, took place around the Kerguelen Plateau in the Indian sector of the Southern Ocean. This is a region naturally fertilised with iron on the scale of hundreds to thousands of square kilometres, producing a mosaic of spring blooms which show distinct biological and biogeochemical responses to fertilisation. This paper presents biogeochemical iron budgets (incorporating vertical and lateral supply, internal cycling, and sinks) for three contrasting sites: an upstream high-nutrient low-chlorophyll reference, over the plateau and in the offshore plume east of the Kerguelen Islands. These budgets show that distinct regional environments driven by complex circulation and transport path-ways are responsible for differences in the mode and strength of iron supply, with vertical supply dominant on the plateau and lateral supply dominant in the plume. Iron supply from new sources (diffusion, upwelling, entrainment, lateral advection, atmospheric dust) to the surface waters of the plume was double that above the plateau and 20 times greater than at the reference site, whilst iron demand (measured by cellular uptake) in the plume was similar to that above the plateau but 40 times greater than at the reference site. Recycled iron supply by bacterial regeneration and zooplankton grazing was a relatively minor component at all sites (&lt;8% of new supply), in contrast to earlier findings from other bio-geochemical iron budgets in the Southern Ocean. Over the plateau, a particulate iron dissolution term of 2.5% was invoked to balance the budget; this approximately doubled the standing stock of dissolved iron in the mixed layer. The ex-change of iron between dissolved, biogenic particulate and lithogenic particulate pools was highly dynamic in time and space, resulting in a decoupling of the iron supply and carbon export and, importantly, controlling the efficiency of fertilisation.</t>
  </si>
  <si>
    <t>[Bowie, A. R.; van der Merwe, P.; Queroue, F.; Trull, T.] ACE CRC, Hobart, Tas 7001, Australia; [Bowie, A. R.; Queroue, F.; Fourquez, M.] Univ Tasmania, IMAS, Hobart, Tas 7001, Australia; [Bowie, A. R.; Queroue, F.; Planchon, F.; Sarthou, G.; Chever, F.] IUEM, UBO CNRS IRD IFREMER UMR6539, Lab Sci Environm Marin LEMAR, F-29280 Plouzane, France; [Trull, T.] CSIRO Marine &amp; Atmospher Res, Hobart, Tas 7000, Australia; [Fourquez, M.; Obernosterer, I.; Blain, S.] Univ Paris 06, Lab Oceanog Microbienne LOMIC, UMR CNRS UPMC 7621, F-66650 Banyuls Sur Mer, France; [Townsend, A. T.] Univ Tasmania, CSL, Hobart, Tas 7001, Australia; [Sallee, J. -B.] Univ Paris 06, Sorbonne Univ, UMR 7159, LOCEAN IPSL, F-75005 Paris, France; [Sallee, J. -B.] CNRS, UMR 7159, LOCEAN IPSL, F-75005 Paris, France; [Sallee, J. -B.] British Antarctic Survey, Cambridge CB3 0ET, England</t>
  </si>
  <si>
    <t>Antarctic Climate &amp; Ecosystems Cooperative Research Centre (ACE CRC); University of Tasmania; Centre National de la Recherche Scientifique (CNRS); CNRS - Institute of Ecology &amp; Environment (INEE); Universite de Bretagne Occidentale; Institut Universitaire Europeen de la Mer (IUEM); Ifremer; Institut de Recherche pour le Developpement (IRD); Commonwealth Scientific &amp; Industrial Research Organisation (CSIRO); Sorbonne Universite; University of Tasmania; Sorbonne Universite; Centre National de la Recherche Scientifique (CNRS); CNRS - National Institute for Earth Sciences &amp; Astronomy (INSU); Museum National d'Histoire Naturelle (MNHN); Centre National de la Recherche Scientifique (CNRS); CNRS - National Institute for Earth Sciences &amp; Astronomy (INSU); Sorbonne Universite; Museum National d'Histoire Naturelle (MNHN); UK Research &amp; Innovation (UKRI); Natural Environment Research Council (NERC); NERC British Antarctic Survey</t>
  </si>
  <si>
    <t>Bowie, AR (corresponding author), ACE CRC, Private Bag 80, Hobart, Tas 7001, Australia.</t>
  </si>
  <si>
    <t>andrew.bowie@utas.edu.au</t>
  </si>
  <si>
    <t>Townsend, Ashley/J-7445-2014; Frederic, Planchon A.M./A-8651-2010; Trull, Tom W/B-7028-2014; SALLEE, Jean baptiste/HDO-5355-2022; Obernosterer, Ingrid/A-5434-2011; SALLEE, Jean baptiste/A-5837-2010; van der Merwe, Pier/C-9210-2015; Bowie, Andrew/C-8677-2013; blain, stephane/F-6917-2010</t>
  </si>
  <si>
    <t>Townsend, Ashley/0000-0002-2972-2678; Obernosterer, Ingrid/0000-0002-2530-8111; SALLEE, Jean baptiste/0000-0002-6109-5176; van der Merwe, Pier/0000-0002-7428-8030; Fourquez, Marion/0000-0001-5395-4877; Bowie, Andrew/0000-0002-5144-7799; blain, stephane/0000-0002-5234-2446; Sarthou, Geraldine/0000-0001-6560-6669; Planchon, Frederic/0000-0003-1288-9698</t>
  </si>
  <si>
    <t>Australian Research Council LIEF funds [LE0989539]; French Research program of INSU-CNRS LEFE-CYBER; French ANR (Agence Nationale de la Recherche) [ANR-2010-BLAN-614 KEOPS2, ANR-10-JCJC-606 ICOP]; French CNES program (Centre National d'Etudes Spatiales); French Polar Institute IPEV (Institut Polaire Paul-Emile Victor); Antarctic Climate and Ecosystems Cooperative Research Centre; University of Tasmania Rising Stars award; NERC [bas0100033, bas0100028] Funding Source: UKRI; Natural Environment Research Council [bas0100033, bas0100028] Funding Source: researchfish</t>
  </si>
  <si>
    <t>Australian Research Council LIEF funds(Australian Research Council); French Research program of INSU-CNRS LEFE-CYBER; French ANR (Agence Nationale de la Recherche)(Agence Nationale de la Recherche (ANR)); French CNES program (Centre National d'Etudes Spatiales); French Polar Institute IPEV (Institut Polaire Paul-Emile Victor); Antarctic Climate and Ecosystems Cooperative Research Centre(Australian GovernmentDepartment of Industry, Innovation and ScienceCooperative Research Centres (CRC) Programme); University of Tasmania Rising Stars award; NERC(UK Research &amp; Innovation (UKRI)Natural Environment Research Council (NERC)); Natural Environment Research Council(UK Research &amp; Innovation (UKRI)Natural Environment Research Council (NERC))</t>
  </si>
  <si>
    <t>We thank the captain B. Lassiette, officers and crew of RV Marion Dufresne, Pierre Sangiardi (Institut Paul-Emile Victor) and the Institut National des Sciences de l'Univers for voyage logistics and their support of the science, and voyage leader Bernard Queguiner (Institut Mediterraneen d'Oceanologie) and chief scientist Stephane Blain (LOMIC, Universite Pierre et Marie Curie) for leading the KEOPS-2 expedition. We acknowledge Thomas Rodemann (UTAS) for CHN analysis in the Central Science Laboratory, together with members of the ISP and P-trap teams for support at sea. Michael Ellwood (Australian National University) kindly loaned the TMR for the project. Access to ICP-MS was provided through Australian Research Council LIEF funds (LE0989539). The altimeter and colour and temperature products for the Kerguelen area were produced by Ssalto/Duacs and CLS with support from CNES and kindly prepared by Emmanuel Laurenceau-Cornec (UTAS) and Francesco d'Ovidio (LO-CEAN - IPSL, Universite Pierre et Marie Curie). We thank Isabella Rosso (Australian National University) for useful discussion.; This KEOPS-2 project was supported by the French Research program of INSU-CNRS LEFE-CYBER (Les enveloppes fluides et l'environnement - Cycles biogeochimiques, environnement et ressources), the French ANR (Agence Nationale de la Recherche, SIMI-6 program, ANR-2010-BLAN-614 KEOPS2 and, ANR-10-JCJC-606 ICOP), the French CNES program (Centre National d'Etudes Spatiales) and the French Polar Institute IPEV (Institut Polaire Paul-Emile Victor). The Australian participation in the project was supported by the Antarctic Climate and Ecosystems Cooperative Research Centre and a University of Tasmania Rising Stars award to the lead author.</t>
  </si>
  <si>
    <t>10.5194/bg-12-4421-2015</t>
  </si>
  <si>
    <t>CN9WJ</t>
  </si>
  <si>
    <t>WOS:000358800900016</t>
  </si>
  <si>
    <t>Leung, S; Cabré, A; Marinov, I</t>
  </si>
  <si>
    <t>Leung, S.; Cabre, A.; Marinov, I.</t>
  </si>
  <si>
    <t>A latitudinally banded phytoplankton response to 21st century climate change in the Southern Ocean across the CMIP5 model suite</t>
  </si>
  <si>
    <t>EARTH SYSTEM MODEL; ANNULAR MODE; PRIMARY PRODUCTIVITY; CARBON-CYCLE; IRON LIMITATION; CHLOROPHYLL; ECOSYSTEM; TRENDS; SIMULATIONS; VARIABILITY</t>
  </si>
  <si>
    <t>Changes in Southern Ocean (SO) phytoplankton distributions with future warming have the potential to significantly alter nutrient and carbon cycles as well as higher trophic level productivity both locally and throughout the global ocean. Here we investigate the response of SO phytoplankton productivity and biomass to 21st century climate change across the CMIP5 Earth System Model suite. The models predict a zonally banded pattern of phytoplankton abundance and production changes within four regions: the subtropical (similar to 30 to 40 degrees S), transitional (similar to 40 to 50 degrees S), subpolar (similar to 50 to 65 degrees S) and Antarctic (south of similar to 65 degrees S) bands. We find that shifts in bottom-up variables (nitrate, iron and light availability) drive changes in phytoplankton abundance and production on not only interannual, but also decadal and 100-year timescales - the timescales most relevant to climate change. Spatial patterns in the modelled mechanisms driving these biomass trends qualitatively agree with recent observations, though longer-term records are needed to separate the effects of climate change from those of interannual variability. Because much past observational work has focused on understanding the effects of the Southern Annular Mode (SAM) on biology, future work should attempt to quantify the precise influence of an increasingly positive SAM on SO biology within the CMIP5 models. Continued long-term in situ and satellite measurements of SO biology are clearly needed to confirm model findings.</t>
  </si>
  <si>
    <t>[Leung, S.] Univ Washington, Sch Oceanog, Seattle, WA 98195 USA; [Leung, S.; Cabre, A.; Marinov, I.] Univ Penn, Dept Earth &amp; Environm Sci, Philadelphia, PA 19104 USA</t>
  </si>
  <si>
    <t>University of Washington; University of Washington Seattle; University of Pennsylvania</t>
  </si>
  <si>
    <t>Leung, S (corresponding author), Univ Washington, Sch Oceanog, Seattle, WA 98195 USA.</t>
  </si>
  <si>
    <t>shirlleu@uw.edu</t>
  </si>
  <si>
    <t>Leung, Shirley/H-9684-2019</t>
  </si>
  <si>
    <t>Leung, Shirley/0000-0002-6659-6420; Cabre, Anna/0000-0002-9739-6704</t>
  </si>
  <si>
    <t>NASA ROSES grant [NNX13AC92G]; University of Pennsylvania research foundation grant; NASA [475855, NNX13AC92G] Funding Source: Federal RePORTER</t>
  </si>
  <si>
    <t>NASA ROSES grant; University of Pennsylvania research foundation grant; NASA(National Aeronautics &amp; Space Administration (NASA))</t>
  </si>
  <si>
    <t>A. Cabre and I. Marinov acknowledge support by NASA ROSES grant NNX13AC92G and a University of Pennsylvania research foundation grant.</t>
  </si>
  <si>
    <t>10.5194/bg-12-5715-2015</t>
  </si>
  <si>
    <t>CT7CY</t>
  </si>
  <si>
    <t>WOS:000362972200011</t>
  </si>
  <si>
    <t>Boike, J; Georgi, C; Kirilin, G; Muster, S; Abramova, K; Fedorova, I; Chetverova, A; Grigoriev, M; Bornemann, N; Langer, M</t>
  </si>
  <si>
    <t>Boike, J.; Georgi, C.; Kirilin, G.; Muster, S.; Abramova, K.; Fedorova, I.; Chetverova, A.; Grigoriev, M.; Bornemann, N.; Langer, M.</t>
  </si>
  <si>
    <t>Thermal processes of thermokarst lakes in the continuous permafrost zone of northern Siberia - observations and modeling (Lena River Delta, Siberia)</t>
  </si>
  <si>
    <t>SURFACE-ENERGY BALANCE; POLYGONAL TUNDRA SITE; ARCTIC COASTAL-PLAIN; REGIONAL CLIMATE; THAW LAKES; METHANE; REGIMES; PONDS; TEMPERATURES; VARIABILITY</t>
  </si>
  <si>
    <t>Thermokarst lakes are typical features of the northern permafrost ecosystems, and play an important role in the thermal exchange between atmosphere and subsurface. The objective of this study is to describe the main thermal processes of the lakes and to quantify the heat exchange with the underlying sediments. The thermal regimes of five lakes located within the continuous permafrost zone of northern Siberia (Lena River Delta) were investigated using hourly water temperature and water level records covering a 3-year period (2009-2012), together with bathymetric survey data. The lakes included thermokarst lakes located on Holocene river terraces that may be connected to Lena River water during spring flooding, and a thermokarst lake located on deposits of the Pleistocene Ice Complex. Lakes were covered by ice up to 2m thick that persisted for more than 7 months of the year, from October until about mid-June. Lake-bottom temperatures increased at the start of the ice-covered period due to upward-directed heat flux from the underlying thawed sediment. Prior to ice break-up, solar radiation effectively warmed the water beneath the ice cover and induced convective mixing. Ice break-up started at the beginning of June and lasted until the middle or end of June. Mixing occurred within the entire water column from the start of ice break-up and continued during the ice-free periods, as confirmed by the Wedderburn numbers, a quantitative measure of the balance between wind mixing and stratification that is important for describing the biogeochemical cycles of lakes. The lake thermal regime was modeled numerically using the FLake model. The model demonstrated good agreement with observations with regard to the mean lake temperature, with a good reproduction of the summer stratification during the ice-free period, but poor agreement during the ice-covered period. Modeled sensitivity to lake depth demonstrated that lakes in this climatic zone with mean depths &gt; 5m develop continuous stratification in summer for at least 1 month. The modeled vertical heat flux across the bottom sediment tends towards an annual mean of zero, with maximum downward fluxes of about 5Wm(-2) in summer and with heat released back into the water column at a rate of less than 1Wm(-2) during the ice-covered period. The lakes are shown to be efficient heat absorbers and effectively distribute the heat through mixing. Monthly bottom water temperatures during the ice-free period range up to 15 degrees C and are therefore higher than the associated monthly air or ground temperatures in the surrounding frozen permafrost landscape. The investigated lakes remain unfrozen at depth, with mean annual lake-bottom temperatures of between 2.7 and 4 degrees C.</t>
  </si>
  <si>
    <t>[Boike, J.; Georgi, C.; Muster, S.; Bornemann, N.; Langer, M.] Helmholtz Ctr Polar &amp; Marine Res, Alfred Wegener Inst, D-14473 Potsdam, Germany; [Kirilin, G.] Leibniz Inst Freshwater Ecol &amp; Inland Fisheries I, D-12587 Berlin, Germany; [Abramova, K.] Lena Delta Nat Reserve, Tiksi, Sakha Republic, Russia; [Fedorova, I.; Chetverova, A.] St Petersburg State Univ, Inst Earth Sci, St Petersburg 199178, Russia; [Fedorova, I.; Chetverova, A.] Arctic &amp; Antarctic Res Inst, St Petersburg 199397, Russia; [Fedorova, I.] Kazan Fed Univ, Kazan, Russia; [Grigoriev, M.] Russian Acad Sci, Melnikov Permafrost Inst, Siberian Branch, Yakutsk, Russia; [Langer, M.] Lab Glaciol &amp; Geophys Environm, F-38402 St Martin Dheres, France</t>
  </si>
  <si>
    <t>Helmholtz Association; Alfred Wegener Institute, Helmholtz Centre for Polar &amp; Marine Research; Leibniz Institut fur Gewasserokologie und Binnenfischerei (IGB); Saint Petersburg State University; Arctic &amp; Antarctic Research Institute; Kazan Federal University; Melnikov Permafrost Institute, Siberian Branch of the RAS; Russian Academy of Sciences</t>
  </si>
  <si>
    <t>Boike, J (corresponding author), Helmholtz Ctr Polar &amp; Marine Res, Alfred Wegener Inst, Telegrafenberg A43, D-14473 Potsdam, Germany.</t>
  </si>
  <si>
    <t>julia.boike@awi.de</t>
  </si>
  <si>
    <t>Boike, Julia/JCE-5402-2023; Kirillin, Georgiy/B-5410-2010; Boike, Julia/JZT-8129-2024; Boike, Julia/R-4766-2016; Cheterova, Antonina/N-1019-2013; Muster, Sina/G-6653-2014; Fedorova, Irina/N-3436-2013</t>
  </si>
  <si>
    <t>Kirillin, Georgiy/0000-0001-7337-3586; Boike, Julia/0000-0002-5875-2112; Boike, Julia/0000-0002-5875-2112; Cheterova, Antonina/0000-0001-7461-3617; Bornemann, Niko/0000-0001-5415-509X; Langer, Moritz/0000-0002-2704-3655; Muster, Sina/0000-0002-2328-5120; Fedorova, Irina/0000-0001-5370-427X</t>
  </si>
  <si>
    <t>European Union's FP7-ENV PAGE21 project [GA282700]; Alexander-von-Humboldt Foundation</t>
  </si>
  <si>
    <t>European Union's FP7-ENV PAGE21 project; Alexander-von-Humboldt Foundation(Alexander von Humboldt Foundation)</t>
  </si>
  <si>
    <t>The logistical support provided by the Russian Research station on Samoylov Island is gratefully acknowledged. Field support, including data collection, was provided by Grigoriy Soloviev, Waldemar Schneider, Gunther Stoof, and Karoline Wischnewski. Elizabeth Miller, Max Heikenfeld, Wil Lieberman-Cribbin and Stephan Lange assisted with the data analysis and helpful discussions. The authors acknowledge the financial support provided through the European Union's FP7-ENV PAGE21 project under contract number GA282700, and through the Feodor Lynen grant from the Alexander-von-Humboldt Foundation awarded to Moritz Langer. The research was carried out under the Russian government's Program of Competitive Growth, Kazan Federal University.</t>
  </si>
  <si>
    <t>10.5194/bg-12-5941-2015</t>
  </si>
  <si>
    <t>CU0CC</t>
  </si>
  <si>
    <t>WOS:000363182200004</t>
  </si>
  <si>
    <t>Hauri, C; Doney, SC; Takahashi, T; Erickson, M; Jiang, G; Ducklow, HW</t>
  </si>
  <si>
    <t>Hauri, C.; Doney, S. C.; Takahashi, T.; Erickson, M.; Jiang, G.; Ducklow, H. W.</t>
  </si>
  <si>
    <t>Two decades of inorganic carbon dynamics along the West Antarctic Peninsula</t>
  </si>
  <si>
    <t>ICE-ZONE WEST; SEA-ICE; OCEAN ACIDIFICATION; CLIMATE-CHANGE; COMMUNITY STRUCTURE; MARINE ECOSYSTEM; WATERS WEST; PHYTOPLANKTON; VARIABILITY; SEAWATER</t>
  </si>
  <si>
    <t>We present 20 years of seawater inorganic carbon measurements collected along the western shelf and slope of the Antarctic Peninsula. Water column observations from summertime cruises and seasonal surface underway pCO(2) measurements provide unique insights into the spatial, seasonal, and interannual variability in this dynamic system. Discrete measurements from depths &gt;2000 m align well with World Ocean Circulation Experiment observations across the time series and underline the consistency of the data set. Surface total alkalinity and dissolved inorganic carbon data showed large spatial gradients, with a concomitant wide range of Omega(arag) (&lt;1 up to 3.9). This spatial variability was mainly driven by increasing influence of biological productivity towards the southern end of the sampling grid and meltwater input along the coast towards the northern end. Large inorganic carbon drawdown through biological production in summer caused high near-shore Omega(arag) despite glacial and sea-ice meltwater input. In support of previous studies, we observed Redfield behavior of regional C/N nutrient utilization, while the C/P (80.5 +/- 2.5) and N/P (11.7 +/- 0.3) molar ratios were significantly lower than the Redfield elemental stoichiometric values. Seasonal salinity-based predictions of Omega(arag) suggest that surface waters remained mostly supersaturated with regard to aragonite throughout the study. However, more than 20% of the predictions for winters and springs between 1999 and 2013 resulted in Omega(arag) &lt; 1.2. Such low levels of Omega(arag) may have implications for important organisms such as pteropods. Even though we did not detect any statistically significant long-term trends, the combination of ongoing ocean acidification and freshwater input may soon induce more unfavorable conditions than the ecosystem experiences today.</t>
  </si>
  <si>
    <t>[Hauri, C.] Univ Hawaii, SOEST, Int Pacific Res Ctr, Honolulu, HI 96822 USA; [Hauri, C.] Univ Alaska Fairbanks, Int Arctic Res Ctr, Fairbanks, AK USA; [Hauri, C.] Woods Hole Oceanog Inst, Dept Marine Chem &amp; Geochem, Woods Hole, MA 02543 USA; [Takahashi, T.; Ducklow, H. W.] Columbia Univ, Lamont Doherty Geol Observ, Palisades, NY 10964 USA; [Jiang, G.] Univ Melbourne, Sch Earth Sci, Melbourne, Vic, Australia</t>
  </si>
  <si>
    <t>University of Hawaii System; University of Alaska System; University of Alaska Fairbanks; Woods Hole Oceanographic Institution; Columbia University; University of Melbourne; Melbourne Bioinformatics</t>
  </si>
  <si>
    <t>Hauri, C (corresponding author), Univ Hawaii, SOEST, Int Pacific Res Ctr, Honolulu, HI 96822 USA.</t>
  </si>
  <si>
    <t>chauri@alaska.edu</t>
  </si>
  <si>
    <t>/AAL-3738-2021; Doney, Scott/F-9247-2010</t>
  </si>
  <si>
    <t>Doney, Scott/0000-0002-3683-2437</t>
  </si>
  <si>
    <t>National Science Foundation [NSF OPP-90-11927, OPP-96-32763, OPP-02-17282, OPP-08-23101, PLR-1440435]; United States NOAA [NA10OAR4320143]; Directorate For Geosciences; Office of Polar Programs (OPP) [1341647] Funding Source: National Science Foundation</t>
  </si>
  <si>
    <t>National Science Foundation(National Science Foundation (NSF)); United States NOAA(National Oceanic Atmospheric Admin (NOAA) - USA); Directorate For Geosciences; Office of Polar Programs (OPP)(National Science Foundation (NSF)NSF - Directorate for Geosciences (GEO))</t>
  </si>
  <si>
    <t>We thank past and present members of the Palmer LTER program as well as the captains and crew of the US Antarctic research vessels. We are especially grateful to Richard Iannuzzi and James Conners for their support with data management, and to Tim Newberger for underway pCO2 measurements. We gladly acknowledge support from the National Science Foundation Polar Programs (NSF OPP-90-11927, OPP-96-32763, OPP-02-17282, OPP-08-23101, and PLR-1440435). T. Takahashi and the Ship of Opportunity Observation Program (SOOP) were supported by a grant (NA10OAR4320143) from the United States NOAA. This is International Pacific Research Center contribution number 1117.</t>
  </si>
  <si>
    <t>10.5194/bg-12-6761-2015</t>
  </si>
  <si>
    <t>CX1FT</t>
  </si>
  <si>
    <t>WOS:000365442600014</t>
  </si>
  <si>
    <t>Bjorge, E</t>
  </si>
  <si>
    <t>Bjorge, Eirik</t>
  </si>
  <si>
    <t>Been There, Done That: The Margin of Appreciation and International Law</t>
  </si>
  <si>
    <t>CAMBRIDGE INTERNATIONAL LAW JOURNAL</t>
  </si>
  <si>
    <t>Margin of Appreciation; Deference; Standard of Review; International Courts and Tribunals; European Convention on Human Rights</t>
  </si>
  <si>
    <t>The margin of appreciation, as a doctrine of international law, has a great future behind it. It was once thought to be the panacea that would solve international law's problems, but has in fact diminished in importance in international law. Contrary to what is often argued, the doctrine of the margin of appreciation originated in early public international law, not in Continental domestic public law. In the course of the twentieth century, international law discarded the doctrine. he preferred standard of review, as the International Court set out in Whaling in the Antarctic, is 'an objective one'. In the sphere where the margin of appreciation is most famously in operation, the law of European human rights, it is being supplanted by the doctrine of subsidiarity. The margin of appreciation is, in international law, an aberration. It is time we treated it as such.</t>
  </si>
  <si>
    <t>[Bjorge, Eirik] Univ Oxford, Jesus Coll, Law, Oxford, England</t>
  </si>
  <si>
    <t>Bjorge, E (corresponding author), Univ Oxford, Jesus Coll, Law, Oxford, England.</t>
  </si>
  <si>
    <t>EDWARD ELGAR PUBLISHING LTD</t>
  </si>
  <si>
    <t>CHELTENHAM</t>
  </si>
  <si>
    <t>THE LYPIATTS, 15 LANSDOWN RD, CHELTENHAM, GLOS GL50 2JA, ENGLAND</t>
  </si>
  <si>
    <t>2398-9173</t>
  </si>
  <si>
    <t>2398-9181</t>
  </si>
  <si>
    <t>CAMB INT LAW J</t>
  </si>
  <si>
    <t>Camb. Int. Law J.</t>
  </si>
  <si>
    <t>10.7574/cjicl.04.01.181</t>
  </si>
  <si>
    <t>VC5FT</t>
  </si>
  <si>
    <t>WOS:000433814500010</t>
  </si>
  <si>
    <t>Pinkerton, MH; Maolagáin, CO</t>
  </si>
  <si>
    <t>Pinkerton, M. H.; Maolagain, C. O.</t>
  </si>
  <si>
    <t>Discrimination of Macrourus whitsoni and M-caml (Gadiformes, Macrouridae) using otolith morphometrics</t>
  </si>
  <si>
    <t>CCAMLR SCIENCE</t>
  </si>
  <si>
    <t>TOOTHFISH DISSOSTICHUS-MAWSONI; ROSS SEA; GRENADIER MACROURUS; BIGEYE GRENADIER; SAGITTAL OTOLITH; AGE ESTIMATION; MORPHOLOGY; SHAPE; IDENTIFICATION; BIOLOGY</t>
  </si>
  <si>
    <t>That the predominant by-catch of grenadier by the toothfish fishery in the Ross Sea region is comprised of two species, rather than being solely Macrourus whitsoni, was recognised in 2010 with the identification of a new species, M. caml. Grenadier are the main by-catch in the toothfish fishery and modelling suggests that they may be subject to predation release as the abundance of toothfish reduces. In order to improve information on the spatial distribution, age-frequency and relative importance of grenadiers as prey to toothfish, a method of distinguishing between otoliths of the two species was sought. Based on 220 M. whitsoni and 307 M. caml otoliths, a linear function of fish total length, the depth of the otolith and the otolith vertically projected area gave excellent discrimination between the two species (92% success). A method was also developed to discriminate between otoliths of M. whitsoni and M. caml using otolith parameters alone. This method correctly identified 90% of otoliths to species and could be applied to otoliths removed from toothfish stomachs to estimate the relative consumption of the two species of grenadier. Models to estimate fish length, weight and age from otolith parameters are also presented.</t>
  </si>
  <si>
    <t>[Pinkerton, M. H.; Maolagain, C. O.] Natl Inst Water &amp; Atmospher Res NIWA Ltd, Private Bag 14901, Wellington 6241, New Zealand</t>
  </si>
  <si>
    <t>Pinkerton, MH (corresponding author), Natl Inst Water &amp; Atmospher Res NIWA Ltd, Private Bag 14901, Wellington 6241, New Zealand.</t>
  </si>
  <si>
    <t>m.pinkerton@niwa.co.nz</t>
  </si>
  <si>
    <t>marriott, peter/0000-0003-2299-4678</t>
  </si>
  <si>
    <t>New Zealand Ministry for Primary Industries [ANT2012-01 Obj 7C]; Ministry for Business, Innovation and Employment [C01X1001, C01X1226]; New Zealand Ministry of Business, Innovation &amp; Employment (MBIE) [C01X1226, C01X1001] Funding Source: New Zealand Ministry of Business, Innovation &amp; Employment (MBIE)</t>
  </si>
  <si>
    <t>New Zealand Ministry for Primary Industries; Ministry for Business, Innovation and Employment(New Zealand Ministry of Business, Innovation and Employment (MBIE)); New Zealand Ministry of Business, Innovation &amp; Employment (MBIE)(New Zealand Ministry of Business, Innovation and Employment (MBIE))</t>
  </si>
  <si>
    <t>Funding for this work was provided by the New Zealand Ministry for Primary Industries (project ANT2012-01 Obj 7C) with co-funding from the Ministry for Business, Innovation and Employment (projects C01X1001 and C01X1226). Samples were provided by scientific observers in the Ross Sea toothfish fishery, and the assistance of the crew of the fishing vessels Antarctic Chieftain, Janas, San Aotea II and San Aspiring is acknowledged. The New Zealand Antarctic Fisheries Working Group, Stuart Hanchet, Keith Reid, Vladimir Laptikhovsky, Dirk Welsford and an anonymous reviewer are thanked for comments and suggestions that helped improve the paper.</t>
  </si>
  <si>
    <t>C C A M L R TI</t>
  </si>
  <si>
    <t>NORTH HOBART</t>
  </si>
  <si>
    <t>PO BOX 213, NORTH HOBART, TAS 7002, AUSTRALIA</t>
  </si>
  <si>
    <t>1023-4063</t>
  </si>
  <si>
    <t>CCAMLR SCI</t>
  </si>
  <si>
    <t>CCAMLR Sci.</t>
  </si>
  <si>
    <t>Fisheries</t>
  </si>
  <si>
    <t>DD4HY</t>
  </si>
  <si>
    <t>WOS:000369884300002</t>
  </si>
  <si>
    <t>Scholes, B; Scholes, M; Lucas, M</t>
  </si>
  <si>
    <t>Scholes, Bob; Scholes, Mary; Lucas, Mike</t>
  </si>
  <si>
    <t>Are South Africa's Prince Edward Islands vulnerable to climate change?</t>
  </si>
  <si>
    <t>CLIMATE CHANGE: BRIEFINGS FROM SOUTHERN AFRICA</t>
  </si>
  <si>
    <t>Sub-Antarctic islands are a sensitive early warning system for climate change. Over the past decades, South African scientists at Marion Island have recorded warmer seas around the islands and much warmer air temperatures on the islands. This has been accompanied by a reduction in mountain-top ice volume and changes in the plankton, plant, bird and mammal populations - all clearly linked to climate change.</t>
  </si>
  <si>
    <t>WITS UNIV PRESS</t>
  </si>
  <si>
    <t>JOHANNESBURG</t>
  </si>
  <si>
    <t>PO WITS, JOHANNESBURG, 2050, SOUTH AFRICA</t>
  </si>
  <si>
    <t>978-1-86814-918-6</t>
  </si>
  <si>
    <t>BI2DT</t>
  </si>
  <si>
    <t>WOS:000408825800036</t>
  </si>
  <si>
    <t>How are Antarctica and the Southern Ocean responding to climate change?</t>
  </si>
  <si>
    <t>South Africa is one of the three major 'gateways' to Antarctica, along with South America and New Zealand. South Africa was one of 12 original signatories to the Antarctic Treaty, ratified in 1960. The Treaty's purpose is to protect Antarctica and to set aside the continent, the surrounding sub-Antarctic islands and the Southern Ocean (mostly south of 60 degrees S), solely and permanently for peaceful purposes and for cooperative scientific research. One of the conditions of being part of the Treaty is that South Africa must maintain a year-round base on Antarctica (SANAE IV) and engage in cooperative research activities. SANAE IV conducts various forms of cutting-edge research in the fields of astronomical, atmospheric, meteorological, geological and life sciences throughout the year. In addition, the South African National Antarctic Programme (SANAP) maintains a presence on Marion Island that includes managing Marion and Prince Edward Islands and the surrounding 200 km exclusive economic zone (EEZ) as South African territory, and it also runs an important meteorological station on Gough Island. SANAP's brief includes providing logistical support for oceanographic research and weather observations in the Southern Ocean, particularly in the context of marine living resources and climate change. To fulfil this role, South Africa commissioned Finland to build a new state-of-the-art polar resupply and research vessel, the SA Agulhas II, which arrived in Cape Town in May 2012 and has since carried out a number of valuable scientific voyages.</t>
  </si>
  <si>
    <t>WOS:000408825800037</t>
  </si>
  <si>
    <t>Buizert, C; Cuffey, KM; Severinghaus, JP; Baggenstos, D; Fudge, TJ; Steig, EJ; Markle, BR; Winstrup, M; Rhodes, RH; Brook, EJ; Sowers, TA; Clow, GD; Cheng, H; Edwards, RL; Sigl, M; McConnell, JR; Taylor, KC</t>
  </si>
  <si>
    <t>Buizert, C.; Cuffey, K. M.; Severinghaus, J. P.; Baggenstos, D.; Fudge, T. J.; Steig, E. J.; Markle, B. R.; Winstrup, M.; Rhodes, R. H.; Brook, E. J.; Sowers, T. A.; Clow, G. D.; Cheng, H.; Edwards, R. L.; Sigl, M.; McConnell, J. R.; Taylor, K. C.</t>
  </si>
  <si>
    <t>The WAIS Divide deep ice core WD2014 chronology - Part 1: Methane synchronization (68-31 kaBP) and the gas age-ice age difference</t>
  </si>
  <si>
    <t>ANTARCTIC ICE; POLAR ICE; ATMOSPHERIC METHANE; CLIMATE-CHANGE; FIRN-AIR; TEMPERATURE RECONSTRUCTION; CAMP CENTURY; HULU CAVE; GREENLAND; SCALE</t>
  </si>
  <si>
    <t>The West Antarctic Ice Sheet Divide (WAIS Divide, WD) ice core is a newly drilled, high-accumulation deep ice core that provides Antarctic climate records of the past similar to 68 ka at unprecedented temporal resolution. The upper 2850m (back to 31.2 ka BP) have been dated using annual-layer counting. Here we present a chronology for the deep part of the core (67.8-31.2 ka BP), which is based on stratigraphic matching to annual-layer-counted Greenland ice cores using globally well-mixed atmospheric methane. We calculate the WD gas age-ice age difference (Delta age) using a combination of firn densification modeling, ice-flow modeling, and a data set of delta N-15-N-2, a proxy for past firn column thickness. The largest Delta age at WD occurs during the Last Glacial Maximum, and is 525 +/- 120 years. Internally consistent solutions can be found only when assuming little to no influence of impurity content on densification rates, contrary to a recently proposed hypothesis. We synchronize the WD chronology to a linearly scaled version of the layer-counted Greenland Ice Core Chronology (GICC05), which brings the age of Dansgaard-Oeschger (DO) events into agreement with the U = Th absolutely dated Hulu Cave speleothem record. The small Delta age at WD provides valuable opportunities to investigate the timing of atmospheric greenhouse gas variations relative to Antarctic climate, as well as the interhemispheric phasing of the bipolar seesaw.</t>
  </si>
  <si>
    <t>[Buizert, C.; Rhodes, R. H.; Brook, E. J.] Oregon State Univ, Coll Earth Ocean &amp; Atmospher Sci, Corvallis, OR 97331 USA; [Cuffey, K. M.] Univ Calif Berkeley, Dept Geog, Berkeley, CA 94720 USA; [Severinghaus, J. P.; Baggenstos, D.] Univ Calif San Diego, Scripps Inst Oceanog, La Jolla, CA 92093 USA; [Fudge, T. J.; Steig, E. J.; Markle, B. R.; Winstrup, M.] Univ Washington, Quaternary Res Ctr, Seattle, WA 98195 USA; [Fudge, T. J.; Steig, E. J.; Markle, B. R.; Winstrup, M.] Univ Washington, Dept Earth &amp; Space Sci, Seattle, WA 98195 USA; [Sowers, T. A.] Penn State Univ, Dept Geosci, University Pk, PA 16802 USA; [Sowers, T. A.] Penn State Univ, Earth &amp; Environm Syst Inst, University Pk, PA 16802 USA; [Clow, G. D.] US Geol Survey, Boulder, CO 80309 USA; [Cheng, H.] Xi An Jiao Tong Univ, Inst Global Environm Change, Xian 710049, Peoples R China; [Cheng, H.; Edwards, R. L.] Univ Minnesota, Dept Geol &amp; Geophys, Minneapolis, MN 55455 USA; [Sigl, M.; McConnell, J. R.; Taylor, K. C.] Nevada Syst Higher Educ, Desert Res Inst, Reno, NV 89512 USA</t>
  </si>
  <si>
    <t>Oregon State University; University of California System; University of California Berkeley; University of California System; University of California San Diego; Scripps Institution of Oceanography; University of Washington; University of Washington Seattle; University of Washington; University of Washington Seattle; Pennsylvania Commonwealth System of Higher Education (PCSHE); Pennsylvania State University; Pennsylvania State University - University Park; Pennsylvania Commonwealth System of Higher Education (PCSHE); Pennsylvania State University; Pennsylvania State University - University Park; United States Department of the Interior; United States Geological Survey; Xi'an Jiaotong University; University of Minnesota System; University of Minnesota Twin Cities; Nevada System of Higher Education (NSHE); Desert Research Institute NSHE</t>
  </si>
  <si>
    <t>Buizert, C (corresponding author), Oregon State Univ, Coll Earth Ocean &amp; Atmospher Sci, Corvallis, OR 97331 USA.</t>
  </si>
  <si>
    <t>buizertc@science.oregonstate.edu</t>
  </si>
  <si>
    <t>Edwards, R. Lawrence/I-3124-2014; CHENG, HAI/H-3413-2017; Edwards, Richard/JAX-3732-2023; Brook, Edward/AAB-7807-2021; Baggenstos, Daniel/AAK-5751-2021; Markle, Bradley R/I-6132-2019; Winstrup, Mai/M-5844-2014; /G-9088-2015; Taylor, Kendrick/A-3469-2016</t>
  </si>
  <si>
    <t>CHENG, HAI/0000-0002-5305-9458; Baggenstos, Daniel/0000-0001-9756-6884; Fudge, Tyler/0000-0002-6818-7479; Severinghaus, Jeffrey/0000-0001-8883-3119; Winstrup, Mai/0000-0002-4794-4004; Rhodes, Rachael/0000-0001-7511-1969; /0000-0002-8191-5549; Sigl, Michael/0000-0002-9028-9703; Markle, Bradley/0000-0002-2282-6546; Buizert, Christo/0000-0002-2227-1747; Taylor, Kendrick/0000-0001-8535-1261</t>
  </si>
  <si>
    <t>US National Science Foundation [0539232, 0537661, ANT05-38657]; NSFC [41230524, 0839093, 1142166, 1043092, 0230396, 0440817, 0944348, 0944266]; NOAA Climate and Global Change fellowship program; Villum Foundation; Directorate For Geosciences; Division Of Polar Programs [0944191] Funding Source: National Science Foundation; Directorate For Geosciences; Office of Polar Programs (OPP) [1043092, 0944348, 1043500, 1142166] Funding Source: National Science Foundation; Div Atmospheric &amp; Geospace Sciences; Directorate For Geosciences [1103403] Funding Source: National Science Foundation; Office of Polar Programs (OPP); Directorate For Geosciences [0944197, 1043421, 1043518] Funding Source: National Science Foundation; Office Of The Director; Office Of Internatl Science &amp;Engineering [0968391] Funding Source: National Science Foundation</t>
  </si>
  <si>
    <t>US National Science Foundation(National Science Foundation (NSF)); NSFC(National Natural Science Foundation of China (NSFC)); NOAA Climate and Global Change fellowship program(National Oceanic Atmospheric Admin (NOAA) - USA); Villum Foundation(Villum Fonden); Directorate For Geosciences; Division Of Polar Programs(National Science Foundation (NSF)NSF - Directorate for Geosciences (GEO)); Directorate For Geosciences; Office of Polar Programs (OPP)(National Science Foundation (NSF)NSF - Directorate for Geosciences (GEO)); Div Atmospheric &amp; Geospace Sciences; Directorate For Geosciences(National Science Foundation (NSF)NSF - Directorate for Geosciences (GEO)); Office of Polar Programs (OPP); Directorate For Geosciences(National Science Foundation (NSF)NSF - Directorate for Geosciences (GEO)); Office Of The Director; Office Of Internatl Science &amp;Engineering(National Science Foundation (NSF)NSF - Office of the Director (OD))</t>
  </si>
  <si>
    <t>We thank Mark Twickler and Joseph Souney Jr. of the WAIS Divide Science Coordination Office; the Ice Drilling Design and Operations group at the University of Wisconsin for recovering the ice core; O. Maselli, N. Chellman, M. Grieman, J. D'Andrilli, L. Layman, and R. Grinstead for help in making the continuous CH4 and Ca measurements; A. J. Schauer, S. W. Schoenemann, P. D. Neff, and B. Vanden Heuvel for help in making the water-isotopologue measurements; Raytheon Polar Services for logistics support in Antarctica; the 109th New York Air National Guard for airlift in Antarctica; Anais Orsi for fruitful discussions; Dan Muhs for feedback on the manuscript; and the dozens of core handlers in the field and at the National Ice Core Laboratory for the core processing. This work is funded by the US National Science Foundation through grants 0539232, 0537661 (to K. M. Cuffey), ANT05-38657 (to J. P. Severinghaus.), NSFC 41230524 (to H. Cheng. and R. L. Edwards), 0839093, 1142166 (to J. R. McConnell.), and 1043092 (to E. J. Steig.) and through grants 0230396, 0440817, 0944348, and 0944266 to the Desert Research Institute of Reno Nevada and University of New Hampshire for the collection and distribution of the WAIS Divide ice core and related tasks. We further acknowledge support by the NOAA Climate and Global Change fellowship program, administered by the University Corporation for Atmospheric Research (to C. Buizert.) and the Villum Foundation (to M. Winstrup.).</t>
  </si>
  <si>
    <t>10.5194/cp-11-153-2015</t>
  </si>
  <si>
    <t>WOS:000350560400003</t>
  </si>
  <si>
    <t>Dolan, AM; Hunter, SJ; Hill, DJ; Haywood, AM; Koenig, SJ; Otto-Bliesner, BL; Abe-Ouchi, A; Bragg, F; Chan, WL; Chandler, MA; Contoux, C; Jost, A; Kamae, Y; Lohmann, G; Lunt, DJ; Ramstein, G; Rosenbloom, NA; Sohl, L; Stepanek, C; Ueda, H; Yan, Q; Zhang, Z</t>
  </si>
  <si>
    <t>Dolan, A. M.; Hunter, S. J.; Hill, D. J.; Haywood, A. M.; Koenig, S. J.; Otto-Bliesner, B. L.; Abe-Ouchi, A.; Bragg, F.; Chan, W. -L.; Chandler, M. A.; Contoux, C.; Jost, A.; Kamae, Y.; Lohmann, G.; Lunt, D. J.; Ramstein, G.; Rosenbloom, N. A.; Sohl, L.; Stepanek, C.; Ueda, H.; Yan, Q.; Zhang, Z.</t>
  </si>
  <si>
    <t>Using results from the PlioMIP ensemble to investigate the Greenland Ice Sheet during the mid-Pliocene Warm Period</t>
  </si>
  <si>
    <t>SEA-LEVEL RISE; SURFACE TEMPERATURES; EXPERIMENTAL-DESIGN; BOUNDARY-CONDITIONS; ATMOSPHERIC CO2; SPECTRAL ALBEDO; MASS-BALANCE; CLIMATE; MODEL; SENSITIVITY</t>
  </si>
  <si>
    <t>During an interval of the Late Pliocene, referred to here as the mid-Pliocene Warm Period (mPWP; 3.264 to 3.025 million years ago), global mean temperature was similar to that predicted for the end of this century, and atmospheric carbon dioxide concentrations were higher than pre-industrial levels. Sea level was also higher than today, implying a significant reduction in the extent of the ice sheets. Thus, the mPWP provides a natural laboratory in which to investigate the long-term response of the Earth's ice sheets and sea level in a warmer-than-present-day world. At present, our understanding of the Greenland ice sheet during the mPWP is generally based upon predictions using single climate and ice sheet models. Therefore, it is essential that the model dependency of these results is assessed. The Pliocene Model Intercomparison Project (PlioMIP) has brought together nine international modelling groups to simulate the warm climate of the Pliocene. Here we use the climatological fields derived from the results of the 15 PlioMIP climate models to force an offline ice sheet model. We show that mPWP ice sheet reconstructions are highly dependent upon the forcing climatology used, with Greenland reconstructions ranging from an ice-free state to a near-modern ice sheet. An analysis of the surface albedo variability between the climate models over Greenland offers insights into the drivers of inter-model differences. As we demonstrate that the climate model dependency of our results is high, we highlight the necessity of data-based constraints of ice extent in developing our understanding of the mPWP Greenland ice sheet.</t>
  </si>
  <si>
    <t>[Dolan, A. M.; Hunter, S. J.; Hill, D. J.; Haywood, A. M.] Univ Leeds, Sch Earth &amp; Environm, Leeds LS2 9JT, W Yorkshire, England; [Hill, D. J.] British Geol Survey, Nottingham NG12 5GG, England; [Koenig, S. J.] Univ Massachusetts, Dept Geosci, Amherst, MA 01003 USA; [Otto-Bliesner, B. L.; Rosenbloom, N. A.] Natl Ctr Atmospher Res, Boulder, CO 80307 USA; [Abe-Ouchi, A.; Chan, W. -L.] Univ Tokyo, Atmosphere &amp; Ocean Res Inst, Kashiwa, Chiba, Japan; [Abe-Ouchi, A.] JAMSTEC, Res Inst Global Change, Yokohama, Kanagawa, Japan; [Bragg, F.; Lunt, D. J.] Univ Bristol, Sch Geog Sci, Bristol BS8 1SS, Avon, England; [Chandler, M. A.; Sohl, L.] Columbia Univ, NASA GISS, New York, NY USA; [Contoux, C.] Aix Marseille Univ, CNRS, IRD, CEREGE UM34, F-13545 Aix En Provence, France; [Jost, A.] Univ Paris 06, Sorbonne Univ, UMR 7619, F-75005 Paris, France; [Kamae, Y.; Ueda, H.] Univ Tsukuba, Grad Sch Life &amp; Environm Sci, Tsukuba, Ibaraki, Japan; [Lohmann, G.; Stepanek, C.] Helmholtz Ctr Polar &amp; Marine Res, Alfred Wegener Inst, Bremerhaven, Germany; [Ramstein, G.] Lab Sci Climat &amp; Environm, Saclay, France; [Yan, Q.; Zhang, Z.] Uni Res Climate, Bjerknes Ctr Climate Res, Bergen, Norway; [Zhang, Z.] Chinese Acad Sci, Inst Atmospher Phys, Beijing, Peoples R China</t>
  </si>
  <si>
    <t>University of Leeds; UK Research &amp; Innovation (UKRI); Natural Environment Research Council (NERC); NERC British Geological Survey; University of Massachusetts System; University of Massachusetts Amherst; National Center Atmospheric Research (NCAR) - USA; University of Tokyo; Japan Agency for Marine-Earth Science &amp; Technology (JAMSTEC); University of Bristol; Columbia University; National Aeronautics &amp; Space Administration (NASA); NASA Goddard Space Flight Center; Goddard Institute for Space Studies; Universite PSL; College de France; Aix-Marseille Universite; Centre National de la Recherche Scientifique (CNRS); Institut de Recherche pour le Developpement (IRD); Centre National de la Recherche Scientifique (CNRS); CNRS - Institute of Ecology &amp; Environment (INEE); Sorbonne Universite; University of Tsukuba; Helmholtz Association; Alfred Wegener Institute, Helmholtz Centre for Polar &amp; Marine Research; CEA; Centre National de la Recherche Scientifique (CNRS); Universite Paris Saclay; Bjerknes Centre for Climate Research; Chinese Academy of Sciences; Institute of Atmospheric Physics, CAS</t>
  </si>
  <si>
    <t>Dolan, AM (corresponding author), Univ Leeds, Sch Earth &amp; Environm, Earth &amp; Environm Bldg, Leeds LS2 9JT, W Yorkshire, England.</t>
  </si>
  <si>
    <t>a.m.dolan@leeds.ac.uk</t>
  </si>
  <si>
    <t>Yan, Qing/K-4625-2019; Jost, Anne/AAW-3993-2020; Dolan, Aisling M/D-2625-2012; Chan, Wing-Le/X-3976-2019; Kamae, Youichi/L-6694-2013; Zhang, zs/GXN-3521-2022; Stepanek, Christian/ABA-9210-2021; zhang, zhi/HPH-4905-2023; Otto-Bliesner, Bette/AAY-7691-2020; Ramstein, Gilles/L-3328-2014; Ueda, Hiroaki/D-8019-2014; Zhang, Zhongshi/ADE-5510-2022; Abe-Ouchi, Ayako A/M-6359-2013; Bragg, Fran/C-6198-2015; Lohmann, Gerrit/M-7453-2016; Sohl, Linda/N-7303-2016; Lunt, Daniel/G-9451-2011</t>
  </si>
  <si>
    <t>Yan, Qing/0000-0001-5299-7824; Jost, Anne/0000-0002-0925-3376; Chan, Wing-Le/0000-0002-5646-6104; Kamae, Youichi/0000-0003-0461-5718; Ramstein, Gilles/0000-0002-1522-917X; Zhang, Zhongshi/0000-0002-2354-1622; Abe-Ouchi, Ayako A/0000-0003-1745-5952; Bragg, Fran/0000-0002-8179-4214; Dolan, Aisling/0000-0002-9585-9648; Lohmann, Gerrit/0000-0003-2089-733X; Chandler, Mark/0000-0002-6548-227X; contoux, camille/0000-0001-8487-9275; Sohl, Linda/0000-0002-6673-2007; Stepanek, Christian/0000-0002-3912-6271; Otto-Bliesner, Bette/0000-0003-1911-1598; Lunt, Daniel/0000-0003-3585-6928; Hill, Daniel/0000-0001-5492-3925</t>
  </si>
  <si>
    <t>European Research Council under the European Union [278636]; Natural Environment Research Council (NERC); Leverhulme Trust; National Centre for Atmospheric Science; British Geological Survey; US National Science Foundation [ATM-0513402, AGS-1203910, OCE-1202632]; NERC [NE/H006273/1]; Helmholtz research programme PACES; Helmholtz Climate Initiative REKLIM; Helmholtz Graduate School for Polar and Marine Research; REKLIM; NSF [ATM0323516]; NASA [NNX10AU63A]; US National Science Foundation (NSF); Japan Society for the Promotion of Science; Statoil, Norway; [NSF-EAR-1237211]; NERC [NE/H006273/1, bgs05002] Funding Source: UKRI; NASA [121411, NNX10AU63A] Funding Source: Federal RePORTER; Natural Environment Research Council [NE/H006273/1, ncas10009, bgs05002] Funding Source: researchfish; Grants-in-Aid for Scientific Research [25241005] Funding Source: KAKEN</t>
  </si>
  <si>
    <t>European Research Council under the European Union(European Research Council (ERC)); Natural Environment Research Council (NERC)(UK Research &amp; Innovation (UKRI)Natural Environment Research Council (NERC)); Leverhulme Trust(Leverhulme Trust); National Centre for Atmospheric Science; British Geological Survey; US National Science Foundation(National Science Foundation (NSF)); NERC(UK Research &amp; Innovation (UKRI)Natural Environment Research Council (NERC)); Helmholtz research programme PACES; Helmholtz Climate Initiative REKLIM; Helmholtz Graduate School for Polar and Marine Research; REKLIM; NSF(National Science Foundation (NSF)); NASA(National Aeronautics &amp; Space Administration (NASA)); US National Science Foundation (NSF)(National Science Foundation (NSF)); Japan Society for the Promotion of Science(Ministry of Education, Culture, Sports, Science and Technology, Japan (MEXT)Japan Society for the Promotion of Science); Statoil, Norway; ; NERC(UK Research &amp; Innovation (UKRI)Natural Environment Research Council (NERC)); NASA(National Aeronautics &amp; Space Administration (NASA));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</si>
  <si>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A. M. Dolan, S. J. Hunter and A. M. Haywood acknowledge that the research leading to these results has received funding from the European Research Council under the European Union's Seventh Framework Programme (FP7/2007-2013)/ERC grant agreement no. 278636. A. M. Dolan also acknowledges the Natural Environment Research Council (NERC) for the receipt of a doctoral training grant. D. J. Hill acknowledges the Leverhulme Trust for the award of an Early Career Fellowship and the National Centre for Atmospheric Science and the British Geological Survey for financial support. S. J. Koenig was supported by the US National Science Foundation under the awards ATM-0513402, AGS-1203910 and OCE-1202632. D. J. Lunt and F. Bragg acknowledge NERC grant NE/H006273/1. The HadCM3 simulations were carried out using the computational facilities of the Advanced Computing Research Centre, University of Bristol (http://www.bris.ac.uk/acrc/). G. Lohmann received funding through the Helmholtz research programme PACES and the Helmholtz Climate Initiative REKLIM. C. Stepanek acknowledges financial support from the Helmholtz Graduate School for Polar and Marine Research and from REKLIM. Funding for L. Sohl and M. A. Chandler provided by NSF Grant ATM0323516 and NASA Grant NNX10AU63A. B. L. Otto-Bliesner and N. A. Rosenbloom recognise that NCAR is sponsored by the US National Science Foundation (NSF); this work was also supported through grant NSF-EAR-1237211, and computing resources were provided by the Climate Simulation Laboratory at NCAR's Computational and Information Systems Laboratory (CISL), sponsored by the NSF and other agencies. W.-L. Chan and A. Abe-Ouchi would like to thank the Japan Society for the Promotion of Science for financial support and R. Ohgaito for advice on setting up the MIROC4m experiments on the Earth Simulator, JAMSTEC. The source code of the MRI-CGCM2.3 model was provided by S. Yukimoto, O. Arakawa and A. Kitoh of the Meteorological Research Institute, Japan. Z. Zhang acknowledges that the development of NorESM-L was supported by the Earth System Modelling (ESM) project funded by Statoil, Norway. We also thank Richard Hindmarsh of the British Antarctic Survey for the use of BASISM.</t>
  </si>
  <si>
    <t>10.5194/cp-11-403-2015</t>
  </si>
  <si>
    <t>WOS:000352159900004</t>
  </si>
  <si>
    <t>Martin, C; Mulvaney, R; Gudmundsson, GH; Corr, H</t>
  </si>
  <si>
    <t>Martin, C.; Mulvaney, R.; Gudmundsson, G. H.; Corr, H.</t>
  </si>
  <si>
    <t>Inferring palaeo-accumulation records from ice-core data by an adjoint-based method: application to James Ross Island's ice core</t>
  </si>
  <si>
    <t>PHASE-SENSITIVE RADAR; EPICA DOME-C; EAST ANTARCTICA; CLIMATE; VARIABILITY; ISOCHRONES; CHRONOLOGY; ADVECTION; GREENLAND; DIVIDE</t>
  </si>
  <si>
    <t>Ice cores contain a record of snow precipitation that includes information about past atmospheric circulation and mass imbalance in the polar regions. We present a novel approach to reconstruct a climatic record - by both optimally dating an ice core and deriving from it a detailed accumulation history - that uses an adjoint-based method. The motivation of our work is the recent application of phase-sensitive radar which measures the vertical velocity of an ice column. The velocity is dependent on the history of subsequent snow accumulation, compaction and compression; in our inverse formulation of this problem, measured vertical velocity profiles can be utilized directly, thereby reducing the uncertainty introduced by ice-flow modelling. We first apply our method to synthetic data in order to study its capability and the effect of noise and gaps in the age-depth observations. The method is then applied to the ice core retrieved from James Ross Island, Antarctica. We show that the method is robust and that the results depend on the quality of the age-depth observations and the derived flow regime around the core site. The method facilitates the incorporation of increasing detail provided by ice-core analysis together with observed full-depth velocity in order to construct a complete climatic record of the polar regions.</t>
  </si>
  <si>
    <t>[Martin, C.; Mulvaney, R.; Gudmundsson, G. H.; Corr, H.] British Antarctic Survey, Cambridge CB3 0ET, England</t>
  </si>
  <si>
    <t>Martin, C (corresponding author), British Antarctic Survey, Cambridge CB3 0ET, England.</t>
  </si>
  <si>
    <t>cama@bas.ac.uk</t>
  </si>
  <si>
    <t>Gudmundsson, Gudmundur Hilmar/F-6499-2012; Gudmundsson, Gudmundur Hilmar/AAU-5987-2020; Corr, Hugh/C-5398-2011; Mulvaney, Robert/K-3929-2012; Martin, Carlos/S-2778-2018</t>
  </si>
  <si>
    <t>Gudmundsson, Gudmundur Hilmar/0000-0003-4236-5369; Gudmundsson, Gudmundur Hilmar/0000-0003-4236-5369; Martin, Carlos/0000-0002-2661-169X</t>
  </si>
  <si>
    <t>Natural Environment Research Council; Natural Environment Research Council [bas0100024, bas0100034] Funding Source: researchfish; NERC [bas0100034, bas0100024] Funding Source: UKRI</t>
  </si>
  <si>
    <t>This study was funded by core funding from the Natural Environment Research Council to the British Antarctic Survey's Ice Sheets Programme. We would like to thank Federic Parrenin, Noemi Petra and an anonymous referee for their detailed reviews as well as the editor, Volker Rath, for his efforts.</t>
  </si>
  <si>
    <t>10.5194/cp-11-547-2015</t>
  </si>
  <si>
    <t>WOS:000352159900012</t>
  </si>
  <si>
    <t>Sudarchikova, N; Mikolajewicz, U; Timmreck, C; O'Donnell, D; Schurgers, G; Sein, D; Zhang, K</t>
  </si>
  <si>
    <t>Sudarchikova, N.; Mikolajewicz, U.; Timmreck, C.; O'Donnell, D.; Schurgers, G.; Sein, D.; Zhang, K.</t>
  </si>
  <si>
    <t>Modelling of mineral dust for interglacial and glacial climate conditions with a focus on Antarctica</t>
  </si>
  <si>
    <t>ICE NUCLEI; TERRESTRIAL ECOSYSTEMS; ATMOSPHERIC DUST; DESERT DUST; DOME-C; AEROSOL; CYCLE; CORE; RESOLUTION; MAXIMUM</t>
  </si>
  <si>
    <t>The mineral dust cycle responds to climate variations and plays an important role in the climate system by affecting the radiative balance of the atmosphere and modifying biogeochemistry. Polar ice cores provide unique information about deposition of aeolian dust particles transported over long distances. These cores are a palaeoclimate proxy archive of climate variability thousands of years ago. The current study is a first attempt to simulate past interglacial dust cycles with a global aerosol-climate model ECHAM5-HAM. The results are used to explain the dust deposition changes in Antarctica in terms of quantitative contribution of different processes, such as emission, atmospheric transport and precipitation, which will help to interpret palaeo-data from Antarctic ice cores. The investigated periods include four interglacial time slices: the pre-industrial control (CTRL), mid-Holocene (6000 yr BP; hereafter referred to as 6 kyr), last glacial inception (115 000 yr BP; hereafter 115 kyr) and Eemian (126 000 yr BP; hereafter 126 kyr). One glacial time interval, the Last Glacial Maximum (LGM) (21 000 yr BP; hereafter 21 kyr), was simulated as well to be a reference test for the model. Results suggest an increase in mineral dust deposition globally, and in Antarctica, in the past interglacial periods relative to the pre-industrial CTRL simulation. Approximately two-thirds of the increase in the mid-Holocene and Eemian is attributed to enhanced Southern Hemisphere dust emissions. Slightly strengthened transport efficiency causes the remaining one-third of the increase in dust deposition. The moderate change in dust deposition in Antarctica in the last glacial inception period is caused by the slightly stronger poleward atmospheric transport efficiency compared to the pre-industrial. Maximum dust deposition in Antarctica was simulated for the glacial period. LGM dust deposition in Antarctica is substantially increased due to 2.6 times higher Southern Hemisphere dust emissions, 2 times stronger atmospheric transport towards Antarctica, and 30% weaker precipitation over the Southern Ocean. The model is able to reproduce the order of magnitude of dust deposition globally and in Antarctica for the pre-industrial and LGM climates.</t>
  </si>
  <si>
    <t>[Sudarchikova, N.; Mikolajewicz, U.; Timmreck, C.] Max Planck Inst Meteorol, Environm Modeling, D-20146 Hamburg, Germany; [O'Donnell, D.] Finnish Meteorol Inst, Climate Change Res, FIN-00101 Helsinki, Finland; [Schurgers, G.] Lund Univ, Dept Phys Geog &amp; Ecosyst Sci, Lund, Sweden; [Sein, D.] Alfred Wegener Inst Polar &amp; Marine Res, Climate Dynam, Bremerhaven, Germany; [Zhang, K.] Pacific NW Natl Lab, Atmospher Sci &amp; Global Change Div, Richland, WA 99352 USA</t>
  </si>
  <si>
    <t>Max Planck Society; Finnish Meteorological Institute; Lund University; Helmholtz Association; Alfred Wegener Institute, Helmholtz Centre for Polar &amp; Marine Research; United States Department of Energy (DOE); Pacific Northwest National Laboratory</t>
  </si>
  <si>
    <t>Sudarchikova, N (corresponding author), Max Planck Inst Meteorol, Environm Modeling, Bundesstr 55, D-20146 Hamburg, Germany.</t>
  </si>
  <si>
    <t>natalia.sudarchikova@mpimet.mpg.com</t>
  </si>
  <si>
    <t>Zhang, Kai/F-8415-2010; Schurgers, Guy/K-6543-2012; Sein, Dmitry/AAI-1352-2021; Sein, Dmitry V/GLS-0252-2022; Sein, Dmitry/P-6419-2018</t>
  </si>
  <si>
    <t>Zhang, Kai/0000-0003-0457-6368; Schurgers, Guy/0000-0002-2189-1995; Sein, Dmitry/0000-0002-1190-3622; Sein, Dmitry/0000-0002-1190-3622; Timmreck, Claudia/0000-0001-5355-0426</t>
  </si>
  <si>
    <t>Deutsche Forschungsgemeinschaft</t>
  </si>
  <si>
    <t>Deutsche Forschungsgemeinschaft(German Research Foundation (DFG))</t>
  </si>
  <si>
    <t>This work was funded by the Deutsche Forschungsgemeinschaft in the project MISO within the framework of the priority programme INTERDYNAMIK (SPP1266). The model integrations were performed at the German Climate Computing Center (DKRZ). We appreciate the comments and suggestions by Silvia Kloster and the two anonymous reviewers, which helped us to improve the paper.</t>
  </si>
  <si>
    <t>10.5194/cp-11-765-2015</t>
  </si>
  <si>
    <t>WOS:000357121100005</t>
  </si>
  <si>
    <t>Bravo, C; Rojas, M; Anderson, BM; Mackintosh, AN; Sagredo, E; Moreno, PI</t>
  </si>
  <si>
    <t>Bravo, C.; Rojas, M.; Anderson, B. M.; Mackintosh, A. N.; Sagredo, E.; Moreno, P. I.</t>
  </si>
  <si>
    <t>Modelled glacier equilibrium line altitudes during the mid-Holocene in the southern mid-latitudes</t>
  </si>
  <si>
    <t>MASS-BALANCE; NEW-ZEALAND; REGIONAL CLIMATE; TEMPERATURE; AMERICA; FLUCTUATIONS; SENSITIVITY; PATAGONIA; MELT; NEOGLACIATION</t>
  </si>
  <si>
    <t>Glacier behaviour during the mid-Holocene (MH, 6000 years BP) in the Southern Hemisphere provides observational data to constrain our understanding of the origin and propagation of palaeoclimate signals. In this study we examine the climatic forcing of glacier response in the MH by evaluating modelled glacier equilibrium line altitudes (ELAs) and climatic conditions during the MH compared with pre-industrial time (PI, year 1750). We focus on the middle latitudes of the Southern Hemisphere, specifically Patagonia and the South Island of New Zealand. Climate conditions for the MH were obtained from PMIP2 model simulations, which in turn were used to force a simple glacier mass balance model to simulate changes in ELA. In Patagonia, the models simulate colder conditions during the MH in austral summer (-0.2 degrees C), autumn (-0.5 degrees C), and winter (-0.4), and warmer temperatures (0.2 degrees C) during spring. In the Southern Alps the models show colder MH conditions in autumn (-0.7 degrees C) and winter (-0.4 degrees C), warmer conditions in spring (0.3 degrees C), and no significant change in summer temperature. Precipitation does not show significant changes but exhibits a seasonal shift, with less precipitation from April to September and more precipitation from October to April during the MH in both regions. The mass balance model simulates a climatic ELA that is 15-33m lower during the MH compared with PI conditions. We suggest that the main causes of this difference are driven mainly by colder temperatures associated with the MH simulation. Differences in temperature have a dual effect on glacier mass balance: (i) less energy is available for ablation during summer and early autumn and (ii) lower temperatures cause more precipitation to fall as snow rather than rain in late autumn and winter, resulting in more accumulation and higher surface albedo. For these reasons, we postulate that the modelled ELA changes, although small, may help to explain larger glacier extents observed by 6000 years BP in South America and New Zealand.</t>
  </si>
  <si>
    <t>[Bravo, C.; Rojas, M.] Univ Chile, Dept Geophys, Santiago, Chile; [Bravo, C.; Rojas, M.; Moreno, P. I.] Univ Chile, Ctr Climate &amp; Resilience Res CR2, Santiago, Chile; [Bravo, C.; Rojas, M.; Sagredo, E.; Moreno, P. I.] Millennium Nucleus Paleoclimate Southern Hemisphe, Santiago, Chile; [Anderson, B. M.; Mackintosh, A. N.] Victoria Univ Wellington, Antarctic Res Ctr, Wellington, New Zealand; [Sagredo, E.] Pontificia Univ Catolica Chile, Inst Geog, Santiago, Chile; [Moreno, P. I.] Univ Chile, Dept Ecol Sci, Santiago, Chile; [Moreno, P. I.] Univ Chile, Inst Ecol &amp; Biodivers, Santiago, Chile</t>
  </si>
  <si>
    <t>Universidad de Chile; Universidad de Chile; Victoria University Wellington; Pontificia Universidad Catolica de Chile; Universidad de Chile; Universidad de Chile</t>
  </si>
  <si>
    <t>Bravo, C (corresponding author), Ctr Estudios Cient, Glaciol Lab, Valdivia, Chile.</t>
  </si>
  <si>
    <t>claudio@dgf.uchile.cl</t>
  </si>
  <si>
    <t>Rojas, Maisa/A-7229-2013; SAGREDO, ESTEBAN/B-7280-2016; Moreno, Patricio/D-2317-2012</t>
  </si>
  <si>
    <t>SAGREDO, ESTEBAN/0000-0002-4494-5423; Moreno, Patricio/0000-0002-1333-6238; Bravo, Claudio/0000-0003-4822-4786; Mackintosh, Andrew/0000-0002-6430-4711</t>
  </si>
  <si>
    <t>CEA; CNRS; EU [EVK2-CT-2002- 00153]; Programme National d'Etude de la Dynamique du Climat (PNEDC); CONICYT [USA-2013-0035]; Millennium Nucleus [NC120066, CR2 N15110009]; FONDECYT [1131055, 11121280]; Victoria University Foundation; International Union for Quaternary Research</t>
  </si>
  <si>
    <t>CEA(French Atomic Energy Commission); CNRS(Centre National de la Recherche Scientifique (CNRS)); EU(European Union (EU)); Programme National d'Etude de la Dynamique du Climat (PNEDC); CONICYT(Comision Nacional de Investigacion Cientifica y Tecnologica (CONICYT)); Millennium Nucleus; FONDECYT(Comision Nacional de Investigacion Cientifica y Tecnologica (CONICYT)CONICYT FONDECYT); Victoria University Foundation; International Union for Quaternary Research</t>
  </si>
  <si>
    <t>We acknowledge the international modelling groups for providing their data for analysis, and the Laboratoire des Sciences du Climatet de l'Environnement (LSCE) for collecting and archiving the model data. The PMIP2/MOTIF Data Archive is supported by CEA, CNRS, the EU project MOTIF (EVK2-CT-2002- 00153), and the Programme National d'Etude de la Dynamique du Climat (PNEDC). C. Bravo acknowledges the support provided through a CONICYT magister scholarship. The Millennium Nucleus (NC120066 and CR2 N15110009) supported this investigation. M. Rojas and P. I. Moreno received support through FONDECYT grant #1131055. E. Sagredo acknowledges support through FONDECYT Iniciacion grant #11121280 and CONICYT grant USA-2013-0035. A. N. Mackintosh and B. M. Anderson acknowledge financial support from the Victoria University Foundation grant Antarctic Research Centre Climate and Ice-Sheet Modelling. We would like to thank to A. V. Rowan, the anonymous referee, and J. Ubeda for their constructive and useful comments. This work is a contribution to the SHAPE (Southern Hemisphere Assessment of PalaeoEnvironments) project, which is supported by the International Union for Quaternary Research.</t>
  </si>
  <si>
    <t>10.5194/cp-11-1575-2015</t>
  </si>
  <si>
    <t>CX8UH</t>
  </si>
  <si>
    <t>WOS:000365979200006</t>
  </si>
  <si>
    <t>Pascher, KM; Hollis, CJ; Bohaty, SM; Cortese, G; McKay, RM; Seebeck, H; Suzuki, N; Chiba, K</t>
  </si>
  <si>
    <t>Pascher, K. M.; Hollis, C. J.; Bohaty, S. M.; Cortese, G.; McKay, R. M.; Seebeck, H.; Suzuki, N.; Chiba, K.</t>
  </si>
  <si>
    <t>Expansion and diversification of high-latitude radiolarian assemblages in the late Eocene linked to a cooling event in the southwest Pacific</t>
  </si>
  <si>
    <t>OCEAN MAUD RISE; SOUTHERN-OCEAN; MIDDLE EOCENE; PALEOCEANOGRAPHIC CHANGE; ANTARCTIC GLACIATION; OLIGOCENE TRANSITION; FAUNAL TURNOVER; MEAD STREAM; NEW-ZEALAND; BIOSTRATIGRAPHY</t>
  </si>
  <si>
    <t>The long-term cooling trend from middle to late Eocene was punctuated by several large-scale climate perturbations that culminated in a shift to 'icehouse' climates at the Eocene-Oligocene transition. We present radiolarian micro-fossil assemblage and foraminiferal oxygen and carbon stable isotope data from Deep Sea Drilling Project (DSDP) sites 277, 280, 281, and 283 and Ocean Drilling Project (ODP) Site 1172 to identify significant oceanographic changes in the southwest Pacific through this climate transition (similar to 40-30 Ma). We find that the Middle Eocene Climatic Optimum at similar to 40 Ma, which is truncated but identified by a negative shift in foraminiferal delta O-18 values at Site 277, is associated with a small increase in radiolarian taxa with low-latitude affinities (5 % of total fauna). In the early late Eocene at similar to 37 Ma, a positive oxygen isotope shift at Site 277 is correlated with the Priabonian Oxygen Isotope Maximum (PrOM). Radiolarian abundance, diversity, and preservation increase within this cooling event at Site 277 at the same time as diatom abundance. A negative delta O-18 excursion above the PrOM is correlated with a late Eocene warming event (similar to 36.4 Ma). Radiolarian abundance and diversity decline within this event and taxa with low-latitude affinities reappear. Apart from this short-lived warming event, the PrOM and latest Eocene radiolarian assemblages are characterised by abundant high-latitude taxa. High-latitude taxa are also abundant during the late Eocene and early Oligocene (similar to 38-30 Ma) at DSDP sites 280, 281, 283 and 1172 and are associated with very high diatom abundance. We therefore infer a northward expansion of high-latitude radiolarian taxa onto the Campbell Plateau in the latest Eocene. In the early Oligocene there is an overall decrease in radiolarian abundance and diversity at Site 277, and diatoms are scarce. These data indicate that, once the Antarctic Circumpolar Current was established in the early Oligocene (similar to 30 Ma), a frontal system similar to present day developed, with nutrient-depleted Subantarctic waters bathing the area around DSDP Site 277, resulting in a more restricted siliceous plankton assemblage.</t>
  </si>
  <si>
    <t>[Pascher, K. M.; Hollis, C. J.; Cortese, G.; Seebeck, H.] GNS Sci, Lower Hutt 5040, New Zealand; [Pascher, K. M.; McKay, R. M.] Victoria Univ Wellington, Antarctic Res Ctr, Wellington 6140, New Zealand; [Bohaty, S. M.] Univ Southampton, Natl Oceanog Ctr Southampton, Ocean &amp; Earth Sci, Southampton SO14 3ZH, Hants, England; [Suzuki, N.; Chiba, K.] Tohoku Univ, Grad Sch Sci, Inst Geol &amp; Palaeontol, Sendai, Miyagi 9808578, Japan</t>
  </si>
  <si>
    <t>GNS Science - New Zealand; Victoria University Wellington; University of Southampton; NERC National Oceanography Centre; Tohoku University</t>
  </si>
  <si>
    <t>Pascher, KM (corresponding author), GNS Sci, POB 30368, Lower Hutt 5040, New Zealand.</t>
  </si>
  <si>
    <t>k.pascher@gns.cri.nz</t>
  </si>
  <si>
    <t>McKay, Robert/N-2449-2015</t>
  </si>
  <si>
    <t>McKay, Robert/0000-0002-5602-6985; Chiba, Kentaro/0000-0003-2613-6187; Cortese, Giuseppe/0000-0003-1780-3371; Hollis, Christopher John/0000-0001-8840-9852</t>
  </si>
  <si>
    <t>New Zealand Marsden Fund [GNS1201]; Natural Environment Research Council [NE/L007452/1] Funding Source: researchfish; NERC [NE/L007452/1] Funding Source: UKRI</t>
  </si>
  <si>
    <t>New Zealand Marsden Fund(Royal Society of New ZealandMarsden Fund (NZ)); Natural Environment Research Council(UK Research &amp; Innovation (UKRI)Natural Environment Research Council (NERC)); NERC(UK Research &amp; Innovation (UKRI)Natural Environment Research Council (NERC))</t>
  </si>
  <si>
    <t>This study used bulk material and reference slides stored in the DSDP/ODP Micropaleontology Reference Centre, which is located at GNS Science, Lower Hutt, New Zealand. We greatly appreciate the reviews of David Lazarus and an anonymous referee, who provided helpful comments for improving our manuscript. We acknowledge the technical support of Sonja Bermudez (GNS Science), James Crampton (GNS Science) and Johan Renaudie (Museum fur Naturkunde, Berlin) and editorial handling by Gerald Dickens. This project is funded by the New Zealand Marsden Fund (contract GNS1201).</t>
  </si>
  <si>
    <t>10.5194/cp-11-1599-2015</t>
  </si>
  <si>
    <t>CZ8LP</t>
  </si>
  <si>
    <t>WOS:000367351500002</t>
  </si>
  <si>
    <t>Grinsted, A; Jevrejeva, S; Riva, REM; Dahl-Jensen, D</t>
  </si>
  <si>
    <t>Grinsted, Aslak; Jevrejeva, Svetlana; Riva, Riccardo E. M.; Dahl-Jensen, Dorthe</t>
  </si>
  <si>
    <t>Sea level rise projections for northern Europe under RCP8.5</t>
  </si>
  <si>
    <t>CLIMATE RESEARCH</t>
  </si>
  <si>
    <t>Regional sea level; Coastal adaptation; British Isles; Fennoscandia; Relative sea level; Tail-risk</t>
  </si>
  <si>
    <t>SCENARIOS; ACCELERATION; FINGERPRINT; SUBSIDENCE; OCEAN; COAST</t>
  </si>
  <si>
    <t>Sea level rise poses a significant threat to coastal communities, infrastructure, and ecosystems. Sea level rise is not uniform globally but is affected by a range of regional factors. In this study, we calculate regional projections of 21st century sea level rise in northern Europe, focusing on the British Isles, the Baltic Sea, and the North Sea. The input to the regional sea level projection is a probabilistic projection of the major components of the global sea level budget. Local sea level rise is partly compensated by vertical land movement from glacial isostatic adjustment. We explore the uncertainties beyond the likely range provided by the IPCC, including the risk and potential rate of marine ice sheet collapse. Our median 21st century relative sea level rise projection is 0.8 m near London and Hamburg, with a relative sea level drop of 0.1 m in the Bay of Bothnia (near Oulu, Finland). Considerable uncertainties remain in both the sea level budget and in the regional expression of sea level rise. The greatest uncertainties are associated with Antarctic ice loss, and uncertainties are skewed towards higher values, with the 95th percentile being characterized by an additional 0.9 m sea level rise above median projections.</t>
  </si>
  <si>
    <t>[Grinsted, Aslak; Dahl-Jensen, Dorthe] Univ Copenhagen, Niels Bohr Inst, Ctr Ice &amp; Climate, DK-2100 Copenhagen O, Denmark; [Grinsted, Aslak; Jevrejeva, Svetlana] Beijing Normal Univ, Coll Global Change &amp; Earth Syst Sci, Beijing 100875, Peoples R China; [Jevrejeva, Svetlana] Natl Oceanog Ctr, Liverpool L3 5DA, Merseyside, England; [Riva, Riccardo E. M.] Delft Univ Technol, Dept Geosci &amp; Remote Sensing, NL-2628 CN Delft, Netherlands</t>
  </si>
  <si>
    <t>University of Copenhagen; Niels Bohr Institute; Beijing Normal University; NERC National Oceanography Centre; Delft University of Technology</t>
  </si>
  <si>
    <t>Grinsted, A (corresponding author), Univ Copenhagen, Niels Bohr Inst, Ctr Ice &amp; Climate, DK-2100 Copenhagen O, Denmark.</t>
  </si>
  <si>
    <t>ag@glaciology.net</t>
  </si>
  <si>
    <t>Grinsted, Aslak/J-9273-2012; Dahl-Jensen, Dorthe/AAO-6951-2020</t>
  </si>
  <si>
    <t>Grinsted, Aslak/0000-0003-1634-6009; Dahl-Jensen, Dorthe/0000-0002-1474-1948; Riva, Riccardo/0000-0002-2042-5669</t>
  </si>
  <si>
    <t>NSFC [41076125]; Danish Strategic Research Council through its support of Centre for Regional Change in the Earth System (CRES) [DSF-EnMi 09-066868]; ERC [246815]; Inge Lehmann; European Union [FP7-ENV-2013-Two-Stage-603396-RISES-AM]; Netherlands Or ganisation for Scientific Research (NWO) through VIDI [864.12.012]; Natural Environment Research Council [noc010012] Funding Source: researchfish; European Research Council (ERC) [246815] Funding Source: European Research Council (ERC)</t>
  </si>
  <si>
    <t>NSFC(National Natural Science Foundation of China (NSFC)); Danish Strategic Research Council through its support of Centre for Regional Change in the Earth System (CRES); ERC(European Research Council (ERC)); Inge Lehmann; European Union(European Union (EU)); Netherlands Or ganisation for Scientific Research (NWO) through VIDI(Netherlands Organization for Scientific Research (NWO)); Natural Environment Research Council(UK Research &amp; Innovation (UKRI)Natural Environment Research Council (NERC)); European Research Council (ERC)(European Research Council (ERC)Spanish Government)</t>
  </si>
  <si>
    <t>The research was partly funded by NSFC No. 41076125, the Danish Strategic Research Council through its support of Centre for Regional Change in the Earth System (CRES; www.cres-centre.dk) under contract no DSF-EnMi 09-066868, ERC Advanced Grant no. 246815 (WATERundertheICE), and an Inge Lehmann travel grant. S.J. has received funding from the European Union's Seventh Programme for Research, Technological Development and Demonstration under Grant Agreement No: FP7-ENV-2013-Two-Stage-603396-RISES-AM. R.E.M.R. acknowledges funding from The Netherlands Or ganisation for Scientific Research (NWO) through VIDI Grant no 864.12.012. We are grateful to J. Gregory, E. Hill, S. Bradley, W. Aspinall, K. Richter, and Y. Wada for data sharing. We acknowledge the World Climate Research Programme's Working Group on Coupled Modelling, which is responsible for CMIP, and we thank the climate modeling groups (listed in Fig. S1 of this paper) for producing and making available their model output. For CMIP, the USA Department of Energy's Program for Climate Model Diagnosis and Intercomparison provides coordinating support and led development of software infrastructure in partnership with the Global Organization for Earth System Science Portals.</t>
  </si>
  <si>
    <t>0936-577X</t>
  </si>
  <si>
    <t>1616-1572</t>
  </si>
  <si>
    <t>CLIM RES</t>
  </si>
  <si>
    <t>Clim. Res.</t>
  </si>
  <si>
    <t>10.3354/cr01309</t>
  </si>
  <si>
    <t>CL0FS</t>
  </si>
  <si>
    <t>Bronze, Green Submitted, Green Accepted</t>
  </si>
  <si>
    <t>WOS:000356616300003</t>
  </si>
  <si>
    <t>Lyth, A; Holbrook, NJ</t>
  </si>
  <si>
    <t>Lyth, Anna; Holbrook, Neil J.</t>
  </si>
  <si>
    <t>Assessing an indirect health implication of a changing climate: Ross River Virus in a temperate island state</t>
  </si>
  <si>
    <t>CLIMATE RISK MANAGEMENT</t>
  </si>
  <si>
    <t>Vulnerability assessment; Ross River virus; Climate change and human health; Vector borne disease; Adaptation planning; Tasmania</t>
  </si>
  <si>
    <t>CAMPTORHYNCHUS THOMSON DIPTERA; ENVIRONMENTAL-FACTORS; GLOBAL CLIMATE; AUSTRALIA; DISEASE; TRANSMISSION; TASMANIA; VARIABILITY; QUEENSLAND; CULICIDAE</t>
  </si>
  <si>
    <t>In Tasmania, a temperate island state of Australia, there is little understood about the human health implications of a changing climate. Here, we investigate the hypothesis that human populations in Tasmania might become more vulnerable to Ross River virus (RRV) under climate change, Australia's most significant vector-borne disease. Importantly, our study considers the complex social-ecological systems based setting that this virus represents, with our approach being underpinned by systems thinking. Specifically, we undertake an integrated and participatory assessment of potential human vulnerability to RRV in a changing climate, and taking account of other parallel, non-climate regional-scale change considerations. We show that projected moderate changes in Tasmania's climate will have implications for the State's human health, whereby Tasmania is likely to become more vulnerable to RRV as the 21st Century progresses, shifting this health issue from a relatively low public health risk to one that will become more concerning and costly. The study assists us to contemplate how we frame human health questions as we move into a climatically changing world and reminds us that health impacts will not always be linear or obvious. It demonstrates an approach for scoping indirect and potentially insidious implications of climate change, even in the face of uncertainty, imperfect systems understanding, and limited resources, to inform a range of decision makers. (C) 2015 The Authors.</t>
  </si>
  <si>
    <t>[Lyth, Anna] Univ Tasmania, Sch Land &amp; Food, Geog &amp; Spatial Sci, Private Bag 78, Hobart, Tas 7001, Australia; [Lyth, Anna] Univ Sunshine Coast, Sustainabil Res Ctr, Sippy Downs, Qld, Australia; [Holbrook, Neil J.] Univ Tasmania, Inst Marine &amp; Antarctic Studies, Hobart, Tas, Australia; [Holbrook, Neil J.] ARC Ctr Excellence Climate Syst Sci, Hobart, Tas, Australia</t>
  </si>
  <si>
    <t>University of Tasmania; University of the Sunshine Coast; University of Tasmania; ARC Centre of Excellence for Climate System Science</t>
  </si>
  <si>
    <t>Lyth, A (corresponding author), Univ Tasmania, Sch Land &amp; Food, Geog &amp; Spatial Sci, Private Bag 78, Hobart, Tas 7001, Australia.</t>
  </si>
  <si>
    <t>anna.lyth@utas.edu.au</t>
  </si>
  <si>
    <t>Holbrook, Neil/M-7544-2013</t>
  </si>
  <si>
    <t>Holbrook, Neil/0000-0002-3523-6254</t>
  </si>
  <si>
    <t>Robyn Allchin; Local Government Association of Tasmania; NRM South Tasmania; Tasmanian Government Climate Connect Program Grant; USC-UTAS-Griffith University Collaborative Research Network (CRN) 'Research Futures' Grant</t>
  </si>
  <si>
    <t>The authors wish to acknowledge the valuable contribution of the late Erica Bell to this project, a member of the initial research team. Erica was a determined advocate for the need to incorporate social factors and adaptive capacity considerations into public health and climate change policy, and is greatly missed. We also appreciate: the input of Scott Carver and Vishnu Prahalad who reviewed the public report from which this paper has been developed, and provided scientific advice and technical support to the study; Robyn Allchin for her research support; all participants in the professional communities of practice workshop; and support from the Local Government Association of Tasmania and NRM South Tasmania. We gratefully acknowledge funding from a Tasmanian Government Climate Connect Program Grant and the USC-UTAS-Griffith University Collaborative Research Network (CRN) 'Research Futures' Grant. We thank the anonymous reviewers for their helpful suggestions which improved the quality of this paper.</t>
  </si>
  <si>
    <t>2212-0963</t>
  </si>
  <si>
    <t>CLIM RISK MANAG</t>
  </si>
  <si>
    <t>CLIM. RISK MANAG.</t>
  </si>
  <si>
    <t>10.1016/j.crm.2015.06.004</t>
  </si>
  <si>
    <t>Environmental Sciences; Environmental Studies; Meteorology &amp; Atmospheric Sciences</t>
  </si>
  <si>
    <t>V1F9A</t>
  </si>
  <si>
    <t>WOS:000216866900008</t>
  </si>
  <si>
    <t>Wilkinson, JP; Boyd, T; Hagen, B; Maksym, T; Pegau, S; Roman, C; Singh, H; Zabilansky, L</t>
  </si>
  <si>
    <t>Wilkinson, J. P.; Boyd, T.; Hagen, B.; Maksym, T.; Pegau, S.; Roman, C.; Singh, H.; Zabilansky, L.</t>
  </si>
  <si>
    <t>Detection and quantification of oil under sea ice: The view from below</t>
  </si>
  <si>
    <t>COLD REGIONS SCIENCE AND TECHNOLOGY</t>
  </si>
  <si>
    <t>Arctic; Oil spill; Sea ice; Oil detection; Sonar; Camera</t>
  </si>
  <si>
    <t>Traditional measures for detecting oil spills in the open-ocean are both difficult to apply and less effective in ice-covered seas. In view of the increasing levels of commercial activity in the Arctic, there is a growing gap between the potential need to respond to an oil spill in Arctic ice-covered waters and the capability to do so. In particular, there is no robust operational capability to remotely locate oil spilt under or encapsulated within sea ice. To date, most research approaches the problem from on or above the sea ice, and thus they suffer from the need to 'see' through the ice and overlying snow. Here we present results from a large-scale tank experiment which demonstrate the detection of oil beneath sea ice, and the quantification of the oil layer thickness is achievable through the combined use of an upward-looking camera and sonar deployed in the water column below a covering of sea ice. This approach using acoustic and visible measurements from below is simple and effective, and potentially transformative with respect to the operational response to oil spills in the Arctic marine environment. These results open up a new direction of research into oil detection in ice-covered seas, as well as describing a new and important role for underwater vehicles as platforms for oil-detecting sensors under Arctic sea ice. (C) 2014 The Authors. Published by Elsevier B.V.</t>
  </si>
  <si>
    <t>[Wilkinson, J. P.] British Antarctic Survey, Cambridge CB3 0ET, England; [Boyd, T.; Hagen, B.] Scottish Assoc Marine Sci, Oban PA37 1QA, Argyll, Scotland; [Maksym, T.; Singh, H.] Woods Hole Oceanog Inst, Woods Hole, MA 02543 USA; [Pegau, S.] Oil Spill Recovery Inst, Cordova, AK USA; [Roman, C.] Univ Rhode Isl, Kingston, RI 02881 USA; [Zabilansky, L.] Cold Reg Res Lab, Hanover, NH USA</t>
  </si>
  <si>
    <t>UK Research &amp; Innovation (UKRI); Natural Environment Research Council (NERC); NERC British Antarctic Survey; UHI Millennium Institute; Woods Hole Oceanographic Institution; University of Rhode Island; United States Department of Defense; United States Army; U.S. Army Corps of Engineers; U.S. Army Engineer Research &amp; Development Center (ERDC); Cold Regions Research &amp; Engineering Laboratory (CRREL)</t>
  </si>
  <si>
    <t>Wilkinson, JP (corresponding author), British Antarctic Survey, High Cross Madingley Rd, Cambridge CB3 0ET, England.</t>
  </si>
  <si>
    <t>jpw28@bas.ac.uk</t>
  </si>
  <si>
    <t>Roman, Christopher/0000-0002-9185-4532</t>
  </si>
  <si>
    <t>Prince William Sound Oil Spill Recovery Institute (OSRI) [11-10-09]; EU [265863]; Natural Environment Research Council [bas0100023] Funding Source: researchfish; NERC [bas0100023] Funding Source: UKRI</t>
  </si>
  <si>
    <t>Prince William Sound Oil Spill Recovery Institute (OSRI); EU(European Union (EU)); Natural Environment Research Council(UK Research &amp; Innovation (UKRI)Natural Environment Research Council (NERC)); NERC(UK Research &amp; Innovation (UKRI)Natural Environment Research Council (NERC))</t>
  </si>
  <si>
    <t>This work was funded through a competitive grant for the detection of oil under ice obtained from Prince William Sound Oil Spill Recovery Institute (OSRI) (11-10-09). Additional funding/resources was obtained through the EU FP7 funded ACCESS programme (Grant Agreement no. 265863).</t>
  </si>
  <si>
    <t>0165-232X</t>
  </si>
  <si>
    <t>1872-7441</t>
  </si>
  <si>
    <t>COLD REG SCI TECHNOL</t>
  </si>
  <si>
    <t>Cold Reg. Sci. Tech.</t>
  </si>
  <si>
    <t>10.1016/j.coldregions.2014.08.004</t>
  </si>
  <si>
    <t>Engineering, Environmental; Engineering, Civil; Geosciences, Multidisciplinary</t>
  </si>
  <si>
    <t>Engineering; Geology</t>
  </si>
  <si>
    <t>AU5LG</t>
  </si>
  <si>
    <t>Green Published, hybrid, Green Accepted</t>
  </si>
  <si>
    <t>WOS:000345647900002</t>
  </si>
  <si>
    <t>Young, M</t>
  </si>
  <si>
    <t>Young, Michaela</t>
  </si>
  <si>
    <t>Whaling in the Antarctic (Australia v Japan: New Zealand intervening): progressive judgment or missed opportunity for the development of international environmental law?</t>
  </si>
  <si>
    <t>COMPARATIVE AND INTERNATIONAL LAW JOURNAL OF SOUTHERN AFRICA-CILSA</t>
  </si>
  <si>
    <t>This article explains and analyses the judgment of the International Court of Justice (ICJ) in the dispute between Australia and Japan regarding the latter country's whaling operations in the Southern Ocean under the International Convention for the Regulation of Whaling (ICRW). The primary objective is to investigate the broader implications of the judgment for the development of international law as this case presented the ICJ with an opportunity to provide guidance on several issues of importance for the future direction and development of international environmental law. In particular, this article focuses on the ICJ's approach towards arguments raised by the parties regarding the evolution of the ICRW and the role of precaution; as well as the novel standard of review adopted by the ICJ in interrogating state conduct.</t>
  </si>
  <si>
    <t>[Young, Michaela] Univ Cape Town, Fac Law, Inst Marine &amp; Environm Law, Rondebosch, South Africa</t>
  </si>
  <si>
    <t>University of Cape Town</t>
  </si>
  <si>
    <t>Young, M (corresponding author), Univ Cape Town, Fac Law, Inst Marine &amp; Environm Law, Rondebosch, South Africa.</t>
  </si>
  <si>
    <t>UNIV SOUTH AFRICA, INST FOREIGN &amp; COMPARATIVE LAW</t>
  </si>
  <si>
    <t>PRETORIA</t>
  </si>
  <si>
    <t>PO BOX 392, PRETORIA, 0003, SOUTH AFRICA</t>
  </si>
  <si>
    <t>0010-4051</t>
  </si>
  <si>
    <t>COMP INT LAW J SOUTH</t>
  </si>
  <si>
    <t>Comp. Int. Law J. South. Afr.-CILSA</t>
  </si>
  <si>
    <t>V1Z9G</t>
  </si>
  <si>
    <t>WOS:000217387500003</t>
  </si>
  <si>
    <t>Cocca, E; Petraccioli, A; Morescalchi, MA; Odierna, G; Capriglione, T</t>
  </si>
  <si>
    <t>Cocca, Ennio; Petraccioli, Agnese; Morescalchi, Maria Alessandra; Odierna, Gaetano; Capriglione, Teresa</t>
  </si>
  <si>
    <t>Laser microdissection-based analysis of the Y sex chromosome of the Antarctic fish Chionodraco hamatus (Notothenioidei, Channichthyidae)</t>
  </si>
  <si>
    <t>COMPARATIVE CYTOGENETICS</t>
  </si>
  <si>
    <t>Sex chromosomes; Antarctic fish; CHD1 gene</t>
  </si>
  <si>
    <t>GENOMIC REARRANGEMENTS; EVOLUTIONARY STRATA; DETERMINING REGION; DIFFERENTIATION; SEQUENCES; MEDAKA; DNA; KARYOTYPE; ORIGIN; TELEOSTEI</t>
  </si>
  <si>
    <t>Microdissection, DOP-PCR amplification and microcloning were used to study the large Y chromosome of Chionodraco hamatus, an Antarctic fish belonging to the Notothenioidei, the dominant component of the Southern Ocean fauna. The species has evolved a multiple sex chromosome system with digametic males showing an X1YX2 karyotype and females an X1X1X2X2 karyotype. Fluorescence in situ hybridization, performed with a painting probe made from microdissected Y chromosomes, allowed a deeper insight on the chromosomal rearrangement, which underpinned the fusion event that generated the Y. Then, we used a DNA library established by microdissection and microcloning of the whole Y chromosome of Ch. hamatus for searching sex-linked sequences. One clone provided preliminary information on the presence on the Y chromosome of the CHD1 gene homologue, which is sex-linked in birds but in no other vertebrates. Several clones from the Y-chromosome mini-library contained microsatellites and transposable elements, one of which mapped to the q arm putative fusion region of the Y chromosome. The findings confirm that interspersed repetitive sequences might have fostered chromosome rearrangements and the emergence of the Y chromosome in Ch. hamatus. Detection of the CHD1 gene in the Y sex-determining region could be a classical example of convergent evolution in action.</t>
  </si>
  <si>
    <t>[Cocca, Ennio] CNR, Ist Biosci &amp; Biorisorse, I-80131 Naples, Italy; [Petraccioli, Agnese; Morescalchi, Maria Alessandra; Odierna, Gaetano; Capriglione, Teresa] Univ Naples Federico II, Dipartimento Biol, I-80126 Naples, Italy</t>
  </si>
  <si>
    <t>Consiglio Nazionale delle Ricerche (CNR); Istituto di Bioscienze e Biorisorse (IBBR-CNR); University of Naples Federico II</t>
  </si>
  <si>
    <t>Capriglione, T (corresponding author), Univ Naples Federico II, Dipartimento Biol, Complesso Univ Monte S Angelo,Via Cinthia, I-80126 Naples, Italy.</t>
  </si>
  <si>
    <t>teresa.capriglione@unina.it</t>
  </si>
  <si>
    <t>Cocca, Ennio/AAY-3817-2020</t>
  </si>
  <si>
    <t>Cocca, Ennio/0000-0003-2432-9663</t>
  </si>
  <si>
    <t>Italian M. U. R. S. T. (Ministry of the University and Scientific and Technological Research)-PRIN</t>
  </si>
  <si>
    <t>This work was supported by the Italian M. U. R. S. T. (Ministry of the University and Scientific and Technological Research)-PRIN 2005.</t>
  </si>
  <si>
    <t>1993-0771</t>
  </si>
  <si>
    <t>1993-078X</t>
  </si>
  <si>
    <t>COMP CYTOGENET</t>
  </si>
  <si>
    <t>Comp. Cytogenet.</t>
  </si>
  <si>
    <t>10.3897/CompCytogen.v9i1.8731</t>
  </si>
  <si>
    <t>Plant Sciences; Genetics &amp; Heredity; Zoology</t>
  </si>
  <si>
    <t>CC5LN</t>
  </si>
  <si>
    <t>WOS:000350400200001</t>
  </si>
  <si>
    <t>Hiess, J; Yi, K; Woodhead, J; Ireland, T; Rattenbury, M</t>
  </si>
  <si>
    <t>Roberts, NMW; VanKranendonk, M; Parman, S; Shirey, S; Clift, PD</t>
  </si>
  <si>
    <t>Hiess, Joe; Yi, Keewook; Woodhead, Jon; Ireland, Trevor; Rattenbury, Mark</t>
  </si>
  <si>
    <t>Gondwana margin evolution from zircon REE, O and Hf signatures of Western Province gneisses, Zealandia</t>
  </si>
  <si>
    <t>CONTINENT FORMATION THROUGH TIME</t>
  </si>
  <si>
    <t>U-PB GEOCHRONOLOGY; TRACE-ELEMENT COMPOSITION; EARLY PALEOZOIC TERRANES; SEPARATION POINT SUITE; OXYGEN-ISOTOPE RATIOS; LACHLAN FOLD BELT; DETRITAL ZIRCONS; CENTRAL WESTLAND; PACIFIC MARGIN; OCEANIC-CRUST</t>
  </si>
  <si>
    <t>U-Th-Pb dated zircons from Western Province paragneisses and orthogneisses were analysed for rare earth element (REE) concentrations, as well as oxygen and hafnium isotopic compositions. Experiments performed in situ using a sensitive high-resolution ion microprobe (SHRIMP) and laser ablation multicollection inductively coupled plasma mass spectrometer (LA-MC-ICPMS) allow better understanding of crustal growth on the Zealandia margin of Gondwana from the micron scale. Paragneiss zircons were probably derived from similar sources to those that supplied the regional Ordovician Greenland Group and correlative southern Australian and Antarctic meta-sedimentary rocks. Detrital zircon grains record variable REE patterns relating to magmatic and metamorphic crystallization processes operating prior to and following Ordovician deposition. delta O-18 and epsilon(Hf(T)) values trace major phases of juvenile crust formation and subsequent reworking in provenance sources, signifying an increase in the recycling of compositionally diverse, evolved crustal materials through time. Orthogneiss zircons relate to two episodes of magmatism that record similar REE concentration patterns. Devonian zircons have elevated delta O-18 and un-radiogenic epsilon(Hf(T)); Cretaceous zircons record more primitive delta O-18 and radiogenic epsilon(Hf(T)). Both orthogneiss suites require thorough mixing of mantle-derived magmas with a component of Greenland Group rocks. The relative proportion of this crustal contamination is c. 20-50% for the Devonian orthogneisses and c. 10-40% for the Cretaceous orthogneisses. Orthogneiss protolith materials were largely hybridized prior to and during zircon crystallization, suggesting that plutonic assembly occurred over restricted structural levels. These results demonstrate the ability of zircon to retain detailed petrogenetic information through amphibolite-facies metamorphism with excellent fidelity.</t>
  </si>
  <si>
    <t>[Hiess, Joe; Yi, Keewook] Korea Basic Sci Inst, Div Earth &amp; Environm Sci, Taejon, South Korea; [Hiess, Joe] Victoria Univ Wellington, Sch Geog Environm &amp; Earth Sci, Wellington, New Zealand; [Woodhead, Jon] Univ Melbourne, Sch Earth Sci, Melbourne, Vic 3010, Australia; [Ireland, Trevor] Australian Natl Univ, Res Sch Earth Sci, Canberra, ACT 0200, Australia; [Rattenbury, Mark] GNS Sci, Lower Hutt, New Zealand</t>
  </si>
  <si>
    <t>Korea Basic Science Institute (KBSI); Victoria University Wellington; University of Melbourne; Melbourne Bioinformatics; Australian National University; GNS Science - New Zealand</t>
  </si>
  <si>
    <t>Hiess, J (corresponding author), Korea Basic Sci Inst, Div Earth &amp; Environm Sci, Taejon, South Korea.</t>
  </si>
  <si>
    <t>joe.hiess@vuw.ac.nz</t>
  </si>
  <si>
    <t>Ireland, Trevor R/A-4993-2008; Yi, Keewook/R-3356-2019; Woodhead, Jon/C-2227-2012; Ireland, Trevor R./GSJ-1884-2022</t>
  </si>
  <si>
    <t>Ireland, Trevor R/0000-0001-7617-3889; Yi, Keewook/0000-0003-1331-1142; Rattenbury, Mark/0000-0003-3270-2675; Woodhead, Jon/0000-0002-7614-0136</t>
  </si>
  <si>
    <t>978-1-86239-375-2</t>
  </si>
  <si>
    <t>10.1144/SP389.10</t>
  </si>
  <si>
    <t>BC7SQ</t>
  </si>
  <si>
    <t>WOS:000355194100014</t>
  </si>
  <si>
    <t>Bockheim, JG</t>
  </si>
  <si>
    <t>Bockheim, James G.</t>
  </si>
  <si>
    <t>Cryosols and Earth-System Sciences</t>
  </si>
  <si>
    <t>CRYOPEDOLOGY</t>
  </si>
  <si>
    <t>Progress in Soil Science</t>
  </si>
  <si>
    <t>THAW-LAKE BASINS; TAYLOR GLACIER; TRANSANTARCTIC MOUNTAINS; ANTARCTIC PERMAFROST; DEVELOPMENT RATES; SOIL FORMATION; EARLY HOLOCENE; BEACON VALLEY; ARCTIC ALASKA; WRIGHT VALLEY</t>
  </si>
  <si>
    <t>[Bockheim, James G.] Univ Wisconsin, Dept Soil Sci, Madison, WI 53706 USA</t>
  </si>
  <si>
    <t>University of Wisconsin System; University of Wisconsin Madison</t>
  </si>
  <si>
    <t>Bockheim, JG (corresponding author), Univ Wisconsin, Dept Soil Sci, Madison, WI 53706 USA.</t>
  </si>
  <si>
    <t>SPRINGER INTERNATIONAL PUBLISHING AG</t>
  </si>
  <si>
    <t>2352-4774</t>
  </si>
  <si>
    <t>978-3-319-08485-5</t>
  </si>
  <si>
    <t>PROGR SOIL SCI</t>
  </si>
  <si>
    <t>10.1007/978-3-319-08485-5_11</t>
  </si>
  <si>
    <t>10.1007/978-3-319-08485-5</t>
  </si>
  <si>
    <t>Soil Science</t>
  </si>
  <si>
    <t>Agriculture</t>
  </si>
  <si>
    <t>BH1KG</t>
  </si>
  <si>
    <t>WOS:000398091900012</t>
  </si>
  <si>
    <t>Günther, F; Overduin, PP; Yakshina, IA; Opel, T; Baranskaya, AV; Grigoriev, MN</t>
  </si>
  <si>
    <t>Guenther, F.; Overduin, P. P.; Yakshina, I. A.; Opel, T.; Baranskaya, A. V.; Grigoriev, M. N.</t>
  </si>
  <si>
    <t>Observing Muostakh disappear: permafrost thaw subsidence and erosion of a ground-ice-rich island in response to arctic summer warming and sea ice reduction</t>
  </si>
  <si>
    <t>LAPTEV SEA; COASTAL EROSION; BEAUFORT SEA; NORTHERN SIBERIA; YUKON-TERRITORY; HERSCHEL ISLAND; LATE QUATERNARY; ENERGY-BALANCE; THERMOKARST; LANDSCAPES</t>
  </si>
  <si>
    <t>Observations of coastline retreat using contemporary very high resolution satellite and historical aerial imagery were compared to measurements of open water fraction, summer air temperature, and wind. We analysed seasonal and interannual variations of thawing-induced cliff top retreat (thermo-denudation) and marine abrasion (thermoabrasion) on Muostakh Island in the southern central Laptev Sea. Geomorphometric analysis revealed that total ground ice content on Muostakh is made up of equal amounts of intrasedimentary and macro ground ice and sums up to 87 %, rendering the island particularly susceptible to erosion along the coast, resulting in land loss. Based on topographic reference measurements during field campaigns, we generated digital elevation models using stereophotogrammetry, in order to block-adjust and orthorectify aerial photographs from 1951 and GeoEye, QuickBird, WorldView-1, andWorldView-2 imagery from 2010 to 2013 for change detection. Using sea ice concentration data from the Special Sensor Microwave Imager (SSM/I) and air temperature time series from nearby Tiksi, we calculated the seasonal duration available for thermo-abrasion, expressed as open water days, and for thermo-denudation, based on the number of days with positive mean daily temperatures. Seasonal dynamics of cliff top retreat revealed rapid thermo-denudation rates of -10.2 +/- 4.5 m a(-1) in mid-summer and thermo-abrasion rates along the coastline of -3.4 +/- 2.7 m a(-1) on average during the 2010-2013 observation period, currently almost twice as rapid as the mean rate of -1.8 +/- 1.3 m a(-1) since 1951. Our results showed a close relationship between mean summer air temperature and coastal thermo-erosion rates, in agreement with observations made for various permafrost coastlines different to the East Siberian Ice Complex coasts elsewhere in the Arctic. Seasonality of coastline retreat and interannual variations of environmental factors suggest that an increasing length of thermo-denudation and thermo-abrasion process simultaneity favours greater coastal erosion. Coastal thermoerosion has reduced the island's area by 0.9 km(2) (24 %) over the past 62 years but shrank its volume by 28 x 10(6) m(3) (40 %), not least because of permafrost thaw subsidence, with the most pronounced with rates of &gt;= -11 cm a(-1) on yedoma uplands near the island's rapidly eroding northern cape. Recent acceleration in both will halve Muostakh Island's lifetime to less than a century.</t>
  </si>
  <si>
    <t>[Guenther, F.; Overduin, P. P.; Opel, T.] Helmholtz Ctr Polar &amp; Marine Res, Alfred Wegener Inst, Potsdam, Germany; [Yakshina, I. A.] Ust Lensky State Nat Reserve, Tiksi, Yakutia, Russia; [Baranskaya, A. V.] Moscow MV Lomonosov State Univ, Fac Geog, Lab Geoecol North, Moscow, Russia; [Grigoriev, M. N.] Russian Acad Sci, Siberian Branch, Melnikov Permafrost Inst, Yakutsk, Russia</t>
  </si>
  <si>
    <t>Helmholtz Association; Alfred Wegener Institute, Helmholtz Centre for Polar &amp; Marine Research; Lomonosov Moscow State University; Melnikov Permafrost Institute, Siberian Branch of the RAS; Russian Academy of Sciences</t>
  </si>
  <si>
    <t>Günther, F (corresponding author), Helmholtz Ctr Polar &amp; Marine Res, Alfred Wegener Inst, Potsdam, Germany.</t>
  </si>
  <si>
    <t>frank.guenther@awi.de</t>
  </si>
  <si>
    <t>Overduin, Paul P/B-3258-2017; Günther, Frank/O-5226-2015; Baranskaya, Alisa/L-8701-2015; Opel, Thomas/O-9037-2014</t>
  </si>
  <si>
    <t>Overduin, Paul P/0000-0001-9849-4712; Günther, Frank/0000-0001-8298-8937; Baranskaya, Alisa/0000-0001-8392-1638; Opel, Thomas/0000-0003-1315-8256</t>
  </si>
  <si>
    <t>Potsdam Research Cluster for Georisk Analysis and Sustainability (PROGRESS); ERC; Deutsche Forschungsgemeinschaft [OP 217/2-1]</t>
  </si>
  <si>
    <t>Potsdam Research Cluster for Georisk Analysis and Sustainability (PROGRESS); ERC(European Research Council (ERC)); Deutsche Forschungsgemeinschaft(German Research Foundation (DFG))</t>
  </si>
  <si>
    <t>We acknowledge the support of this research through the Potsdam Research Cluster for Georisk Analysis and Sustainability (PROGRESS) and the ERC Starting Grant PETA-CARB. This paper contributes to the Eurasian Arctic Ice 4k project (grant OP 217/2-1 awarded to Thomas Opel by Deutsche Forschungsgemeinschaft). We are thankful for the logistical support of our partners from the Tiksi Hydrobase, the Lena Delta Reserve, and the Arctic and Antarctic Institute, St. Petersburg, Russian Federation. We would like to thank our colleagues H. Meyer, A. S. Makarov, A. N. Sandakov and S. Wetterich for the pleasant collaboration in the field. We kindly thank I. Overeem and an anonymous referee for careful revisions that improved the manuscript. Freely available hydrometeorological data sets (WMO) and sea ice concentrations from Centre de Recherche et d'Exploitation Satellitaire (CERSAT), at IFREMER, Plouzane (France) are gratefully acknowledged.</t>
  </si>
  <si>
    <t>10.5194/tc-9-151-2015</t>
  </si>
  <si>
    <t>WOS:000350555400013</t>
  </si>
  <si>
    <t>Gorodetskaya, IV; Kneifel, S; Maahn, M; Van Tricht, K; Thiery, W; Schween, JH; Mangold, A; Crewell, S; Van Lipzig, NPM</t>
  </si>
  <si>
    <t>Gorodetskaya, I. V.; Kneifel, S.; Maahn, M.; Van Tricht, K.; Thiery, W.; Schween, J. H.; Mangold, A.; Crewell, S.; Van Lipzig, N. P. M.</t>
  </si>
  <si>
    <t>Cloud and precipitation properties from ground-based remote-sensing instruments in East Antarctica</t>
  </si>
  <si>
    <t>SURFACE MASS-BALANCE; DRONNING MAUD LAND; MIXED-PHASE CLOUDS; SEA-LEVEL CHANGE; ICE-SHEET; SNOWDRIFT SUBLIMATION; OPTICAL-PROPERTIES; SNOW ACCUMULATION; DRIFTING SNOW; CLIMATE MODEL</t>
  </si>
  <si>
    <t>A new comprehensive cloud-precipitation-meteorological observatory has been established at Princess Elisabeth base, located in the escarpment zone of Dronning Maud Land (DML), East Antarctica. The observatory consists of a set of ground-based remote-sensing instruments (ceilometer, infrared pyrometer and vertically profiling precipitation radar) combined with automatic weather station measurements of near-surface meteorology, radiative fluxes, and snow height. In this paper, the observatory is presented and the potential for studying the evolution of clouds and precipitating systems is illustrated by case studies. It is shown that the synergetic use of the set of instruments allows for distinguishing ice, liquid-containing clouds and precipitating clouds, including some information on their vertical extent. In addition, wind-driven blowing snow events can be distinguished from deeper precipitating systems. Cloud properties largely affect the surface radiative fluxes, with liquid-containing clouds dominating the radiative impact. A statistical analysis of all measurements (in total 14 months mainly during summer-beginning of winter) indicates that these liquid-containing clouds occur during as much as 20% of the cloudy periods. The cloud occurrence shows a strong bimodal distribution with clear-sky conditions 51% of the time and complete overcast conditions 35% of the time. Snowfall occurred during 17% of the cloudy periods with a predominance of light precipitation and only rare events with snowfall &gt; 1 mm h(-1) water equivalent (w.e.). Three of such intense snowfall events occurred during 2011 contributing to anomalously large annual surface mass balance (SMB). Large accumulation events (&gt; 10 mm w.e. day(-1)) during the radar-measurement period of 26 months were always associated with snowfall, but at the same time other snowfall events did not always lead to accumulation. The multiyear deployment of a precipitation radar in Antarctica allows for assessing the contribution of the snowfall to the local SMB and comparing it to the other SMB components. During 2012, snowfall rate was 110 +/- 20 mm w.e. yr(-1), from which surface and drifting snow sublimation removed together 23 %. Given the measured yearly SMB of 52 +/- 3 mm w.e., the residual term of 33 +/- 21 mm w.e. yr(-1) was attributed to the wind-driven snow erosion. In general, this promising set of robust instrumentation allows for improved insight into cloud and precipitation processes in Antarctica and can be easily deployed at other Antarctic stations.</t>
  </si>
  <si>
    <t>[Gorodetskaya, I. V.; Van Tricht, K.; Thiery, W.; Van Lipzig, N. P. M.] KU Leuven Univ Leuven, Dept Earth &amp; Environm Sci, Heverlee, Belgium; [Kneifel, S.; Maahn, M.; Schween, J. H.; Crewell, S.] Univ Cologne, Inst Geophys &amp; Meteorol, Cologne, Germany; [Kneifel, S.] McGill Univ, Dept Atmospher &amp; Ocean Sci, Montreal, PQ, Canada; [Mangold, A.] Royal Meteorol Inst Belgium, Observ Dept, Uccle, Belgium</t>
  </si>
  <si>
    <t>KU Leuven; University of Cologne; McGill University; Royal Meteorological Institute of Belgium</t>
  </si>
  <si>
    <t>Gorodetskaya, IV (corresponding author), KU Leuven Univ Leuven, Dept Earth &amp; Environm Sci, Heverlee, Belgium.</t>
  </si>
  <si>
    <t>irina.gorodetskaya@ees.kuleuven.be</t>
  </si>
  <si>
    <t>Crewell, Susanne/O-1640-2013; van Lipzig, Nicole/ABF-2964-2021; Thiery, Wim/AAJ-6692-2021; Maahn, Maximilian/E-8363-2014; Kneifel, Stefan/A-2044-2015; Gorodetskaya, Irina/K-1987-2015</t>
  </si>
  <si>
    <t>Crewell, Susanne/0000-0003-1251-5805; van Lipzig, Nicole/0000-0003-2899-4046; Thiery, Wim/0000-0002-5183-6145; Maahn, Maximilian/0000-0002-2580-9100; Kneifel, Stefan/0000-0003-2220-2968; Gorodetskaya, Irina/0000-0002-2294-7823; Schween, Jan Herbert/0000-0001-6686-1207</t>
  </si>
  <si>
    <t>Belgian Federal Science Policy (BELSPO) [EA/01/04AB]; BELSPO [EA/01/04A, EA/01/04B, EA/34/1A, EA/34/1B]; project ADMIRARI II of the German Research Association (DFG) [LO901/5-1]; Belgian Research Foundation Flanders (FWO); Federal Ministry of Transport, Building and Urban Development (BMVBS) of Germany; German Academic Exchange Service (DAAD)</t>
  </si>
  <si>
    <t>Belgian Federal Science Policy (BELSPO)(Belgian Federal Science Policy Office); BELSPO(Belgian Federal Science Policy Office); project ADMIRARI II of the German Research Association (DFG)(German Research Foundation (DFG)); Belgian Research Foundation Flanders (FWO); Federal Ministry of Transport, Building and Urban Development (BMVBS) of Germany; German Academic Exchange Service (DAAD)(Deutscher Akademischer Austausch Dienst (DAAD))</t>
  </si>
  <si>
    <t>This project has been successful thanks to the continuous support of many people, companies and institutions. We are grateful to the Belgian Federal Science Policy (BELSPO) for the financial support of the HYDRANT project (EA/01/04AB). We thank International Polar Foundation (IPF) and all staff at Princess Elisabeth base for providing the infrastructure, technical and logistical support, and particularly Erik Verhagen and Karel Moerman (IPF) for help with on-site instrument maintenance. Special thanks for continuous technical support of the KU Leuven engineers Jos Meersmans and Valentijn Tuts, and all companies who provided the remote-sensing instruments and technical support - Vaisala (Finland), Heitronics/MeraBenelux (Germany/the Netherlands), Metek (Germany), and Mobotix (Germany). Many thanks to Johan Boon and Hilde Vandenhoeck (KU Leuven) for computer and website support. We are grateful to Michiel van den Broeke, Carleen Reijmer and Wim Boot (Institute for Marine and Atmospheric research Utrecht, the Netherlands) for scientific discussions, the AWS development, support and raw data processing. We are grateful to Roland Meister (Institute for Snow and Avalanche Research - SLF, Switzerland) for providing the equipment and training for snow pit measurements. We thank the French Glacioclim-SAMBA project (http://www-lgge.ujf-grenoble.fr/ServiceObs/SiteWebAntarc/glacioclim-samba.php), Christophe Genthon and Vincent Favier (Laboratoire de Glaciologie et Geophysique de l'Environnement, France) and IPF for providing the PE-coast stake-line snow measurements. We thank colleagues from the Regional Climate Studies group at KU Leuven for their support and feedback. I. V. Gorodetskaya was funded by the BELSPO grants EA/01/04A and EA/01/04B; A. Mangold was funded by BELSPO grants EA/34/1A and EA/34/1B; M. Maahn was supported by the project ADMIRARI II of the German Research Association (DFG) under research grant no. LO901/5-1; K. Van Trich was supported by the Belgian Research Foundation Flanders (FWO) PhD fellowship. The University of Cologne contributions were partly performed at the Hans-Ertel Centre for Weather Research - Climate Monitoring Branch funded by the Federal Ministry of Transport, Building and Urban Development (BMVBS) of Germany and supported by a postdoc fellowship of the German Academic Exchange Service (DAAD).</t>
  </si>
  <si>
    <t>10.5194/tc-9-285-2015</t>
  </si>
  <si>
    <t>WOS:000350555400021</t>
  </si>
  <si>
    <t>Diez, A; Eisen, O; Hofstede, C; Lambrecht, A; Mayer, C; Miller, H; Steinhage, D; Binder, T; Weikusat, I</t>
  </si>
  <si>
    <t>Diez, A.; Eisen, O.; Hofstede, C.; Lambrecht, A.; Mayer, C.; Miller, H.; Steinhage, D.; Binder, T.; Weikusat, I.</t>
  </si>
  <si>
    <t>Seismic wave propagation in anisotropic ice - Part 2: Effects of crystal anisotropy in geophysical data</t>
  </si>
  <si>
    <t>ELASTIC-CONSTANTS; DOME</t>
  </si>
  <si>
    <t>We investigate the propagation of seismic waves in anisotropic ice. Two effects are important: (i) sudden changes in crystal orientation fabric (COF) lead to englacial reflections; (ii) the anisotropic fabric induces an angle dependency on the seismic velocities and, thus, recorded travel times. Velocities calculated from the polycrystal elasticity tensor derived for the anisotropic fabric from measured COF eigen-values of the EDML ice core, Antarctica, show good agreement with the velocity trend determined from vertical seismic profiling. The agreement of the absolute velocity values, however, depends on the choice of the monocrystal elasticity tensor used for the calculation of the polycrystal properties. We make use of abrupt changes in COF as a common reflection mechanism for seismic and radar data below the firn-ice transition to determine COF-induced reflections in either data set by joint comparison with ice-core data. Our results highlight the possibility to complement regional radar surveys with local, surface-based seismic experiments to separate isochrones in radar data from other mechanisms. This is important for the reconnaissance of future ice-core drill sites, where accurate isochrone (i.e. non-COF) layer integrity allows for synchronization with other cores, as well as studies of ice dynamics considering non-homogeneous ice viscosity from preferred crystal orientations.</t>
  </si>
  <si>
    <t>[Diez, A.; Eisen, O.; Hofstede, C.; Miller, H.; Steinhage, D.; Weikusat, I.] Helmholtz Zentrum Polar &amp; Meeresforsch, Alfred Wegener Inst, Bremerhaven, Germany; [Diez, A.] Karlsruhe Inst Technol, D-76021 Karlsruhe, Germany; [Eisen, O.] Univ Bremen, Dept Geosci, D-28359 Bremen, Germany; [Lambrecht, A.; Mayer, C.] Bavarian Acad Sci &amp; Humanities, Munich, Germany; [Binder, T.] Heidelberg Univ, Interdisciplinary Ctr Sci Comp, Heidelberg, Germany; [Weikusat, I.] Univ Tubingen, Dept Geosci, Tubingen, Germany</t>
  </si>
  <si>
    <t>Helmholtz Association; Alfred Wegener Institute, Helmholtz Centre for Polar &amp; Marine Research; Helmholtz Association; Karlsruhe Institute of Technology; University of Bremen; Ruprecht Karls University Heidelberg; Eberhard Karls University of Tubingen</t>
  </si>
  <si>
    <t>Diez, A (corresponding author), Univ Calif San Diego, Scripps Inst Oceanog, San Diego, CA 92103 USA.</t>
  </si>
  <si>
    <t>adiez@ucsd.edu</t>
  </si>
  <si>
    <t>Hofstede, Coen/JXM-4966-2024; Eisen, Olaf/K-3846-2012; Weikusat, Ilka/E-8826-2015</t>
  </si>
  <si>
    <t>Eisen, Olaf/0000-0002-6380-962X; Weikusat, Ilka/0000-0002-3023-6036; Miller, Heinrich/0000-0003-1015-2828; Diez, Anja/0000-0001-6443-6135; Mayer, Christoph/0000-0002-4226-4608</t>
  </si>
  <si>
    <t>German Science Foundation (Deutsche Forschungsgemeinschaft, DFG) [EI 672/5-1]; Initiative and Networking Fund of the Helmholtz Association [HGF-VH-NG-802]; DFG [GA1271/8-1]; EU</t>
  </si>
  <si>
    <t>German Science Foundation (Deutsche Forschungsgemeinschaft, DFG)(German Research Foundation (DFG)); Initiative and Networking Fund of the Helmholtz Association; DFG(German Research Foundation (DFG)); EU(European Union (EU))</t>
  </si>
  <si>
    <t>We are grateful for the invaluable support of the AWI logistics team at Kohnen Station, especially Cord Drucker, Holger Wohltmann and Jens Kohler. We thank Rick Blenkner, Pascal Bohleber and Sverrir Hilmarsson for their support during the campaigns, as well as Thomas Bohlen and his group of the Karlsruhe Institute of Technology for their support during this study, especially Christopher Sanz for the picking of VSP travel times. We thank CIC, University of Copenhagen, for the provision of the temperature logger. Financial support for this study was provided to O. Eisen by the German Science Foundation (Deutsche Forschungsgemeinschaft, DFG) Emmy Noether program grant EI 672/5-1. I. Weikusat was supported by the Initiative and Networking Fund of the Helmholtz Association (HGF-VH-NG-802). This work was supported by the DFG in the framework of the priority programme Antarctic research with comparative investigations in Arctic ice areas by grant GA1271/8-1 to T. Binder.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EPICA publication no. 299. We thank A. Brisbourne and the anonymous reviewer for their comments, which greatly helped to improve the manuscript, and H. Gudmundsson for editing of this manuscript.</t>
  </si>
  <si>
    <t>10.5194/tc-9-385-2015</t>
  </si>
  <si>
    <t>WOS:000350555400027</t>
  </si>
  <si>
    <t>Lavoie, C; Domack, EW; Pettit, EC; Scambos, TA; Larter, RD; Schenke, HW; Yoo, KC; Gutt, J; Wellner, J; Canals, M; Anderson, JB; Amblas, D</t>
  </si>
  <si>
    <t>Lavoie, C.; Domack, E. W.; Pettit, E. C.; Scambos, T. A.; Larter, R. D.; Schenke, H. -W.; Yoo, K. C.; Gutt, J.; Wellner, J.; Canals, M.; Anderson, J. B.; Amblas, D.</t>
  </si>
  <si>
    <t>Configuration of the Northern Antarctic Peninsula Ice Sheet at LGM based on a new synthesis of seabed imagery</t>
  </si>
  <si>
    <t>GLACIAL GEOMORPHIC FEATURES; CONTINENTAL-SHELF; WEST ANTARCTICA; PACIFIC MARGIN; FLOOR EVIDENCE; WEDDELL SEA; SIPLE DOME; STREAM; HISTORY; RETREAT</t>
  </si>
  <si>
    <t>We present a new seafloor map for the northern Antarctic Peninsula (AP), including swath multibeam data sets from five national programs. Our map allows for the examination and interpretation of Last Glacial Maximum (LGM) paleo-ice-flow paths developed on the seafloor from the preservation of mega-scale glacial lineations, drumlinized features, and selective linear erosion. We combine this with terrestrial observations of flow direction to place constraints on ice divides and ice domes on the AP continental shelf during the LGM time interval. The results show a flow bifurcation as ice exits the Larsen B embayment. Flow emanating off the Seal Nunataks (including Robertson Island) is directed toward the southeast, then eastward as the flow transits toward the Robertson Trough. A second, stronger streaming flow is directed toward the southeast, then southward as ice overflowed the tip of the Jason Peninsula to reach the southern perimeter of the embayment. Our reconstruction also refines the extent of at least five other distinct paleo-ice-stream systems that, in turn, serve to delineate seven broad regions where contemporaneous ice domes must have been centered on the continental shelf at LGM. Our reconstruction is more detailed than other recent compilations because we followed specific ice-flow indicators and have kept tributary flow paths parallel.</t>
  </si>
  <si>
    <t>[Lavoie, C.] Ist Nazl Oceanog &amp; Geofis Sperimentale OGS, I-34010 Borgo Grotta Gigante, Sgonico, Italy; [Lavoie, C.] Univ Aveiro, CESAM, Dept Geosci, P-3810193 Aveiro, Portugal; [Domack, E. W.] Univ S Florida, Coll Marine Sci, St Petersburg, FL 33701 USA; [Pettit, E. C.] Univ Alaska Fairbanks, Dept Geosci, Fairbanks, AK 99775 USA; [Scambos, T. A.] Univ Colorado, Natl Snow &amp; Ice Data Ctr, Boulder, CO 80309 USA; [Larter, R. D.] British Antarctic Survey, Cambridge CB3 0ET, England; [Schenke, H. -W.; Gutt, J.] Helmholtz Ctr Polar &amp; Marine Res, Alfred Wegener Inst, D-27568 Bremerhaven, Germany; [Yoo, K. C.] Korean Polar Res Inst, Inchon 406840, South Korea; [Wellner, J.] Univ Houston, Dept Earth &amp; Atmospher Sci, Houston, TX 77204 USA; [Canals, M.; Amblas, D.] Univ Barcelona, GRR Marine Geosci, Dept Estratig Paleontol &amp; Geociencies Marines, E-08028 Barcelona, Spain; [Anderson, J. B.] Rice Univ, Dept Earth Sci, Houston, TX 77251 USA</t>
  </si>
  <si>
    <t>Istituto Nazionale di Oceanografia e di Geofisica Sperimentale; Universidade de Aveiro; State University System of Florida; University of South Florida; University of Alaska System; University of Alaska Fairbanks; University of Colorado System; University of Colorado Boulder; UK Research &amp; Innovation (UKRI); Natural Environment Research Council (NERC); NERC British Antarctic Survey; Helmholtz Association; Alfred Wegener Institute, Helmholtz Centre for Polar &amp; Marine Research; Korea Polar Research Institute (KOPRI); University of Houston System; University of Houston; University of Barcelona; Rice University</t>
  </si>
  <si>
    <t>Lavoie, C (corresponding author), Ist Nazl Oceanog &amp; Geofis Sperimentale OGS, I-34010 Borgo Grotta Gigante, Sgonico, Italy.</t>
  </si>
  <si>
    <t>clavoie@ua.pt; edomack@usf.edu</t>
  </si>
  <si>
    <t>Amblas, David/A-5482-2015; Canals, Miquel/F-4922-2013</t>
  </si>
  <si>
    <t>Canals, Miquel/0000-0001-5267-7601; SCAMBOS, Ted A./0000-0003-4268-6322; Pettit, Erin Christine/0000-0002-6765-9841; Larter, Robert/0000-0002-8414-7389; Gutt, Julian/0000-0003-3773-9370</t>
  </si>
  <si>
    <t>US National Science Foundation [OPP-0732467, ANT-1340261, ANT-0732921, OPP-0855265]; Korean Polar Research Institute [PP14010]; TALENTS Marie Curie COFUND FP7 Programme; an individual research assistant contract within the project MARES-Sustainable Use of Marine Resources [CENTRO-07-ST24-FEDER-002033]; QREN, Mais Centro - Programa Operacional Regional do Centro e Uniao Europeia/European Regional Development Fund (EU); Natural Environment Research Council [bas0100027, bas0100030] Funding Source: researchfish; NERC [bas0100027, bas0100030] Funding Source: UKRI; Office of Polar Programs (OPP); Directorate For Geosciences [1246353, 0855265] Funding Source: National Science Foundation</t>
  </si>
  <si>
    <t>US National Science Foundation(National Science Foundation (NSF)); Korean Polar Research Institute; TALENTS Marie Curie COFUND FP7 Programme; an individual research assistant contract within the project MARES-Sustainable Use of Marine Resources; QREN, Mais Centro - Programa Operacional Regional do Centro e Uniao Europeia/European Regional Development Fund (EU)(European Union (EU)); Natural Environment Research Council(UK Research &amp; Innovation (UKRI)Natural Environment Research Council (NERC)); NERC(UK Research &amp; Innovation (UKRI)Natural Environment Research Council (NERC)); Office of Polar Programs (OPP); Directorate For Geosciences(National Science Foundation (NSF)NSF - Directorate for Geosciences (GEO))</t>
  </si>
  <si>
    <t>This work was funded by US National Science Foundation grants OPP-0732467 to Eugene W. Domack, ANT-1340261 and ANT-0732921 to Ted Scambos, and OPP-0855265 to Erin C. Pettit and by the Korean Polar Research Institute (PP14010). In addition, we thank the captains and crews of the RVIB Nathaniel B. Palmer, Polarstern, RRS James Clark Ross, BIO Hesperides, and Araon and support staff and scientific parties who participated in cruises. This work contains public sector information, licensed under the Open Government Licence v2.0, from the United Kingdom Hydrographic Office for the data collected on HMS Endurance, HMS Scott, and HMS Protector. We thank all principal investigator owners of the released swath multibeam data from the Marine Geoscience Data System portal hosted by Lamont-Doherty Earth Observatory of Columbia University (http://www.marine-geo.org/index.php). C. L. was supported by TALENTS Marie Curie COFUND FP7 Programme and an individual research assistant contract within the project MARES-Sustainable Use of Marine Resources (CENTRO-07-ST24-FEDER-002033), co-financed by QREN, Mais Centro - Programa Operacional Regional do Centro e Uniao Europeia/European Regional Development Fund (EU). We wish to thank the reviewers (Mike Bentley and Phil O'Brien) for very helpful reviews of the Discussion version of this manuscript.</t>
  </si>
  <si>
    <t>10.5194/tc-9-613-2015</t>
  </si>
  <si>
    <t>WOS:000353878400014</t>
  </si>
  <si>
    <t>Schoen, N; Zammit-Mangion, A; Rougier, JC; Flament, T; Rémy, F; Luthcke, S; Bamber, JL</t>
  </si>
  <si>
    <t>Schoen, N.; Zammit-Mangion, A.; Rougier, J. C.; Flament, T.; Remy, F.; Luthcke, S.; Bamber, J. L.</t>
  </si>
  <si>
    <t>Simultaneous solution for mass trends on the West Antarctic Ice Sheet</t>
  </si>
  <si>
    <t>GLACIAL-ISOSTATIC-ADJUSTMENT; SEA-LEVEL RISE; ELEVATION CHANGES; SURFACE; GRACE; GREENLAND; BALANCE; RADAR; MODEL; ACCUMULATION</t>
  </si>
  <si>
    <t>The Antarctic Ice Sheet is the largest potential source of future sea-level rise. Mass loss has been increasing over the last 2 decades for the West Antarctic Ice Sheet (WAIS) but with significant discrepancies between estimates, especially for the Antarctic Peninsula. Most of these estimates utilise geophysical models to explicitly correct the observations for (unobserved) processes. Systematic errors in these models introduce biases in the results which are difficult to quantify. In this study, we provide a statistically rigorous error-bounded trend estimate of ice mass loss over the WAIS from 2003 to 2009 which is almost entirely data driven. Using altimetry, gravimetry, and GPS data in a hierarchical Bayesian framework, we derive spatial fields for ice mass change, surface mass balance, and glacial isostatic adjustment (GIA) without relying explicitly on forward models. The approach we use separates mass and height change contributions from different processes, reproducing spatial features found in, for example, regional climate and GIA forward models, and provides an independent estimate which can be used to validate and test the models. In addition, spatial error estimates are derived for each field. The mass loss estimates we obtain are smaller than some recent results, with a time-averaged mean rate of -76 +/- 15 Gt yr(-1) for the WAIS and Antarctic Peninsula, including the major Antarctic islands. The GIA estimate compares well with results obtained from recent forward models (IJ05-R2) and inverse methods (AGE-1). The Bayesian framework is sufficiently flexible that it can, eventually, be used for the whole of Antarctica, be adapted for other ice sheets and utilise data from other sources such as ice cores, accumulation radar data, and other measurements that contain information about any of the processes that are solved for.</t>
  </si>
  <si>
    <t>[Schoen, N.; Zammit-Mangion, A.; Bamber, J. L.] Univ Bristol, Sch Geog Sci, Bristol Glaciol Ctr, Bristol BS8 1TH, Avon, England; [Zammit-Mangion, A.; Rougier, J. C.] Univ Bristol, Dept Math, Bristol BS8 1TH, Avon, England; [Flament, T.; Remy, F.] LEGOS, Toulouse, France; [Luthcke, S.] NASA, Greenbelt, MD USA</t>
  </si>
  <si>
    <t>University of Bristol; University of Bristol; Universite de Toulouse; Universite Toulouse III - Paul Sabatier; Centre National de la Recherche Scientifique (CNRS); Institut de Recherche pour le Developpement (IRD); Laboratoire d'Etudes en Geophysique et oceanographie spatiales; National Aeronautics &amp; Space Administration (NASA)</t>
  </si>
  <si>
    <t>Bamber, JL (corresponding author), Univ Bristol, Sch Geog Sci, Bristol Glaciol Ctr, Bristol BS8 1TH, Avon, England.</t>
  </si>
  <si>
    <t>j.bamber@bristol.ac.uk</t>
  </si>
  <si>
    <t>Bamber, Jonathan/C-7608-2011; Luthcke, Scott B/D-6283-2012; Zammit-Mangion, Andrew/I-5356-2016</t>
  </si>
  <si>
    <t>Bamber, Jonathan/0000-0002-2280-2819; Zammit-Mangion, Andrew/0000-0002-4164-6866; Flament, Thomas/0000-0001-9702-302X; Rougier, Jonathan/0000-0003-3072-7043</t>
  </si>
  <si>
    <t>UK NERC [NE/I027401/1]; Natural Environment Research Council [NE/I027401/1] Funding Source: researchfish; NERC [NE/I027401/1] Funding Source: UKRI</t>
  </si>
  <si>
    <t>UK NERC(UK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</si>
  <si>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thank the following colleagues for helpful discussions: Volker Klemann, Ingo Sasgen, Matt King, Liz Petrie, Pete Clarke, Martin Horwath, Finn Lindgren, and Valentina Barletta. This work was funded by UK NERC grant NE/I027401/1.</t>
  </si>
  <si>
    <t>10.5194/tc-9-805-2015</t>
  </si>
  <si>
    <t>WOS:000353878400027</t>
  </si>
  <si>
    <t>de Boer, B; Dolan, AM; Bernales, J; Gasson, E; Goelzer, H; Golledge, NR; Sutter, J; Huybrechts, P; Lohmann, G; Rogozhina, I; Abe-Ouchi, A; Saito, F; van de Wal, RSW</t>
  </si>
  <si>
    <t>de Boer, B.; Dolan, A. M.; Bernales, J.; Gasson, E.; Goelzer, H.; Golledge, N. R.; Sutter, J.; Huybrechts, P.; Lohmann, G.; Rogozhina, I.; Abe-Ouchi, A.; Saito, F.; van de Wal, R. S. W.</t>
  </si>
  <si>
    <t>Simulating the Antarctic ice sheet in the late-Pliocene warm period: PLISMIP-ANT, an ice-sheet model intercomparison project</t>
  </si>
  <si>
    <t>PLIOMIP EXPERIMENTAL-DESIGN; GROUNDING-LINE MIGRATION; SEA-LEVEL; SOUTHERN-OCEAN; THWAITES GLACIER; PISM-PIK; SENSITIVITY; SURFACE; GREENLAND; TEMPERATURE</t>
  </si>
  <si>
    <t>In the context of future climate change, understanding the nature and behaviour of ice sheets during warm intervals in Earth history is of fundamental importance. The late Pliocene warm period (also known as the PRISM interval: 3.264 to 3.025 million years before present) can serve as a potential analogue for projected future climates. Although Pliocene ice locations and extents are still poorly constrained, a significant contribution to sea-level rise should be expected from both the Greenland ice sheet and the West and East Antarctic ice sheets based on palaeo sea-level reconstructions. Here, we present results from simulations of the Antarctic ice sheet by means of an international Pliocene Ice Sheet Modeling Intercomparison Project (PLISMIP-ANT). For the experiments, ice-sheet models including the shallow ice and shelf approximations have been used to simulate the complete Antarctic domain (including grounded and floating ice). We compare the performance of six existing numerical ice-sheet models in simulating modern control and Pliocene ice sheets by a suite of five sensitivity experiments. We include an overview of the different ice-sheet models used and how specific model configurations influence the resulting Pliocene Antarctic ice sheet. The six ice-sheet models simulate a comparable present-day ice sheet, considering the models are set up with their own parameter settings. For the Pliocene, the results demonstrate the difficulty of all six models used here to simulate a significant retreat or readvance of the East Antarctic ice grounding line, which is thought to have happened during the Pliocene for the Wilkes and Aurora basins. The specific sea-level contribution of the Antarctic ice sheet at this point cannot be conclusively determined, whereas improved grounding line physics could be essential for a correct representation of the migration of the grounding-line of the Antarctic ice sheet during the Pliocene.</t>
  </si>
  <si>
    <t>[de Boer, B.] Univ Utrecht, Fac Geosci, Dept Earth Sci, Utrecht, Netherlands; [de Boer, B.; van de Wal, R. S. W.] Univ Utrecht, Inst Marine &amp; Atmospher Res Utrecht, Utrecht, Netherlands; [Dolan, A. M.] Univ Leeds, Sch Earth &amp; Environm, Leeds, W Yorkshire, England; [Bernales, J.; Rogozhina, I.] GFZ German Res Ctr Geosci, Helmholtz Ctr Potsdam, Potsdam, Germany; [Bernales, J.] Free Univ Berlin, Berlin, Germany; [Gasson, E.] Univ Massachusetts, Climate Syst Res Ctr, Amherst, MA 01003 USA; [Goelzer, H.; Huybrechts, P.] Vrije Univ Brussel, Earth Syst Sci, Brussels, Belgium; [Goelzer, H.; Huybrechts, P.] Vrije Univ Brussel, Dept Geog, Brussels, Belgium; [Golledge, N. R.] Victoria Univ Wellington, Antarctic Res Ctr, Wellington, New Zealand; [Golledge, N. R.] GNS Sci, Lower Hutt 5011, New Zealand; [Sutter, J.; Lohmann, G.] Alfred Wegener Inst Polar &amp; Marine Res, Bremerhaven, Germany; [Abe-Ouchi, A.] Univ Tokyo, Atmosphere &amp; Ocean Res Inst, Kashiwa, Chiba 2778568, Japan; [Saito, F.] JAMSTEC, Dept Integrated Climate Change Project Res, Yokohama, Kanagawa, Japan</t>
  </si>
  <si>
    <t>Utrecht University; Utrecht University; University of Leeds; Helmholtz Association; Helmholtz-Center Potsdam GFZ German Research Center for Geosciences; Free University of Berlin; University of Massachusetts System; University of Massachusetts Amherst; Vrije Universiteit Brussel; Vrije Universiteit Brussel; Victoria University Wellington; GNS Science - New Zealand; Helmholtz Association; Alfred Wegener Institute, Helmholtz Centre for Polar &amp; Marine Research; University of Tokyo; Japan Agency for Marine-Earth Science &amp; Technology (JAMSTEC)</t>
  </si>
  <si>
    <t>de Boer, B (corresponding author), Univ Utrecht, Fac Geosci, Dept Earth Sci, Utrecht, Netherlands.</t>
  </si>
  <si>
    <t>b.deboer@uu.nl</t>
  </si>
  <si>
    <t>Goelzer, Heiko/M-2367-2016; Rogozhina, Irina/L-4805-2017; Abe-Ouchi, Ayako A/M-6359-2013; van de wal, roderik/D-1705-2011; Lohmann, Gerrit/M-7453-2016; SAITO, Fuyuki/B-8776-2013; Rogozhina, Irina/JFK-1968-2023; Dolan, Aisling M/D-2625-2012; Huybrechts, Philippe/J-5278-2013</t>
  </si>
  <si>
    <t>Goelzer, Heiko/0000-0002-5878-9599; Abe-Ouchi, Ayako A/0000-0003-1745-5952; van de wal, roderik/0000-0003-2543-3892; Lohmann, Gerrit/0000-0003-2089-733X; Gasson, Edward/0000-0003-4653-6217; Rogozhina, Irina/0009-0008-5067-080X; Dolan, Aisling/0000-0002-9585-9648; de Boer, Bas/0000-0002-3696-6654; Sutter, Johannes/0000-0002-3357-2633; Huybrechts, Philippe/0000-0003-1406-0525; Golledge, Nicholas/0000-0001-7676-8970</t>
  </si>
  <si>
    <t>NWO-VICI grant; European Research Council under the European Union Seventh Framework Programme (FP7)/ERC [278636]; PLIOMAX, US National Science Foundation [OCE-1202632]; NWO-EW; SurfSARA Computing and Networking Services; Grants-in-Aid for Scientific Research [25241005] Funding Source: KAKEN</t>
  </si>
  <si>
    <t>NWO-VICI grant(Netherlands Organization for Scientific Research (NWO)); European Research Council under the European Union Seventh Framework Programme (FP7)/ERC(European Research Council (ERC)); PLIOMAX, US National Science Foundation; NWO-EW(Netherlands Organization for Scientific Research (NWO)); SurfSARA Computing and Networking Services; Grants-in-Aid for Scientific Research(Ministry of Education, Culture, Sports, Science and Technology, Japan (MEXT)Japan Society for the Promotion of ScienceGrants-in-Aid for Scientific Research (KAKENHI))</t>
  </si>
  <si>
    <t>The authors would like to thank David Pollard and anonymous reviewers for useful comments on the manuscript. Financial support for B. de Boer was provided through the NWO-VICI grant of L. J. Lourens. A. M. Dolan acknowledges funding from the European Research Council under the European Union Seventh Framework Programme (FP7/2007-2013)/ERC grant agreement no. 278636. E. Gasson supported by PLIOMAX, US National Science Foundation award OCE-1202632. ANICE model runs were performed on the LISA Computer Cluster, B. de Boer acknowledges funding from NWO-EW and would like to acknowledge SurfSARA Computing and Networking Services for their support. HadCM3 simulations were performed at the University of Leeds.</t>
  </si>
  <si>
    <t>10.5194/tc-9-881-2015</t>
  </si>
  <si>
    <t>WOS:000354442400005</t>
  </si>
  <si>
    <t>Wuite, J; Rott, H; Hetzenecker, M; Floricioiu, D; De Rydt, J; Gudmundsson, GH; Nagler, T; Kern, M</t>
  </si>
  <si>
    <t>Wuite, J.; Rott, H.; Hetzenecker, M.; Floricioiu, D.; De Rydt, J.; Gudmundsson, G. H.; Nagler, T.; Kern, M.</t>
  </si>
  <si>
    <t>Evolution of surface velocities and ice discharge of Larsen B outlet glaciers from 1995 to 2013</t>
  </si>
  <si>
    <t>NORTHERN ANTARCTIC PENINSULA; RADIO-ECHO SOUNDINGS; SHELF COLLAPSE; MASS-BALANCE; TANDEM-X; DISINTEGRATION; PATTERN; SHEET; RETREAT</t>
  </si>
  <si>
    <t>We use repeat-pass SAR data to produce detailed maps of surface motion covering the glaciers draining into the former Larsen B Ice Shelf, Antarctic Peninsula, for different epochs between 1995 and 2013. We combine the velocity maps with estimates of ice thickness to analyze fluctuations of ice discharge. The collapse of the central and northern sections of the ice shelf in 2002 led to a near-immediate acceleration of tributary glaciers as well as of the remnant ice shelf in Scar Inlet. Velocities of most of the glaciers discharging directly into the ocean remain to date well above the velocities of the pre-collapse period. The response of individual glaciers differs and velocities show significant temporal fluctuations, implying major variations in ice discharge as well. Due to reduced velocity and ice thickness the ice discharge of Crane Glacier decreased from 5.02 Gt a(-1) in 2007 to 1.72 Gt a(-1) in 2013, whereas Hektoria and Green glaciers continue to show large temporal fluctuations in response to successive stages of frontal retreat. The velocity on Scar Inlet ice shelf increased 2-3-fold since 1995, with the largest increase in the first years after the break-up of the main section of Larsen B. Flask and Leppard glaciers, the largest tributaries to Scar Inlet ice shelf, accelerated. In 2013 their discharge was 38% and 46% higher than in 1995.</t>
  </si>
  <si>
    <t>[Wuite, J.; Rott, H.; Hetzenecker, M.; Nagler, T.] ENVEO IT GmbH, Innsbruck, Austria; [Rott, H.] Univ Innsbruck, Inst Meteorol &amp; Geophys, A-6020 Innsbruck, Austria; [Floricioiu, D.] German Aerosp Ctr, Inst Remote Sensing Technol, Oberpfaffenhofen, Germany; [De Rydt, J.; Gudmundsson, G. H.] British Antarctic Survey, Cambridge CB3 0ET, England; [Kern, M.] ESA ESTEC, Noordwijk, Netherlands</t>
  </si>
  <si>
    <t>University of Innsbruck; Helmholtz Association; German Aerospace Centre (DLR); UK Research &amp; Innovation (UKRI); Natural Environment Research Council (NERC); NERC British Antarctic Survey; European Space Agency</t>
  </si>
  <si>
    <t>Wuite, J (corresponding author), ENVEO IT GmbH, Innsbruck, Austria.</t>
  </si>
  <si>
    <t>jan.wuite@enveo.at</t>
  </si>
  <si>
    <t>Gudmundsson, Gudmundur Hilmar/AAU-5987-2020; Gudmundsson, Gudmundur Hilmar/F-6499-2012; De Rydt, Jan/H-5692-2018</t>
  </si>
  <si>
    <t>Gudmundsson, Gudmundur Hilmar/0000-0003-4236-5369; Gudmundsson, Gudmundur Hilmar/0000-0003-4236-5369; De Rydt, Jan/0000-0002-2978-8706; Wuite, Jan/0000-0001-9333-1586; Rott, Helmut/0000-0003-4719-7376</t>
  </si>
  <si>
    <t>DLR [HYD1864, XTI_GLAC0457]; ESA trough Envisat AO [ID-308]; European Space Agency, ESA [4000105776/12/NL/CBi]; NERC [bas0100027] Funding Source: UKRI; Natural Environment Research Council [bas0100027] Funding Source: researchfish</t>
  </si>
  <si>
    <t>DLR(Helmholtz AssociationGerman Aerospace Centre (DLR)); ESA trough Envisat AO; European Space Agency, ESA(European Space Agency); NERC(UK Research &amp; Innovation (UKRI)Natural Environment Research Council (NERC)); Natural Environment Research Council(UK Research &amp; Innovation (UKRI)Natural Environment Research Council (NERC))</t>
  </si>
  <si>
    <t>The authors would like to thank A. Cook (Univ. Swansea, UK) for providing outlines of glacier basins. The TerraSAR-X data and TanDEM-X data were made available by DLR through project HYD1864 and XTI_GLAC0457, respectively. The ERS SAR and Envisat ASAR data were made available by ESA trough Envisat AO project ID-308. The ICESat laser altimeter data were downloaded from the NASA Distributed Active Archive Center, US National Snow and Ice Data Center (NSIDC), Boulder, Colorado. The work was supported by the European Space Agency, ESA Contract No. 4000105776/12/NL/CBi.</t>
  </si>
  <si>
    <t>10.5194/tc-9-957-2015</t>
  </si>
  <si>
    <t>WOS:000354442400009</t>
  </si>
  <si>
    <t>Holland, PR; Brisbourne, A; Corr, HFJ; McGrath, D; Purdon, K; Paden, J; Fricker, HA; Paolo, FS; Fleming, AH</t>
  </si>
  <si>
    <t>Holland, P. R.; Brisbourne, A.; Corr, H. F. J.; McGrath, D.; Purdon, K.; Paden, J.; Fricker, H. A.; Paolo, F. S.; Fleming, A. H.</t>
  </si>
  <si>
    <t>Oceanic and atmospheric forcing of Larsen C Ice-Shelf thinning</t>
  </si>
  <si>
    <t>ANTARCTIC PENINSULA; STABILITY; DISINTEGRATION; TEMPERATURE; COLLAPSE; GLACIER; BREAKUP; IMPACT; MODIS; FIELD</t>
  </si>
  <si>
    <t>The catastrophic collapses of Larsen A and B ice shelves on the eastern Antarctic Peninsula have caused their tributary glaciers to accelerate, contributing to sea-level rise and freshening the Antarctic Bottom Water formed nearby. The surface of Larsen C Ice Shelf (LCIS), the largest ice shelf on the peninsula, is lowering. This could be caused by unbalanced ocean melting (ice loss) or enhanced firn melting and compaction (englacial air loss). Using a novel method to analyse eight radar surveys, this study derives separate estimates of ice and air thickness changes during a 15-year period. The uncertainties are considerable, but the primary estimate is that the surveyed lowering (0.066 +/- 0.017 myr(-1)) is caused by both ice loss (0.28 +/- 0.18 myr(-1)) and firn-air loss (0.037 +/- 0.026 myr(-1)). The ice loss is much larger than the air loss, but both contribute approximately equally to the lowering because the ice is floating. The ice loss could be explained by high basal melting and/or ice divergence, and the air loss by low surface accumulation or high surface melting and/or compaction. The primary estimate therefore requires that at least two forcings caused the surveyed lowering. Mechanisms are discussed by which LCIS stability could be compromised in the future. The most rapid pathways to collapse are offered by the ungrounding of LCIS from Bawden Ice Rise or ice-front retreat past a compressive arch in strain rates. Recent evidence suggests that either mechanism could pose an imminent risk.</t>
  </si>
  <si>
    <t>[Holland, P. R.; Brisbourne, A.; Corr, H. F. J.; Fleming, A. H.] British Antarctic Survey, Cambridge CB3 0ET, England; [McGrath, D.] USGS Alaska Sci Ctr, Anchorage, AK USA; [McGrath, D.] Univ Colorado, Cooperat Inst Res Environm Sci, Boulder, CO 80309 USA; [Purdon, K.; Paden, J.] Univ Kansas, Ctr Remote Sensing Ice Sheets, Lawrence, KS 66045 USA; [Fricker, H. A.; Paolo, F. S.] Univ Calif San Diego, Scripps Inst Oceanog, La Jolla, CA 92093 USA</t>
  </si>
  <si>
    <t>UK Research &amp; Innovation (UKRI); Natural Environment Research Council (NERC); NERC British Antarctic Survey; United States Department of the Interior; United States Geological Survey; University of Colorado System; University of Colorado Boulder; University of Kansas; University of California System; University of California San Diego; Scripps Institution of Oceanography</t>
  </si>
  <si>
    <t>Holland, PR (corresponding author), British Antarctic Survey, Cambridge CB3 0ET, England.</t>
  </si>
  <si>
    <t>p.holland@bas.ac.uk</t>
  </si>
  <si>
    <t>Corr, Hugh/C-5398-2011; Paolo, Fernando/AGQ-9348-2022; Holland, Paul R/G-2796-2012; Brisbourne, Alex/E-6198-2013</t>
  </si>
  <si>
    <t>Paolo, Fernando/0000-0002-6439-2918; Brisbourne, Alex/0000-0002-9887-7120; MCGRATH, DANIEL/0000-0002-9462-6842; Fricker, Helen Amanda/0000-0002-0921-1432</t>
  </si>
  <si>
    <t>Polar Geospatial Center at the University of Minnesota under NSF OPP [ANT-1043681]; NERC [bas0100033, bas0100027, bas0100028] Funding Source: UKRI; Natural Environment Research Council [bas0100033, bas0100027, bas0100028] Funding Source: researchfish</t>
  </si>
  <si>
    <t>Polar Geospatial Center at the University of Minnesota under NSF OPP; NERC(UK Research &amp; Innovation (UKRI)Natural Environment Research Council (NERC)); Natural Environment Research Council(UK Research &amp; Innovation (UKRI)Natural Environment Research Council (NERC))</t>
  </si>
  <si>
    <t>We gratefully acknowledge the vital contribution of many dedicated field workers and support staff in enabling the radar and satellite campaigns underpinning this study. The imagery in Fig. 10 was provided by the Polar Geospatial Center at the University of Minnesota under NSF OPP agreement ANT-1043681. Laurie Padman is gratefully acknowledged for providing the satellite radar altimetry data and much useful advice.</t>
  </si>
  <si>
    <t>10.5194/tc-9-1005-2015</t>
  </si>
  <si>
    <t>WOS:000354442400012</t>
  </si>
  <si>
    <t>Jansen, D; Luckman, AJ; Cook, A; Bevan, S; Kulessa, B; Hubbard, B; Holland, PR</t>
  </si>
  <si>
    <t>Jansen, D.; Luckman, A. J.; Cook, A.; Bevan, S.; Kulessa, B.; Hubbard, B.; Holland, P. R.</t>
  </si>
  <si>
    <t>Brief Communication: Newly developing rift in Larsen C Ice Shelf presents significant risk to stability</t>
  </si>
  <si>
    <t>ANTARCTIC PENINSULA</t>
  </si>
  <si>
    <t>An established rift in the Larsen C Ice Shelf, formerly constrained by a suture zone containing marine ice, grew rapidly during 2014 and is likely in the near future to generate the largest calving event since the 1980s and result in a new minimum area for the ice shelf. Here we investigate the recent development of the rift, quantify the projected calving event and, using a numerical model, assess its likely impact on ice shelf stability. We find that the ice front is at risk of becoming unstable when the anticipated calving event occurs.</t>
  </si>
  <si>
    <t>[Jansen, D.] Helmholtz Zentrum Polar &amp; Meeres Forsch, Alfred Wegener Inst, Bremerhaven, Germany; [Luckman, A. J.; Cook, A.; Bevan, S.; Kulessa, B.] Swansea Univ, Coll Sci, Dept Geog, Swansea, W Glam, Wales; [Hubbard, B.] Aberystwyth Univ, Inst Geog &amp; Earth Sci, Ctr Glaciol, Aberystwyth, Dyfed, Wales; [Holland, P. R.] British Antarctic Survey, Cambridge CB3 0ET, England</t>
  </si>
  <si>
    <t>Helmholtz Association; Alfred Wegener Institute, Helmholtz Centre for Polar &amp; Marine Research; Swansea University; Aberystwyth University; UK Research &amp; Innovation (UKRI); Natural Environment Research Council (NERC); NERC British Antarctic Survey</t>
  </si>
  <si>
    <t>Jansen, D (corresponding author), Helmholtz Zentrum Polar &amp; Meeres Forsch, Alfred Wegener Inst, Bremerhaven, Germany.</t>
  </si>
  <si>
    <t>daniela.jansen@awi.de</t>
  </si>
  <si>
    <t>Luckman, Adrian/GVS-1716-2022; Holland, Paul R/G-2796-2012; Jansen, Daniela/AAG-2773-2019</t>
  </si>
  <si>
    <t>Hubbard, Bryn/0000-0002-3565-3875; Bevan, Suzanne/0000-0003-2649-2982; Kulessa, Bernd/0000-0002-4830-4949; Luckman, Adrian/0000-0002-9618-5905; Jansen, Daniela/0000-0002-4412-5820</t>
  </si>
  <si>
    <t>NERC SOLIS project [NE/E012914/1]; HGF junior research group [VHNG 802]; NERC [NE/L005409/1]; NERC [bas0100028, NE/L005409/1, NE/E013414/1, NE/L006707/1, NE/E012914/1, bas0100033] Funding Source: UKRI; Natural Environment Research Council [bas0100033, NE/L005409/1, NE/L006707/1, NE/E013414/1, bas0100028, NE/E012914/1] Funding Source: researchfish</t>
  </si>
  <si>
    <t>NERC SOLIS project(UK Research &amp; Innovation (UKRI)Natural Environment Research Council (NERC)); HGF junior research group;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</si>
  <si>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Ted Scambos, Catherine Walker and Maurice Pelto for their constructive comments, which helped to improve this manuscript. This work was carried out as part of the MIDAS project funded by NERC (NE/L005409/1) and continues work carried out under the NERC SOLIS project (NE/E012914/1). D. Jansen was funded by the HGF junior research group The effect of deformation mechanism for ice sheet dynamics (VHNG 802). We are indebted to NASA for the MODIS and Landsat data. D. Jansen would like to thank C. Wesche for helpful discussions.</t>
  </si>
  <si>
    <t>10.5194/tc-9-1223-2015</t>
  </si>
  <si>
    <t>CQ5QA</t>
  </si>
  <si>
    <t>gold, Green Accepted, Green Submitted, Green Published</t>
  </si>
  <si>
    <t>WOS:000360659200014</t>
  </si>
  <si>
    <t>Cornford, SL; Martin, DF; Payne, AJ; Ng, EG; Le Brocq, AM; Gladstone, RM; Edwards, TL; Shannon, SR; Agosta, C; van den Broeke, MR; Hellmer, HH; Krinner, G; Ligtenberg, SRM; Timmermann, R; Vaughan, DG</t>
  </si>
  <si>
    <t>Cornford, S. L.; Martin, D. F.; Payne, A. J.; Ng, E. G.; Le Brocq, A. M.; Gladstone, R. M.; Edwards, T. L.; Shannon, S. R.; Agosta, C.; van den Broeke, M. R.; Hellmer, H. H.; Krinner, G.; Ligtenberg, S. R. M.; Timmermann, R.; Vaughan, D. G.</t>
  </si>
  <si>
    <t>Century-scale simulations of the response of the West Antarctic Ice Sheet to a warming climate</t>
  </si>
  <si>
    <t>PINE ISLAND GLACIER; GROUNDING-LINE MIGRATION; SURFACE MASS-BALANCE; WEDDELL SEA SECTOR; FLOW; SENSITIVITY; MODELS; BED</t>
  </si>
  <si>
    <t>We use the BISICLES adaptive mesh ice sheet model to carry out one, two, and three century simulations of the fast-flowing ice streams of the West Antarctic Ice Sheet, deploying sub-kilometer resolution around the grounding line since coarser resolution results in substantial underestimation of the response. Each of the simulations begins with a geometry and velocity close to present-day observations, and evolves according to variation in meteoric ice accumulation rates and oceanic ice shelf melt rates. Future changes in accumulation and melt rates range from no change, through anomalies computed by atmosphere and ocean models driven by the El and A1B emissions scenarios, to spatially uniform melt rate anomalies that remove most of the ice shelves over a few centuries. We find that variation in the resulting ice dynamics is dominated by the choice of initial conditions and ice shelf melt rate and mesh resolution, although ice accumulation affects the net change in volume above flotation to a similar degree. Given sufficient melt rates, we compute grounding line retreat over hundreds of kilometers in every major ice stream, but the ocean models do not predict such melt rates outside of the Amundsen Sea Embayment until after 2100. Within the Amundsen Sea Embayment the largest single source of variability is the onset of sustained retreat in Thwaites Glacier, which can triple the rate of eustatic sea level rise.</t>
  </si>
  <si>
    <t>[Cornford, S. L.; Payne, A. J.; Gladstone, R. M.; Edwards, T. L.; Shannon, S. R.] Univ Bristol, Sch Geog Sci, Ctr Polar Observat &amp; Modelling, Bristol BS8 1SS, Avon, England; [Martin, D. F.; Ng, E. G.] Univ Calif Berkeley, Lawrence Berkeley Natl Lab, Computat Res Div, Berkeley, CA 94720 USA; [Le Brocq, A. M.] Univ Exeter, Coll Life &amp; Environm Sci, Geog, Exeter EX4 4RJ, Devon, England; [Agosta, C.; Krinner, G.] UJF Grenoble 1, CNRS, Lab Glaciol &amp; Geophys Environm, UMR5183, F-38041 Grenoble, France; [Agosta, C.] Univ Liege, Dept Geog, Liege, Belgium; [van den Broeke, M. R.; Ligtenberg, S. R. M.] Univ Utrecht, Inst Marine &amp; Atmospher Res, Utrecht, Netherlands; [Hellmer, H. H.; Timmermann, R.] Alfred Wegener Inst Polar &amp; Marine Res, D-27570 Bremerhaven, Germany; [Vaughan, D. G.] British Antarctic Survey, Cambridge CB3 0ET, England</t>
  </si>
  <si>
    <t>University of Bristol; University of California System; University of California Berkeley; United States Department of Energy (DOE); Lawrence Berkeley National Laboratory; University of Exeter; Communaute Universite Grenoble Alpes; Universite Grenoble Alpes (UGA); Centre National de la Recherche Scientifique (CNRS); University of Liege; Utrecht University; Helmholtz Association; Alfred Wegener Institute, Helmholtz Centre for Polar &amp; Marine Research; UK Research &amp; Innovation (UKRI); Natural Environment Research Council (NERC); NERC British Antarctic Survey</t>
  </si>
  <si>
    <t>Cornford, SL (corresponding author), Univ Bristol, Sch Geog Sci, Ctr Polar Observat &amp; Modelling, Bristol BS8 1SS, Avon, England.</t>
  </si>
  <si>
    <t>s.l.cornford@bristol.ac.uk</t>
  </si>
  <si>
    <t>Agosta, Cécile/B-9625-2013; Edwards, Tamsin/H-6462-2019; Agosta, Cécile/HLQ-5577-2023; Ligtenberg, Stefan/AAF-8290-2020; Vaughan, David/C-8348-2011; Krinner, Gerhard/AAB-8837-2022; Krinner, Gerhard/A-6450-2011; Van den Broeke, Michiel R./F-7867-2011; Gladstone, Rupert/C-1086-2013; payne, antony/A-8916-2008</t>
  </si>
  <si>
    <t>Agosta, Cécile/0000-0003-4091-1653; Edwards, Tamsin/0000-0002-4760-4704; Krinner, Gerhard/0000-0002-2959-5920; Van den Broeke, Michiel R./0000-0003-4662-7565; Gladstone, Rupert/0000-0002-1582-3857; Cornford, Stephen/0000-0003-1844-274X; payne, antony/0000-0001-8825-8425; Hellmer, Hartmut/0000-0002-9357-9853; Martin, Daniel/0000-0003-4488-2538; Vaughan, David/0000-0002-9065-0570</t>
  </si>
  <si>
    <t>European Union [226375, 115]; NERC iSTAR project; iGlass consortium project; UK National Centre for Earth Observation; Joint Climate and Weather Research Programme; Scientific Discovery through Advanced Computing (SciDAC) project - US Department of Energy, Office of Science, Advanced Scientific Computing Research and Biological and Environmental Research; Office of Science of the US Department of Energy [DE-AC02-05CH11231]; NERC [NE/G012733/2]; Netherlands Polar Program of the Netherlands Organization of Scientific Research (NWO/ALW); LEFE-INSU (project CHARMANT); NERC [NE/G012733/2, NE/I010874/1, NE/J005754/1, bas0100027, cpom30001, NE/J005738/1] Funding Source: UKRI; Natural Environment Research Council [NE/J005754/1, NE/I010874/1, cpom30001, NE/G012733/2, bas0100027, NE/J005738/1] Funding Source: researchfish</t>
  </si>
  <si>
    <t>European Union(European Union (EU)); NERC iSTAR project; iGlass consortium project; UK National Centre for Earth Observation; Joint Climate and Weather Research Programme; Scientific Discovery through Advanced Computing (SciDAC) project - US Department of Energy, Office of Science, Advanced Scientific Computing Research and Biological and Environmental Research(United States Department of Energy (DOE)); Office of Science of the US Department of Energy(United States Department of Energy (DOE)); NERC(UK Research &amp; Innovation (UKRI)Natural Environment Research Council (NERC)); Netherlands Polar Program of the Netherlands Organization of Scientific Research (NWO/ALW); LEFE-INSU (project CHARMANT); NERC(UK Research &amp; Innovation (UKRI)Natural Environment Research Council (NERC)); Natural Environment Research Council(UK Research &amp; Innovation (UKRI)Natural Environment Research Council (NERC))</t>
  </si>
  <si>
    <t>This work was supported by funding from the Ice2sea programme from the European Union 7th Framework Programme (grant number 226375, Ice2sea contribution number 115). Work at the University of Bristol was supported by the NERC iSTAR and iGlass consortium projects, the UK National Centre for Earth Observation and the Joint Climate and Weather Research Programme. Work at Lawrence Berkeley National Laboratory was supported by the Scientific Discovery through Advanced Computing (SciDAC) project funded by the US Department of Energy, Office of Science, Advanced Scientific Computing Research and Biological and Environmental Research. Simulations were carried out using the computational facilities of the Advanced Computing Research Centre, University of Bristol, and resources of the National Energy Research Scientific Computing Center, a DOE Office of Science User Facility supported by the Office of Science of the US Department of Energy under Contract No. DE-AC02-05CH11231. AMLB was supported by NERC fellowship NE/G012733/2. Contributions from the University of Utrecht were made possible by the support of Netherlands Polar Program of the Netherlands Organization of Scientific Research (NWO/ALW). C. Agosta and G. Krinner acknowledge support by LEFE-INSU (project CHARMANT). We thank the editor, two anonymous referees, and the TC staff for their help in improving this paper.</t>
  </si>
  <si>
    <t>10.5194/tc-9-1579-2015</t>
  </si>
  <si>
    <t>CQ5QY</t>
  </si>
  <si>
    <t>WOS:000360661700017</t>
  </si>
  <si>
    <t>Tison, JL; de Angelis, M; Littot, G; Wolff, E; Fischer, H; Hansson, M; Bigler, M; Udisti, R; Wegner, A; Jouzel, J; Stenni, B; Johnsen, S; Masson-Delmotte, V; Landais, A; Lipenkov, V; Loulergue, L; Barnola, JM; Petit, JR; Delmonte, B; Dreyfus, G; Dahl-Jensen, D; Durand, G; Bereiter, B; Schilt, A; Spahni, R; Pol, K; Lorrain, R; Souchez, R; Samyn, D</t>
  </si>
  <si>
    <t>Tison, J. -L.; de Angelis, M.; Littot, G.; Wolff, E.; Fischer, H.; Hansson, M.; Bigler, M.; Udisti, R.; Wegner, A.; Jouzel, J.; Stenni, B.; Johnsen, S.; Masson-Delmotte, V.; Landais, A.; Lipenkov, V.; Loulergue, L.; Barnola, J. -M.; Petit, J. -R.; Delmonte, B.; Dreyfus, G.; Dahl-Jensen, D.; Durand, G.; Bereiter, B.; Schilt, A.; Spahni, R.; Pol, K.; Lorrain, R.; Souchez, R.; Samyn, D.</t>
  </si>
  <si>
    <t>Retrieving the paleoclimatic signal from the deeper part of the EPICA Dome C ice core</t>
  </si>
  <si>
    <t>SUBGLACIAL LAKE VOSTOK; BASAL ICE; CLIMATE VARIABILITY; MILLENNIAL-SCALE; DEBRIS ENTRAINMENT; CENTRAL GREENLAND; EAST ANTARCTICA; DEUTERIUM DATA; POLAR ICE; SHEET</t>
  </si>
  <si>
    <t>An important share of paleoclimatic information is buried within the lowermost layers of deep ice cores. Because improving our records further back in time is one of the main challenges in the near future, it is essential to judge how deep these records remain unaltered, since the proximity of the bedrock is likely to interfere both with the recorded temporal sequence and the ice properties. In this paper, we present a multiparametric study (delta D-delta O-18(ice), delta O-18(atm), total air content, CO2, CH4, N2O, dust, high-resolution chemistry, ice texture) of the bottom 60 m of the EPICA (European Project for Ice Coring in Antarctica) Dome C ice core from central Antarctica. These bottom layers were subdivided into two distinct facies: the lower 12 m showing visible solid inclusions (basal dispersed ice facies) and the upper 48 m, which we will refer to as the basal clean ice facies. Some of the data are consistent with a pristine paleoclimatic signal, others show clear anomalies It is demonstrated that neither large-scale bottom refreezing of subglacial water, nor mixing (be it internal or with a local basal end term from a previous/initial ice sheet configuration) can explain the observed bottom-ice properties. We focus on the high-resolution chemical profiles and on the available remote sensing data on the subglacial topography of the site to propose a mechanism by which relative stretching of the bottom-ice sheet layers is made possible, due to the progressively confining effect of subglacial valley sides. This stress field change, combined with bottom-ice temperature close to the pressure melting point, induces accelerated migration recrystallization, which results in spatial chemical sorting of the impurities, depending on their state (dissolved vs. solid) and if they are involved or not in salt formation. This chemical sorting effect is responsible for the progressive build-up of the visible solid aggregates that therefore mainly originate from within, and not from incorporation processes of debris from the ice sheet's substrate. We further discuss how the proposed mechanism is compatible with the other ice properties described. We conclude that the paleoclimatic signal is only marginally affected in terms of global ice properties at the bottom of EPICA Dome C, but that the timescale was considerably distorted by mechanical stretching of MIS20 due to the increasing influence of the subglacial topography, a process that might have started well above the bottom ice. A clear paleoclimatic signal can therefore not be inferred from the deeper part of the EPICA Dome C ice core. Our work suggests that the existence of a flat monotonic ice bedrock interface, extending for several times the ice thickness, would be a crucial factor in choosing a future oldest ice drilling location in Antarctica.</t>
  </si>
  <si>
    <t>[Tison, J. -L.; Lorrain, R.; Souchez, R.] Univ Libre Bruxelles, Lab Glaciol, B-1050 Brussels, Belgium; [de Angelis, M.; Loulergue, L.; Barnola, J. -M.; Petit, J. -R.; Durand, G.] Lab Glaciol &amp; Geophys Environm, F-38402 St Martin Dheres, France; [Littot, G.; Wolff, E.; Pol, K.] British Antarctic Survey, Cambridge CB3 0ET, England; [Fischer, H.; Bigler, M.; Bereiter, B.; Schilt, A.; Spahni, R.] Univ Bern, Inst Phys, Climate &amp; Environm Phys, CH-3012 Bern, Switzerland; [Fischer, H.; Bigler, M.; Bereiter, B.; Schilt, A.; Spahni, R.] Univ Bern, Oeschger Ctr Climate Change Res, CH-3012 Bern, Switzerland; [Hansson, M.] Stockholm Univ, Dept Phys Geog &amp; Quaternary Geol, S-10691 Stockholm, Sweden; [Udisti, R.] Univ Florence, Dept Chem, I-50019 Florence, Italy; [Wegner, A.] Alfred Wegener Inst, Bremerhaven, Germany; [Jouzel, J.; Masson-Delmotte, V.; Landais, A.] CEA Saclay, CEA CNRS UVSQ, Inst Pierre Simon Laplace, Lab Sci Climat &amp; Environm, F-91191 Gif Sur Yvette, France; [Stenni, B.] Univ Ca Foscari, Dipartimento Sci Ambientali Informat &amp; Stat, Venice, Italy; [Johnsen, S.; Dahl-Jensen, D.] Niels Bohr Inst, DK-2100 Copenhagen, Denmark; [Lipenkov, V.] Arctic &amp; Antarctic Res Inst, St Petersburg 199226, Russia; [Delmonte, B.] Univ Milano Bicocca, Dept Earth &amp; Environm Sci, DISAT, I-20126 Milan, Italy; [Dreyfus, G.] US DOE, Off Policy &amp; Int Affairs, Washington, DC 20585 USA; [Samyn, D.] Nagaoka Univ Technol, Nagaoka, Niigata 9402188, Japan</t>
  </si>
  <si>
    <t>Universite Libre de Bruxelles; UK Research &amp; Innovation (UKRI); Natural Environment Research Council (NERC); NERC British Antarctic Survey; University of Bern; University of Bern; Stockholm University; University of Florence; Helmholtz Association; Alfred Wegener Institute, Helmholtz Centre for Polar &amp; Marine Research; CEA; Centre National de la Recherche Scientifique (CNRS); Universite Paris Saclay; Universite Paris Cite; Universita Ca Foscari Venezia; University of Copenhagen; Niels Bohr Institute; Arctic &amp; Antarctic Research Institute; University of Milano-Bicocca; United States Department of Energy (DOE); Nagaoka University of Technology</t>
  </si>
  <si>
    <t>Tison, JL (corresponding author), Univ Libre Bruxelles, Lab Glaciol, CP 160-03,50,Av Roosevelt, B-1050 Brussels, Belgium.</t>
  </si>
  <si>
    <t>jtison@ulb.ac.be</t>
  </si>
  <si>
    <t>Delmonte, Barbara/L-2555-2015; Bigler, Matthias/HTT-3872-2023; Dahl-Jensen, Dorthe/AAO-6951-2020; Wolff, Eric W/D-7925-2014; Masson-Delmotte, Valerie L/G-1995-2011; Udisti, Roberto/M-7966-2015; Bishnoi, Mamta/AAQ-8346-2021; Lipenkov, Vladimir/Q-8262-2016; Fischer, Hubertus/A-1211-2014</t>
  </si>
  <si>
    <t>Delmonte, Barbara/0000-0002-9074-2061; Bigler, Matthias/0000-0003-0184-4013; Dahl-Jensen, Dorthe/0000-0002-1474-1948; Wolff, Eric W/0000-0002-5914-8531; Masson-Delmotte, Valerie L/0000-0001-8296-381X; Udisti, Roberto/0000-0003-4440-8238; Bishnoi, Mamta/0000-0003-4987-0536; Lipenkov, Vladimir/0000-0003-4221-5440; LANDAIS, Amaelle/0000-0002-5620-5465; POL, Katy/0000-0002-3467-3698; Schilt, Adrian/0000-0001-6312-7947; Becagli, Silvia/0000-0003-3633-4849; Fischer, Hubertus/0000-0002-2787-4221; Stenni, Barbara/0000-0003-4950-3664; Durand, Gael/0000-0001-8979-2355</t>
  </si>
  <si>
    <t>EU (EPICA-MIS); Natural Environment Research Council [bas0100024, bas0100034] Funding Source: researchfish; NERC [bas0100024, bas0100034] Funding Source: UKRI</t>
  </si>
  <si>
    <t>EU (EPICA-MIS)(European Union (EU)); Natural Environment Research Council(UK Research &amp; Innovation (UKRI)Natural Environment Research Council (NERC)); NERC(UK Research &amp; Innovation (UKRI)Natural Environment Research Council (NERC))</t>
  </si>
  <si>
    <t>This work is a contribution to the European Project for Ice Coring in Antarctica (EPICA), a joint European Science Foundation/European Commission (EC) scientific programme, funded by the EU (EPICA-MIS) and by national contributions from Belgium, Denmark, France, Germany, Italy, The Netherlands, Norway, Sweden, Switzerland and the UK. The main logistic support at Dome C was provided by IPEV and PNRA. The authors wish to warmly thank B. Hubbard and two anonymous referees for their constructive comments on the Discussion version of this manuscript, and D. Raynaud and F. Parrenin for valuable discussions.</t>
  </si>
  <si>
    <t>10.5194/tc-9-1633-2015</t>
  </si>
  <si>
    <t>Green Published, Green Submitted, gold, Green Accepted</t>
  </si>
  <si>
    <t>WOS:000360661700020</t>
  </si>
  <si>
    <t>Rosier, SHR; Gudmundsson, GH; Green, JAM</t>
  </si>
  <si>
    <t>Rosier, S. H. R.; Gudmundsson, G. H.; Green, J. A. M.</t>
  </si>
  <si>
    <t>Temporal variations in the flow of a large Antarctic ice stream controlled by tidally induced changes in the subglacial water system</t>
  </si>
  <si>
    <t>STICK-SLIP MOTION; BASAL PROPERTIES; SURFACE; GLACIER; SHELF; DYNAMICS; VELOCITY; TIDES; MODEL; GPS</t>
  </si>
  <si>
    <t>Observations show that the flow of Rutford Ice Stream (RIS) is strongly modulated by the ocean tides, with the strongest tidal response at the 14.77-day tidal period (M-sf). This is striking because this period is absent in the tidal forcing. A number of mechanisms have been proposed to account for this effect, yet previous modelling studies have struggled to match the observed large amplitude and decay length scale. We use a nonlinear 3-D viscoelastic full-Stokes model of ice-stream flow to investigate this open issue. We find that the long period Msf modulation of ice-stream velocity observed in data cannot be reproduced quantitatively without including a coupling between basal sliding and tidally induced subglacial water pressure variations, transmitted through a highly conductive drainage system at low effective pressure. Furthermore, the basal sliding law requires a water pressure exponent that is strongly nonlinear with q = 10 and a nonlinear basal shear exponent of m = 3. Coupled model results show that sub-ice shelf tides result in a similar to 12 % increase in mean horizontal velocity of the adjoining ice stream. Observations of tidally induced variations in flow of ice streams provide stronger constraints on basal sliding processes than provided by any other set of measurements.</t>
  </si>
  <si>
    <t>[Rosier, S. H. R.; Green, J. A. M.] Bangor Univ, Sch Ocean Sci, Menai Bridge LL59 5AB, Gwynedd, Wales; [Rosier, S. H. R.; Gudmundsson, G. H.] British Antarctic Survey, Cambridge CB3 0ET, England</t>
  </si>
  <si>
    <t>Bangor University; UK Research &amp; Innovation (UKRI); Natural Environment Research Council (NERC); NERC British Antarctic Survey</t>
  </si>
  <si>
    <t>Rosier, SHR (corresponding author), Bangor Univ, Sch Ocean Sci, Menai Bridge LL59 5AB, Gwynedd, Wales.</t>
  </si>
  <si>
    <t>s.rosier@bangor.ac.uk</t>
  </si>
  <si>
    <t>Gudmundsson, Gudmundur Hilmar/AAU-5987-2020; Gudmundsson, Gudmundur Hilmar/F-6499-2012</t>
  </si>
  <si>
    <t>Gudmundsson, Gudmundur Hilmar/0000-0003-4236-5369; Gudmundsson, Gudmundur Hilmar/0000-0003-4236-5369; Green, Mattias/0000-0001-5090-1040; Rosier, Sebastian/0000-0003-3047-9908</t>
  </si>
  <si>
    <t>UK Natural Environment Research Council [NE/J/500203/1, NE/F014821/1]; Natural Environment Research Council [NE/F014821/1, bas0100034] Funding Source: researchfish; NERC [NE/F014821/1, bas0100034]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</si>
  <si>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</si>
  <si>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wish to thank the editor and the two anonymous reviewers for their insightful comments that have helped greatly improve this paper. We also thank J. Kingslake, Jan De Rydt and C. Martin for their comments on the manuscript and many helpful suggestions during the course of this work. The original GPS data was collected with the support of NERC GEF loan 785. This study is part of the British Antarctic Survey Polar Science for Planet Earth Programme. Funding was provided by the UK Natural Environment Research Council through grants NE/J/500203/1 (SHRR PhD studentship) and NE/F014821/1 (JAMG Advanced Fellowship).</t>
  </si>
  <si>
    <t>10.5194/tc-9-1649-2015</t>
  </si>
  <si>
    <t>WOS:000360661700021</t>
  </si>
  <si>
    <t>Durand, G; Pattyn, F</t>
  </si>
  <si>
    <t>Durand, G.; Pattyn, F.</t>
  </si>
  <si>
    <t>Reducing uncertainties in projections of Antarctic ice mass loss</t>
  </si>
  <si>
    <t>SEA-LEVEL RISE; GROUNDING-LINE MIGRATION; PINE ISLAND GLACIER; WEST ANTARCTICA; SHEET MODEL; SPATIAL SENSITIVITIES; ENVIRONMENTAL-CHANGE; FLOW; GREENLAND; REASSESSMENT</t>
  </si>
  <si>
    <t>Climate model projections are often aggregated into multi-model averages of all models participating in an intercomparison project, such as the Coupled Model Inter-comparison Project (CMIP). The multi-model approach provides a sensitivity test to the models' structural choices and implicitly assumes that multiple models provide additional and more reliable information than a single model, with higher confidence being placed on results that are common to an ensemble. A first initiative of the ice sheet modeling community, SeaRISE, provided such multi-model average projections of polar ice sheets' contribution to sea-level rise. The SeaRISE Antarctic numerical experiments aggregated results from all models devoid of a priori selection, based on the capacity of such models to represent key ice-dynamical processes. Here, using the experimental setup proposed in SeaRISE, we demonstrate that correctly representing grounding line dynamics is essential to infer future Antarctic mass change. We further illustrate the significant impact on the ensemble mean and deviation of adding one model with a known bias in its ability of modeling grounding line dynamics. We show that this biased model can hardly be identified from the ensemble only based on its estimation of volume change, as ad hoc and untrustworthy parametrizations can force any modeled grounding line to retreat. However, tools are available to test parts of the response of marine ice sheet models to perturbations of climatic and/or oceanic origin (MISMIP, MISMIP3d). Based on recent projections of Pine Island Glacier mass loss, we further show that excluding ice sheet models that do not pass the MISMIP benchmarks decreases the mean contribution and standard deviation of the multi-model ensemble projection by an order of magnitude for that particular drainage basin.</t>
  </si>
  <si>
    <t>[Durand, G.] CNRS, LGGE, F-38041 Grenoble, France; [Durand, G.] Univ Grenoble Alpes, LGGE, F-38041 Grenoble, France; [Pattyn, F.] Univ Libre Bruxelles, Lab Glaciol, Brussels, Belgium</t>
  </si>
  <si>
    <t>Centre National de la Recherche Scientifique (CNRS); Communaute Universite Grenoble Alpes; Universite Grenoble Alpes (UGA); Communaute Universite Grenoble Alpes; Universite Grenoble Alpes (UGA); Universite Libre de Bruxelles</t>
  </si>
  <si>
    <t>Durand, G (corresponding author), CNRS, LGGE, F-38041 Grenoble, France.</t>
  </si>
  <si>
    <t>durand@lgge.obs.ujf-grenoble.fr</t>
  </si>
  <si>
    <t>Pattyn, Frank/AAA-9640-2019</t>
  </si>
  <si>
    <t>Pattyn, Frank/0000-0003-4805-5636; Durand, Gael/0000-0001-8979-2355</t>
  </si>
  <si>
    <t>French National 960 Research Agency (ANR) under the SUMER (Blanc SIMI 6) [ANR-12-BS06-0018]; Belgian Federal Research Project IceCon (Constraining Antarctic ice mass change) BEL-SPO [SD/CA/06A]; Agence Nationale de la Recherche (ANR) [ANR-12-BS06-0018] Funding Source: Agence Nationale de la Recherche (ANR)</t>
  </si>
  <si>
    <t>French National 960 Research Agency (ANR) under the SUMER (Blanc SIMI 6)(Agence Nationale de la Recherche (ANR)); Belgian Federal Research Project IceCon (Constraining Antarctic ice mass change) BEL-SPO; Agence Nationale de la Recherche (ANR)(Agence Nationale de la Recherche (ANR))</t>
  </si>
  <si>
    <t>This study was funded by the French National 960 Research Agency (ANR) under the SUMER (Blanc SIMI 6) 2012 project referenced as ANR-12-BS06-0018. This research is also a contribution to the Belgian Federal Research Project IceCon (Constraining Antarctic ice mass change) BEL-SPO, contract number SD/CA/06A.</t>
  </si>
  <si>
    <t>10.5194/tc-9-2043-2015</t>
  </si>
  <si>
    <t>DA0YL</t>
  </si>
  <si>
    <t>WOS:000367523400003</t>
  </si>
  <si>
    <t>Mikhalenko, V; Sokratov, S; Kutuzov, S; Ginot, P; Legrand, M; Preunkert, S; Lavrentiev, I; Kozachek, A; Ekaykin, A; Faïn, X; Lim, S; Schotterer, U; Lipenkov, V; Toropov, P</t>
  </si>
  <si>
    <t>Mikhalenko, V.; Sokratov, S.; Kutuzov, S.; Ginot, P.; Legrand, M.; Preunkert, S.; Lavrentiev, I.; Kozachek, A.; Ekaykin, A.; Fain, X.; Lim, S.; Schotterer, U.; Lipenkov, V.; Toropov, P.</t>
  </si>
  <si>
    <t>Investigation of a deep ice core from the Elbrus western plateau, the Caucasus, Russia</t>
  </si>
  <si>
    <t>MT. ELBRUS; GLACIERS; RECONSTRUCTION; MOUNTAINS; GREENLAND; RECORDS; SNOW; DENSIFICATION; KAMCHATKA; PROJECT</t>
  </si>
  <si>
    <t>A 182m ice core was recovered from a borehole drilled into bedrock on the western plateau of Mt. Elbrus (43 degrees 20' 53.9 '' N, 42 degrees 25'36.0 '' E; 5115ma.s.l.) in the Caucasus, Russia, in 2009. This is the first ice core in the region that represents a paleoclimate record that is practically undisturbed by seasonal melting. Relatively high snow accumulation rates at the drilling site enabled the analysis of the intraseasonal variability in climate proxies. Borehole temperatures ranged from -17 degrees C at 10m depth to -2.4 degrees C at 182 m. A detailed radio-echo sounding survey showed that the glacier thickness ranged from 45m near the marginal zone of the plateau up to 255m at the glacier center. The ice core has been analyzed for stable isotopes (delta O-18 and delta D), major ions (K+, Na+, Ca2+, Mg2+, NH4+, SO42-, NO3-, Cl-, F-), succinic acid (HOOCCH2COOH), and tritium content. The mean annual net accumulation rate of 1455mmw : e : for the last 140 years was estimated from distinct annual oscillations of delta O-18, delta D, succinic acid, and NH4+. Annual layer counting also helped date the ice core, agreeing with the absolute markers of the tritium 1963 bomb horizon located at the core depth of 50.7mw : e : and the sulfate peak of the Katmai eruption (1912) at 87.7mw : e : According to mathematical modeling results, the ice age at the maximum glacier depth is predicted to be similar to 660 years BP. The 2009 borehole is located downstream from this point, resulting in an estimated basal ice age of less than 350-400 years BP at the drilling site. The glaciological and initial chemical analyses from the Elbrus ice core help reconstruct the atmospheric history of the European region.</t>
  </si>
  <si>
    <t>[Mikhalenko, V.; Kutuzov, S.; Lavrentiev, I.; Toropov, P.] Russian Acad Sci, Inst Geog, Moscow V71, Russia; [Sokratov, S.] Moscow MV Lomonosov State Univ, Fac Geog, Arctic Environm Lab, Moscow, Russia; [Ginot, P.; Legrand, M.; Preunkert, S.; Fain, X.; Lim, S.] Univ Grenoble Alpes, CNRS UMR5183, Lab Glaciol &amp; Geophys Environm, Grenoble, France; [Kozachek, A.; Ekaykin, A.; Lipenkov, V.] Arctic &amp; Antarctic Res Inst, St Petersburg 199226, Russia; [Schotterer, U.] Univ Bern, Climate &amp; Environm Phys Grp, Bern, Switzerland; [Kozachek, A.] St Petersburg State Univ, St Petersburg 199034, Russia; [Ginot, P.] Univ Grenoble 1, IRD UMS222, CNRS, Observ Sci Univers Grenoble, F-38402 St Martin Dheres, France; [Toropov, P.] Moscow MV Lomonosov State Univ, Fac Geog, Dept Meteorol &amp; Climatol, Moscow, Russia; [Lim, S.] Korea Univ, Dept Earth &amp; Environm Sci, Seoul, South Korea</t>
  </si>
  <si>
    <t>Russian Academy of Sciences; Lomonosov Moscow State University; Centre National de la Recherche Scientifique (CNRS); Communaute Universite Grenoble Alpes; Universite Grenoble Alpes (UGA); Arctic &amp; Antarctic Research Institute; University of Bern; Saint Petersburg State University; Communaute Universite Grenoble Alpes; Universite Grenoble Alpes (UGA); Centre National de la Recherche Scientifique (CNRS); Lomonosov Moscow State University; Korea University</t>
  </si>
  <si>
    <t>Mikhalenko, V (corresponding author), Russian Acad Sci, Inst Geog, Moscow V71, Russia.</t>
  </si>
  <si>
    <t>mikhalenko@hotmail.com</t>
  </si>
  <si>
    <t>Kutuzov, Stanislav/A-2775-2013; Faïn, Xavier/C-8645-2009; Lavrentiev, Ivan/AAG-8519-2021; FAIN, Xavier/AAF-7985-2019; Ekaykin, Alexey A./K-9894-2015; Legrand, Michel/AAU-4678-2020; Kozachek, Anna V./Q-4543-2016; Mikhalenko, Vladimir N/A-4253-2014; Sokratov, Sergey/A-6602-2011; Kozachek, Anna V./JCE-4791-2023; Toropov, Pavel A./O-1903-2013; Lavrentiev, Ivan/E-2224-2017; GINOT, Patrick/B-3770-2009; Lipenkov, Vladimir/Q-8262-2016</t>
  </si>
  <si>
    <t>Kutuzov, Stanislav/0000-0003-2007-0922; Faïn, Xavier/0000-0002-4119-6025; Lavrentiev, Ivan/0000-0002-6902-7186; FAIN, Xavier/0000-0002-4119-6025; Kozachek, Anna V./0000-0002-9704-8064; Sokratov, Sergey/0000-0001-9265-2935; Lavrentiev, Ivan/0000-0002-6902-7186; GINOT, Patrick/0000-0003-4472-3721; Mikhalenko, Vladimir/0000-0001-6097-9861; Lipenkov, Vladimir/0000-0003-4221-5440; Pavel, Toropov/0000-0003-0922-1486</t>
  </si>
  <si>
    <t>Russian Foundation for Basic Research (RFBR) [07-05-00410, 09-05-10043]; Russian Academy of Sciences (Department of Earth Sciences) [ONZ-12]; RFBR [14-05-00137, 14-05-31102]; RSF [14-37-00038]; EU FP7 IP PEGASOS [FP7-ENV-2010/265148]; French ANR program PAPRIKA [ANR-09-CEP-005-02]; CNRS-DFG; LEFE-CHAT program ESCCARGO; IAEA [16184/R0, 16795]; Russian Science Foundation [14-37-00038] Funding Source: Russian Science Foundation</t>
  </si>
  <si>
    <t>Russian Foundation for Basic Research (RFBR)(Russian Foundation for Basic Research (RFBR)); Russian Academy of Sciences (Department of Earth Sciences); RFBR(Russian Foundation for Basic Research (RFBR)); RSF(Russian Science Foundation (RSF)); EU FP7 IP PEGASOS; French ANR program PAPRIKA(Agence Nationale de la Recherche (ANR)); CNRS-DFG(German Research Foundation (DFG)Centre National de la Recherche Scientifique (CNRS)); LEFE-CHAT program ESCCARGO; IAEA(International Atomic Energy Agency); Russian Science Foundation(Russian Science Foundation (RSF))</t>
  </si>
  <si>
    <t>The ice-core recovery in 2009 was funded by the Russian Foundation for Basic Research (RFBR) grants 07-05-00410 and 09-05-10043. V. Mikhalenko, S. Kutuzov, and I. Lavrentiev acknowledge support of the Russian Academy of Sciences (Department of Earth Sciences ONZ-12 Project) and RFBR grant 14-05-00137. S. Sokratov acknowledges support of the RSF (project 14-37-00038) in his contribution to the paper. The ongoing laboratory analyses at LGGE and logistics were supported by the EU FP7 IP PEGASOS (FP7-ENV-2010/265148), the French ANR program PAPRIKA (ANR-09-CEP-005-02), the CNRS-DFG bilateral project entitled Secondary organic aerosol production in the lower free troposphere over western Europe, and the LEFE-CHAT program ESCCARGO. Stable water isotopic analyses were supported by the RFBR grant 14-05-31102 (A. Kozachek, A. Ekaykin, and V. Lipenkov, AARI) and IAEA research contracts 16184/R0 (Stable water isotopes in the cryosphere of the Northern Eurasia), and 16795 (Paleo-Climate Isotope Record from European Mt. Elbrus Ice Core). This research work was conducted in the framework of the International Associated Laboratory (LIA) Climate and Environments from Ice Archives 2012-2016, linking several Russian and French laboratories and institutes. Two anonymous reviewers and the editor are acknowledged for their valuable comments and suggestions to improve the manuscript. The authors thank Natalie Kehrwald for her help in tuning the language.</t>
  </si>
  <si>
    <t>10.5194/tc-9-2253-2015</t>
  </si>
  <si>
    <t>WOS:000367523400016</t>
  </si>
  <si>
    <t>Agosta, C; Fettweis, X; Datta, R</t>
  </si>
  <si>
    <t>Agosta, C.; Fettweis, X.; Datta, R.</t>
  </si>
  <si>
    <t>Evaluation of the CMIP5 models in the aim of regional modelling of the Antarctic surface mass balance</t>
  </si>
  <si>
    <t>ATMOSPHERIC CLIMATE MODEL; ICE-SHEET; REANALYSIS PROJECT; AMUNDSEN SEA; SIMULATIONS; GENERATION; MAR</t>
  </si>
  <si>
    <t>The surface mass balance (SMB) of the Antarctic Ice Sheet cannot be reliably deduced from global climate models (GCMs), both because their spatial resolution is insufficient and because their physics are not adapted for cold and snow-covered regions. By contrast, regional climate models (RCMs) adapted for polar regions can physically and dynamically downscale SMB components over the ice sheet using large-scale forcing at their boundaries. Polar-oriented RCMs require appropriate GCM fields for forcing because the response of the cryosphere to a warming climate is dependent on its initial state and is not linear with respect to temperature increase. In this context, we evaluate the current climate in 41 climate models from the Coupled Model Intercomparison Project Phase 5 (CMIP5) data set over Antarctica by focusing on forcing fields which may have the greatest impact on SMB components simulated by RCMs. Our inter-comparison includes six reanalyses, among which ERA-Interim reanalysis is chosen as a reference over 1979-2014. Model efficiency is assessed taking into account the multi-decadal variability of the fields over the 1850-1980 period. We show that fewer than 10 CMIP5 models show reasonable biases compared to ERA-Interim, among which ACCESS1-3 is the most pertinent choice for forcing RCMs over Antarctica, followed by ACCESS1-0, CESM1-BGC, CESM1-CAM5, NorESM1-M, CCSM4 and EC-EARTH. Finally, climate change over the Southern Ocean in CMIP5 is less sensitive to the global warming signal than it is to the present-day simulated sea-ice extent and to the feedback between sea-ice decrease and air temperature increase around Antarctica.</t>
  </si>
  <si>
    <t>[Agosta, C.; Fettweis, X.] Univ Liege, Dept Geog, Liege, Belgium; [Datta, R.] CUNY, Grad Ctr, New York, NY 10016 USA</t>
  </si>
  <si>
    <t>University of Liege; City University of New York (CUNY) System</t>
  </si>
  <si>
    <t>Agosta, C (corresponding author), Univ Liege, Dept Geog, Liege, Belgium.</t>
  </si>
  <si>
    <t>cecile.agosta@gmail.com</t>
  </si>
  <si>
    <t>Agosta, Cécile/HLQ-5577-2023; Agosta, Cécile/B-9625-2013</t>
  </si>
  <si>
    <t>Agosta, Cécile/0000-0003-4091-1653; Datta, Rajashree Tri/0000-0003-2241-0687; Fettweis, Xavier/0000-0002-4140-3813</t>
  </si>
  <si>
    <t>10.5194/tc-9-2311-2015</t>
  </si>
  <si>
    <t>WOS:000367523400019</t>
  </si>
  <si>
    <t>Goldberg, DN; Heimbach, P; Joughin, I; Smith, B</t>
  </si>
  <si>
    <t>Goldberg, D. N.; Heimbach, P.; Joughin, I.; Smith, B.</t>
  </si>
  <si>
    <t>Committed retreat of Smith, Pope, and Kohler Glaciers over the next 30 years inferred by transient model calibration</t>
  </si>
  <si>
    <t>PINE ISLAND GLACIER; ANTARCTIC ICE SHELVES; WEST ANTARCTICA; THWAITES GLACIERS; DATA ASSIMILATION; MASS-BALANCE; BASAL; ADJOINT; FLOW; SENSITIVITY</t>
  </si>
  <si>
    <t>A glacial flow model of Smith, Pope and Kohler Glaciers is calibrated by means of control methods against time varying, annually resolved observations of ice height and velocities, covering the period 2002 to 2011. The inversion - termed transient calibration - produces an optimal set of time-mean, spatially varying parameters together with a time-evolving state that accounts for the transient nature of observations and the model dynamics. Serving as an optimal initial condition, the estimated state for 2011 is used, with no additional forcing, for predicting grounded ice volume loss and grounding line retreat over the ensuing 30 years. The transiently calibrated model predicts a near-steady loss of grounded ice volume of approximately 21 km(3) a(-1) over this period, as well as loss of 33 km(2) a(-1) grounded area. We contrast this prediction with one obtained following a commonly used snapshot or steady-state inversion, which does not consider time dependence and assumes all observations to be contemporaneous. Transient calibration is shown to achieve a better fit with observations of thinning and grounding line retreat histories, and yields a quantitatively different projection with respect to ice volume loss and ungrounding. Sensitivity studies suggest large near-future levels of unforced, i.e., committed sea level contribution from these ice streams under reasonable assumptions regarding uncertainties of the unknown parameters.</t>
  </si>
  <si>
    <t>[Goldberg, D. N.] Univ Edinburgh, Sch GeoSci, Edinburgh, Midlothian, Scotland; [Heimbach, P.] Univ Texas Austin, Inst Geophys, Inst Computat Engn &amp; Sci, Austin, TX USA; [Joughin, I.; Smith, B.] Univ Washington, Appl Phys Lab, Seattle, WA 98105 USA</t>
  </si>
  <si>
    <t>University of Edinburgh; University of Texas System; University of Texas Austin; University of Washington; University of Washington Seattle</t>
  </si>
  <si>
    <t>Goldberg, DN (corresponding author), Univ Edinburgh, Sch GeoSci, Edinburgh, Midlothian, Scotland.</t>
  </si>
  <si>
    <t>dan.goldberg@ed.ac.uk</t>
  </si>
  <si>
    <t>Joughin, Ian/AAR-7778-2021; Joughin, Ian R/A-2998-2008; Heimbach, Patrick/K-3530-2013</t>
  </si>
  <si>
    <t>Joughin, Ian/0000-0001-6229-679X; Joughin, Ian R/0000-0001-6229-679X; Heimbach, Patrick/0000-0003-3925-6161</t>
  </si>
  <si>
    <t>NERC [NE/M003590/1]; DOE [SC0008060]; NASA [NNX14AJ51G]; NERC [NE/M003590/1] Funding Source: UKRI; Natural Environment Research Council [NE/M003590/1] Funding Source: researchfish; NASA [679654, NNX14AJ51G] Funding Source: Federal RePORTER</t>
  </si>
  <si>
    <t>NERC(UK Research &amp; Innovation (UKRI)Natural Environment Research Council (NERC)); DOE(United States Department of Energy (DOE)); NASA(National Aeronautics &amp; Space Administration (NASA)); NERC(UK Research &amp; Innovation (UKRI)Natural Environment Research Council (NERC)); Natural Environment Research Council(UK Research &amp; Innovation (UKRI)Natural Environment Research Council (NERC)); NASA(National Aeronautics &amp; Space Administration (NASA))</t>
  </si>
  <si>
    <t>The BEDMAP2 data set is available as supplementary material to the source cited. The MEaSUREs data set can be downloaded from http://nsidc.org/data/NSIDC-0484. The time-dependent velocities and surface DEMs can be obtained free of charge by e-mailing the corresponding author. All materials for the ice model and optimization framework is available for download from http://mitgcm.org, except for the automatic differentiation software TAF, which is available for purchase from http://fastopt.com/. D. N. Goldberg acknowledges funding through NERC grant NE/M003590/1. P. Heimbach was supported in part by DOE grant SC0008060 (PISCEES) and NASA grant NNX14AJ51G (N-SLCT).</t>
  </si>
  <si>
    <t>10.5194/tc-9-2429-2015</t>
  </si>
  <si>
    <t>WOS:000367523400027</t>
  </si>
  <si>
    <t>Zhao, YL; Zhu, LL; Sun, Y; Zhou, DQ</t>
  </si>
  <si>
    <t>Zhao, Yan-Ling; Zhu, Lan-Lan; Sun, Yong; Zhou, De-Qing</t>
  </si>
  <si>
    <t>Determination of Fluoride in Antarctic Krill (Euphausia superba) Using Ion Chromatography and its Pretreatments Selection</t>
  </si>
  <si>
    <t>CZECH JOURNAL OF FOOD SCIENCES</t>
  </si>
  <si>
    <t>fluoride in krill; fluoride quantification; extraction methods; preparations</t>
  </si>
  <si>
    <t>INORGANIC ANIONS; WATER; EXTRACTION; ELECTRODE; SAMPLES; ACID</t>
  </si>
  <si>
    <t>A rapid, sensitive and reliable method to quantify fluoride in Antarctic krill has been established. Four different pretreatment methods were used for the extraction of fluoride: double-deionised water extraction, sulphuric acid distillation, hydrochloric acid extraction, and pH adjustment with buffer after hydrochloric acid extraction. Four methods of comparative analysis revealed that sulphuric acid distillation was suitable preparation for ion chromatography determination of fluoride in Antarctic krill (fluoride content 288.7 +/- 10.2 mg/kg). The method was partially validated in linearity, accuracy, and precision. The linear range was from 0.1 to 10.0 mg/l with the regression coefficient of 0.99998. The accuracy expressed as the recoveries of standard addition ranged from 95.3% to 101.3%, the relative standard deviation (n = 8) was 1.8-1.9%. With this method, the 3 sigma limit of detection was 0.06 mg/l of fluoride in Antarctic krill. Our results indicate that the method (limit of quantification 0.2 mg/l) could be well applied for the determination of fluoride in Antarctic krill.</t>
  </si>
  <si>
    <t>[Zhao, Yan-Ling; Zhu, Lan-Lan; Sun, Yong; Zhou, De-Qing] Chinese Acad Fishery Sci, Yellow Sea Fisheries Res Inst, Dept Food Engn &amp; Nutr, Qingdao, Shandong, Peoples R China; [Zhao, Yan-Ling] Shanghai Ocean Univ, Coll Food Sci &amp; Technol, Shanghai, Peoples R China</t>
  </si>
  <si>
    <t>Chinese Academy of Fishery Sciences; Yellow Sea Fisheries Research Institute, CAFS; Shanghai Ocean University</t>
  </si>
  <si>
    <t>Zhou, DQ (corresponding author), Chinese Acad Fishery Sci, Yellow Sea Fisheries Res Inst, Dept Food Engn &amp; Nutr, Qingdao, Shandong, Peoples R China.</t>
  </si>
  <si>
    <t>zhull@ysfri.ac.cn; zhoudq@ysfri.ac.cn</t>
  </si>
  <si>
    <t>yuan, lin/JDW-7387-2023</t>
  </si>
  <si>
    <t>Sun, Yong/0000-0001-5378-242X</t>
  </si>
  <si>
    <t>National Natural Science Foundation of China [31201311]; National High-Tech Research and Development Program of China [2011AA090801]</t>
  </si>
  <si>
    <t>National Natural Science Foundation of China(National Natural Science Foundation of China (NSFC)); National High-Tech Research and Development Program of China(National High Technology Research and Development Program of China)</t>
  </si>
  <si>
    <t>Supported by the National Natural Science Foundation of China, Grant No. 31201311, and National High-Tech Research and Development Program of China, Grant No, 2011AA090801.</t>
  </si>
  <si>
    <t>CZECH ACADEMY AGRICULTURAL SCIENCES</t>
  </si>
  <si>
    <t>PRAGUE</t>
  </si>
  <si>
    <t>TESNOV 17, PRAGUE, 117 05, CZECH REPUBLIC</t>
  </si>
  <si>
    <t>1212-1800</t>
  </si>
  <si>
    <t>1805-9317</t>
  </si>
  <si>
    <t>CZECH J FOOD SCI</t>
  </si>
  <si>
    <t>Czech. J. Food Sci.</t>
  </si>
  <si>
    <t>10.17221/498/2013-CJFS</t>
  </si>
  <si>
    <t>Food Science &amp; Technology</t>
  </si>
  <si>
    <t>CE2NW</t>
  </si>
  <si>
    <t>WOS:000351653300013</t>
  </si>
  <si>
    <t>La, HS; Lee, H; Fielding, S; Kang, D; Ha, HK; Atkinson, A; Park, J; Siegel, V; Lee, S; Shin, HC</t>
  </si>
  <si>
    <t>La, Hyoung Sul; Lee, Hyungbeen; Fielding, Sophie; Kang, Donhyug; Ha, Ho Kyung; Atkinson, Angus; Park, Jisoo; Siegel, Volker; Lee, SangHoon; Shin, Hyoung Chul</t>
  </si>
  <si>
    <t>High density of ice krill (Euphausia crystallorophias) in the Amundsen sea coastal polynya, Antarctica</t>
  </si>
  <si>
    <t>DEEP-SEA RESEARCH PART I-OCEANOGRAPHIC RESEARCH PAPERS</t>
  </si>
  <si>
    <t>Ice krill (Euphausia crystallorophias); krill identification; Acoustic data; Coastal polynya; Amundsen Sea</t>
  </si>
  <si>
    <t>SOUTHERN-OCEAN; WEDDELL SEA; ROSS-SEA; DISTRIBUTION PATTERNS; TARGET-STRENGTH; AUSTRAL SUMMER; DEEP-WATER; PRYDZ BAY; PACK-ICE; SUPERBA</t>
  </si>
  <si>
    <t>High densities of ice krill Euphausia crystallorophias were observed along six acoustic transects within the Amundsen Sea Coastal Polynya, Antarctica. Two-frequency acoustic backscatter data was examined in the austral summers of January 2011 and February 2012. A dB identification window (Sv120-38) identified ice krill dominating the acoustic backscatter. The density of ice krill, calculated with the stochastic distorted-wave born approximation model, ranged between 4.5 and 30 g wet mass m(-2) for each transect (a mean of 16 g wet mass m(-2) for all transects), these high values are an order of magnitude higher than recorded previously in the Ross Sea Polynya. High densities were detected along the ice shelf and near the boundary between pack ice and coastal polynya, and we postulate that these could be important habitats for ice krill. The high densities observed along the transects make ice krill a potentially important, but poorly known contributor to these high-latitude shelf food webs. (C) 2014 Elsevier Ltd. All rights reserved.</t>
  </si>
  <si>
    <t>[La, Hyoung Sul; Park, Jisoo; Lee, SangHoon; Shin, Hyoung Chul] Korea Inst Ocean Sci &amp; Technol, Korea Polar Res Inst, Div Polar Ocean Environm, Inchon 406840, South Korea; [Lee, Hyungbeen] Natl Fisheries Res &amp; Dev Inst, Fisheries Syst Engn Div, Pusan, South Korea; [Fielding, Sophie] British Antarctic Survey, Nat Environm Res Council, Cambridge CB3 0ET, England; [Kang, Donhyug] Korea Inst Ocean Sci &amp; Technol, Maritime Secur Res Ctr, Ansan, South Korea; [Ha, Ho Kyung] Inha Univ, Dept Ocean Sci, Inchon 402751, South Korea; [Atkinson, Angus] Plymouth Marine Lab, Plymouth PL1 3DH, Devon, England; [Siegel, Volker] Thuenen Inst Sea Fisheries, D-22767 Hamburg, Germany</t>
  </si>
  <si>
    <t>Korea Polar Research Institute (KOPRI); Korea Institute of Ocean Science &amp; Technology (KIOST); UK Research &amp; Innovation (UKRI); Natural Environment Research Council (NERC); NERC British Antarctic Survey; Korea Institute of Ocean Science &amp; Technology (KIOST); Inha University; Plymouth Marine Laboratory; Johann Heinrich von Thunen Institute</t>
  </si>
  <si>
    <t>Shin, HC (corresponding author), 213-3 Songdo Dong, Inchon 406840, South Korea.</t>
  </si>
  <si>
    <t>hcshin@kopri.re.kr</t>
  </si>
  <si>
    <t>Ha, Ho Kyung/HCH-4138-2022; Atkinson, Angus/HOH-3417-2023; Fielding, Sophie/E-5137-2012</t>
  </si>
  <si>
    <t>La, Hyoung Sul/0000-0003-1285-580X</t>
  </si>
  <si>
    <t>KOPRI [PP14020]; MOST [PN65890]; Inha University [INHA-49278]; NERC [pml010009] Funding Source: UKRI; Natural Environment Research Council [pml010009] Funding Source: researchfish</t>
  </si>
  <si>
    <t>KOPRI(Korea Polar Research Institute of Marine Research Placement (KOPRI)); MOST; Inha University; NERC(UK Research &amp; Innovation (UKRI)Natural Environment Research Council (NERC)); Natural Environment Research Council(UK Research &amp; Innovation (UKRI)Natural Environment Research Council (NERC))</t>
  </si>
  <si>
    <t>The authors acknowledge the support and dedication of the captain and crews of IBRV ARAON for always completing the work with positive energy. We thank our field teams, which worked together under difficult conditions during the survey. The authors also thank the referees for their comments and suggestions, which improved several aspects of this paper. H. Dahms (Kaohsiung Medical University) and Y. Jiang provided helpful comments that helped improve the manuscript. D.B. Lee gave support to gather the net samples. This research was supported by KOPRI (PP14020), MOST (PN65890), and the Inha University (INHA-49278) Research grants.</t>
  </si>
  <si>
    <t>0967-0637</t>
  </si>
  <si>
    <t>1879-0119</t>
  </si>
  <si>
    <t>DEEP-SEA RES PT I</t>
  </si>
  <si>
    <t>Deep-Sea Res. Part I-Oceanogr. Res. Pap.</t>
  </si>
  <si>
    <t>10.1016/j.dsr.2014.09.002</t>
  </si>
  <si>
    <t>CA0TA</t>
  </si>
  <si>
    <t>WOS:000348628100007</t>
  </si>
  <si>
    <t>Karanovic, I; Brandao, SN</t>
  </si>
  <si>
    <t>Karanovic, Ivana; Brandao, Simone Nunes</t>
  </si>
  <si>
    <t>Biogeography of deep-sea wood fall, cold seep and hydrothermal vent Ostracoda (Crustacea), with the description of a new family and a taxonomic key to living Cytheroidea</t>
  </si>
  <si>
    <t>DEEP-SEA RESEARCH PART II-TOPICAL STUDIES IN OCEANOGRAPHY</t>
  </si>
  <si>
    <t>Deep sea; Ostracoda; Biogeography; Taxonomy; Keysercytheridae; Pacific</t>
  </si>
  <si>
    <t>WATER SEDIMENTS; COMMUNITIES; QUATERNARY; PHYLOGENY; ATLANTIC; GENUS; BIODIVERSITY; ASSOCIATIONS; PODOCOPIDA; EXPEDITION</t>
  </si>
  <si>
    <t>Stimulated by finding a novel cytheroid ostracod in a piece of sunken wood retrieved from the sea-bed in the Kuril-Kamchatka Trench, we have reviewed all previously published data on ostracods from similarly ephemeral deep-sea habitats (wood falls, hydrothermal vents and cold seeps). These data are placed in the context of all data on living, deep-sea ostracods from other environments. We confirm previous authors' conclusions that faunas from these ephemeral habitats are similar at the generic level, and include elements common to shallow and deep habitats. However, at the species level, endemism varies from zero at cold seeps, to 35% in wood falls and 60% at hydrothermal vents, which is an indication of the relative longevity of these habitats. Non-endemic species occur also in oligotrophic, deep-sea sediments but not in shallow environments. This is in contradiction to previous assumptions that these ephemeral faunas share more species and with shallow habitats than genera with the oligotrophic, deep-sea sediments. We agree with previous authors that the dispersal strategy of wood fall, vent and seep ostracods includes hitchhiking and we propose that it also includes the ability to survive ingestion by larger, more motile animals. The homogeneity of the faunas from ephemeral habitats collected off the American continent is in stark contrast to the highly endemic fauna found in Northwestern Pacific. This suggests that the ostracods may have biogeographical patterns similar to those previously proposed for other groups of benthos. However, any proposal for a global biogeographical scheme for ostracod distributions will have to await far more comprehensive coverage from presently unstudied regions. Finally, we describe and name a novel species of ostracod from the wood fall collected at a depth of 5229 m in the abyss east to the Kuril-Kamchatka Trench, Northwestern Pacific; erecting a new family Keysercytheridae fam. nov. and a new genus, Keysercythere gen. nov., to accommodate it, and name it, Keysercythere enricoi sp. nov. We present a preliminary key to all Cytheroidea families for which living representatives have been described. (C) 2014 Elsevier Ltd. All rights reserved.</t>
  </si>
  <si>
    <t>[Karanovic, Ivana] Hanyang Univ, Coll Nat Sci, Dept Life Sci, Seoul 133791, South Korea; [Karanovic, Ivana] Univ Tasmania, Inst Marine &amp; Antarctic Studies, Hobart, Tas 7001, Australia; [Brandao, Simone Nunes] Univ Fed Rio Grande Norte UFRN, Dept Geol, Lab Geol &amp; Geofis Marinha &amp; Monitoramento Ambient, Programa Posgrad Geodinam &amp; Geofis, BR-59072970 Natal, RN, Brazil</t>
  </si>
  <si>
    <t>Hanyang University; University of Tasmania; Universidade Federal do Rio Grande do Norte</t>
  </si>
  <si>
    <t>Karanovic, I (corresponding author), Hanyang Univ, Coll Nat Sci, Dept Life Sci, Seoul 133791, South Korea.</t>
  </si>
  <si>
    <t>ivana.karanovic@utas.edu.au; brandao.sn.100@gmail.com</t>
  </si>
  <si>
    <t>Brandao, Simone/C-9416-2013</t>
  </si>
  <si>
    <t>Brandao, Simone/0000-0002-3487-6129</t>
  </si>
  <si>
    <t>German Ministry for Science and Education; CNPq [400116/2013-8, 374397/2013-9]</t>
  </si>
  <si>
    <t>German Ministry for Science and Education; CNPq(Conselho Nacional de Desenvolvimento Cientifico e Tecnologico (CNPQ))</t>
  </si>
  <si>
    <t>This is KuramBio publication # 29. We thank the German Ministry for Science and Education, the chief scientist and the crew of the KuramBio cruise for the logistics and support. We would like to thank Dr Enrico Schwabe for sending us the material. The first author wants to thank Hanyang and Eulji Universities (both in Seoul) for providing the facilities for the taxonomic work. S.N.B. is/was a postdoctoral fellow of CNPq (Processos nos. 400116/2013-8 and 374397/2013-9) and of the Alexander von Humboldt Foundation. We are thankful to Martin Angel for improving English, to the editors, Angelika Brandt and Marina Malyutina, and two anonymous referees for positive criticism.</t>
  </si>
  <si>
    <t>0967-0645</t>
  </si>
  <si>
    <t>1879-0100</t>
  </si>
  <si>
    <t>DEEP-SEA RES PT II</t>
  </si>
  <si>
    <t>Deep-Sea Res. Part II-Top. Stud. Oceanogr.</t>
  </si>
  <si>
    <t>10.1016/j.dsr2.2014.09.008</t>
  </si>
  <si>
    <t>CA2OL</t>
  </si>
  <si>
    <t>WOS:000348747400009</t>
  </si>
  <si>
    <t>Malyutina, MV</t>
  </si>
  <si>
    <t>Malyutina, Marina V.</t>
  </si>
  <si>
    <t>New data on pacific Microcope (Crustacea, Isopoda, Munnopsidae) with descriptions of two new species and redescription of M. ovata (Birstein, 1970)</t>
  </si>
  <si>
    <t>Northwestern Pacific; Southwestern Pacific; Deep sea; Taxonomy; Asellota; Janiroidea; Microcope stenopigus sp nov.; Microcope justi sp nov a key to Microcope species</t>
  </si>
  <si>
    <t>EPIBENTHIC SLEDGE; ASELLOTA; SEA</t>
  </si>
  <si>
    <t>The isopod family Munnopsidae Lilljeborg, 1864 was the most diverse and species richest family among all macrobenthic organisms collected during the expedition KuramBio in the abyssal area off the Kuril-Kamchatka Trench (R.V. Sonne, 2012). The munnopsid genus Microcope Malyutina, 2008, represented by two species, was one of the most abundant and frequent isopod genera sampled at all stations. Microcope ovata (Birstein, 1970), the only known Pacific species of Microcope to date, is redescribed based on the new collections, since the types of the species were lost. Descriptions of a new species from the KuramBio samples, Microcope stenopigus sp. nov. and a new species from the opposite side of Pacific Ocean, from the southeastern Australian slope, Microcope justi sp. nov., are presented herein. These findings increase the number of described species of Microcope to five and extended the geography of the genus from the previously known South Atlantic, Antarctic and the northwestern Pacific to the new localities from the southwestern Pacific. The depth range for the genus was also extended from 20147370 m, to 427-7370 m. A map of the distribution of the genus Microcope and a key to the described species of Microcope are provided. (C) 2014 Elsevier Ltd. All rights reserved.</t>
  </si>
  <si>
    <t>[Malyutina, Marina V.] FEB RAS, AV Zhirmunsky Inst Marine Biol, Vladivostok 690041, Russia; [Malyutina, Marina V.] Far East Fed Univ, Vladivostok 690600, Russia</t>
  </si>
  <si>
    <t>Russian Academy of Sciences; National Scientific Center of Marine Biology, Far East Branch of the Russian Academy of Sciences; Far Eastern Federal University</t>
  </si>
  <si>
    <t>Malyutina, MV (corresponding author), FEB RAS, AV Zhirmunsky Inst Marine Biol, 17 Palchevskogo Str, Vladivostok 690041, Russia.</t>
  </si>
  <si>
    <t>m_malyutina@mail.ru</t>
  </si>
  <si>
    <t>Malyutina, Marina/A-6839-2014; Malyutina, Marina/JAC-6506-2023</t>
  </si>
  <si>
    <t>Malyutina, Marina/0000-0003-2161-3917</t>
  </si>
  <si>
    <t>PTJ (German Ministry for Science and Education) [03G0223A]; Russian Scientific Foundation [14-14-00232]; Russian Federation Government [11. G34.31.0010]; Russian Science Foundation [14-14-00232] Funding Source: Russian Science Foundation</t>
  </si>
  <si>
    <t>PTJ (German Ministry for Science and Education); Russian Scientific Foundation(Russian Science Foundation (RSF)); Russian Federation Government; Russian Science Foundation(Russian Science Foundation (RSF))</t>
  </si>
  <si>
    <t>I am very grateful to the crew of the R.V. Sonne, all members of the EBS team of the KuramBio expedition who collected and sorted the macrobenthic samples, and personally to Prof. Dr. Angelika Brandt for organizing and leading the expedition which was financed by the PTJ (German Ministry for Science and Education) Grant 03G0223A. The study of the KuramBio species of Microcope was financially supported by the Russian Scientific Foundation (14-14-00232). The work in the Melbourne Museum was supported by the Russian Federation Government Grant no. 11. G34.31.0010. I am thankful to Dr. Gary C.B. Poore and Dr. Chris Rowley for organization of my work in the Museum Victoria, Melbourne, Australia and for the loan of the specimens of Microcope justi sp. nov. for the description. I thank S. Shnurr for creating a map of Micro cope distribution, and the anonymous reviewers for their corrections and comments for improving the manuscript. This is KuramBio publication #20.</t>
  </si>
  <si>
    <t>10.1016/j.dsr2.2014.08.015</t>
  </si>
  <si>
    <t>WOS:000348747400021</t>
  </si>
  <si>
    <t>Borisanova, AO; Chernyshev, AV; Neretina, TV; Stupnikova, AN</t>
  </si>
  <si>
    <t>Borisanova, Anastasia O.; Chernyshev, Alexei V.; Neretina, Tatyana V.; Stupnikova, Alexandra N.</t>
  </si>
  <si>
    <t>Description and phylogenetic position of the first abyssal solitary kamptozoan species from the Kuril-Kamchatka Trench area: Loxosomella profundorum sp nov (Kamptozoa: Loxosomatidae)</t>
  </si>
  <si>
    <t>Entoprocta; Loxosomella; Abyssal; Corallimorpharia; New species; Kuril-Kamchatka Trench; Biogeography; Biodiversity</t>
  </si>
  <si>
    <t>RYUKYU ARCHIPELAGO; ANTARCTIC ENTOPROCTA; OKINAWA; DIVERSITY; TAXONOMY</t>
  </si>
  <si>
    <t>One of two orders of a small phylum Kamptozoa, Solitaria, consisting of one family Loxosomatidae of about 140 species, has never been recorded deeper than 700 m. All known for the north-western Pacific loxosomatids (about 17 species) occur in shallow waters. The first abyssal solitary kamptozoan, Loxosomella profundorum sp. nov. is described herein. It was collected during the German Russian deep-sea expedition KuramBio aboard RV Sonne in the summer of 2012 in the abyssal plain adjacent to the Kuril-Kamchatka Trench. It is the deepest finding of Kamptozoa to date. The new species was found living on the anthozoan polyp Corallimorpharia. L profitndorum sp. nov. is a largest solitary kamptozoan species, up to 4 mm in length, with a stalk of up to 3.5 mm, with 10-12 tentacles, with two conspicuous lateral papillae, and a row of glandular cells in its stalk. A preliminary molecular phylogenetic analysis based on partial 18S rDNA indicated that L profundorum sp. nov. is a sister clade to the clade, which includes other Loxosomella and two species of Loxomitra. (C) 2014 Elsevier Ltd. All rights reserved.</t>
  </si>
  <si>
    <t>[Borisanova, Anastasia O.; Neretina, Tatyana V.] Moscow MV Lomonosov State Univ, Moscow 119991, Russia; [Chernyshev, Alexei V.] Russian Acad Sci, Far East Branch, AV Zhirmunsky Inst Marine Biol, Vladivostok 690041, Russia; [Chernyshev, Alexei V.] Far Eastern Fed Univ, Vladivostok 690600, Russia; [Stupnikova, Alexandra N.] Russian Acad Sci, PP Shirshov Oceanol Inst, Moscow 117997, Russia</t>
  </si>
  <si>
    <t>Lomonosov Moscow State University; Russian Academy of Sciences; National Scientific Center of Marine Biology, Far East Branch of the Russian Academy of Sciences; Far Eastern Federal University; Russian Academy of Sciences; Shirshov Institute of Oceanology</t>
  </si>
  <si>
    <t>Borisanova, AO (corresponding author), Moscow MV Lomonosov State Univ, Moscow 119991, Russia.</t>
  </si>
  <si>
    <t>borisanovaao@mail.ru</t>
  </si>
  <si>
    <t>Neretina, Tatiana Vladimirovna/O-3724-2016; Stupnikova, Alexandra/D-7924-2014; Chernyshev, Alexei/A-7195-2014; Borisanova, Anastasia/AAG-4427-2020</t>
  </si>
  <si>
    <t>Chernyshev, Alexei/0000-0002-2203-3001; Borisanova, Anastasia/0000-0002-9700-6446</t>
  </si>
  <si>
    <t>PTJ (German Ministry for Science and Education) [03G0223A]; Ministry of Education and Science of the Russian Federation [11.G34.31.0008, 11.G34.31.0010]; Council of President of Russian Federation [NSH-1801.2014.4]</t>
  </si>
  <si>
    <t>PTJ (German Ministry for Science and Education); Ministry of Education and Science of the Russian Federation(Ministry of Education and Science, Russian Federation); Council of President of Russian Federation</t>
  </si>
  <si>
    <t>This is KuramBio publication # 13. The authors are thankful to the captain and the crew for logistics and help on board, to Nadezhda Sanamyan for the taxonomic identification of the host coral polyp. The project was undertaken with financial support of the PTJ (German Ministry for Science and Education), Grant 03G0223A to Dr. A. Brandt, Ministry of Education and Science of the Russian Federation (No. 11.G34.31.0008, 11.G34.31.0010), and the grant of the Council of President of Russian Federation NSH-1801.2014.4.</t>
  </si>
  <si>
    <t>10.1016/j.dsr2.2014.07.016</t>
  </si>
  <si>
    <t>WOS:000348747400030</t>
  </si>
  <si>
    <t>Mironov, AN; Minin, KV; Dilman, AB</t>
  </si>
  <si>
    <t>Mironov, A. N.; Minin, K. V.; Dilman, A. B.</t>
  </si>
  <si>
    <t>Abyssal echinoid and asteroid fauna of the North Pacific</t>
  </si>
  <si>
    <t>Echinoidea; Asteroidea; North Pacific; Abyssal; Distribution patterns</t>
  </si>
  <si>
    <t>GENUS STYRACASTER PORCELLANASTERIDAE; MID-ATLANTIC RIDGE; DEEP-SEA FAUNA; EPIBENTHIC MEGAFAUNA; STARFISHES; CAMERA</t>
  </si>
  <si>
    <t>Echinoidea and Asteroidea collected in the Kuril-Kamchatka Trench area by the KuramBio Expedition were examined. Altogether 20 species belonging to 16 genera were found, among them six species and two genera were recorded in the North Pacific for the first time. Morphological variability of Abyssaster tara suggests that this species is congeneric with Sty racaster transitivus and Sty racaster paucispinus. Complete age series of the echinoid Echinosigra amphora and the asteroid Eremicaster crassus are described. The juveniles of E. amphora ( &gt;0.5 mm in length) are characterized by unique ophicephalous pedicellaria in the centre of aboral side of the test. The abyssal echinoid and asteroid fauna of the North Pacific (north of 30 degrees N and deeper than 3000 m) comprises 62 species of 36 genera; 22 species (35%) and 3 genera are endemic to this region. Global distribution patterns of genera support the hypothesis that there were two stages of dispersal from the Antarctic to the North Pacific: at earlier stage the dispersal occurred via the East Pacific and at the later stage - via the West Pacific. The genera that had dispersed at earlier stage are represented only in the North and East Pacific and Antarctic. Distribution ranges of these genera in the East Pacific are limited to the narrow zone extending meridionally along the base of the American continental slope. Genera with such distribution pattern are likely adapted to highly eutrophic conditions. (C) 2014 Elsevier Ltd. All rights reserved.</t>
  </si>
  <si>
    <t>[Mironov, A. N.; Minin, K. V.; Dilman, A. B.] Russian Acad Sci, PP Shirshov Oceanol Inst, Moscow 117997, Russia</t>
  </si>
  <si>
    <t>Minin, KV (corresponding author), Russian Acad Sci, PP Shirshov Oceanol Inst, Nakhimovsky Pr 36, Moscow 117997, Russia.</t>
  </si>
  <si>
    <t>kirill.minin569@gmail.com</t>
  </si>
  <si>
    <t>Mironov, Alexander N./A-5335-2017; Minin, Kirill V./K-8392-2016; Dilman, Anna A.B./K-8938-2016</t>
  </si>
  <si>
    <t>Minin, Kirill/0000-0003-3900-612X</t>
  </si>
  <si>
    <t>Russian Foundation for Basic Research [15-04-03481 A]</t>
  </si>
  <si>
    <t>Russian Foundation for Basic Research(Russian Foundation for Basic Research (RFBR)Spanish Government)</t>
  </si>
  <si>
    <t>We thank Angelika Brandt and Marina Malyutina for the opportunity to examine the KuramBio collection of echinoids and asteroids. We are also grateful to Adam Baldinger, Penny Benson and Robert Woollacott for the access to Kamptosoma asterias stored at Harvard Museum of Natural History. Our thanks to Andrey Gebruk, Andreas Kroh and an anonymous reviewer whose constructive comments and suggestions helped improving this paper. We are grateful to Kate Neill, Sadie Mills and Dr. Christopher Mah for their help with search for some taxonomic publications. This work was supported by the Russian Foundation for Basic Research, grant number 15-04-03481 A. This is the KuramBio publication # 11.</t>
  </si>
  <si>
    <t>10.1016/j.dsr2.2014.08.006</t>
  </si>
  <si>
    <t>WOS:000348747400031</t>
  </si>
  <si>
    <t>Bates, AE; Bird, TJ; Stuart-Smith, RD; Wernberg, T; Sunday, JM; Barrett, NS; Edgar, GJ; Frusher, S; Hobday, AJ; Pecl, GT; Smale, DA; McCarthy, M</t>
  </si>
  <si>
    <t>Bates, Amanda E.; Bird, Tomas J.; Stuart-Smith, Rick D.; Wernberg, Thomas; Sunday, Jennifer M.; Barrett, Neville S.; Edgar, Graham J.; Frusher, Stewart; Hobday, Alistair J.; Pecl, Gretta T.; Smale, Dan A.; McCarthy, Michael</t>
  </si>
  <si>
    <t>Distinguishing geographical range shifts from artefacts of detectability and sampling effort</t>
  </si>
  <si>
    <t>DIVERSITY AND DISTRIBUTIONS</t>
  </si>
  <si>
    <t>Climate warming; extreme value statistics; range edge estimation; sampling methodology</t>
  </si>
  <si>
    <t>CLIMATE-CHANGE; COMMUNITIES; BIRDS; POWER</t>
  </si>
  <si>
    <t>AimThe redistribution of species with climate change is well documented. Even so, the relative contribution of species detectability to the variation in measured range shift rates among species is poorly understood. How can true range shifts be discerned from sampling artefacts? LocationAustralia. MethodsWe simulate range shifts for species which differ in their abundance for comparison to patterns derived from empirical range shift data from two regional-scale (100skm) empirical studies. We demonstrate the use of spatial occupancy data in a distance-to-edge (DTE) model to assess changes in geographical range edges of fish species within a temperate reef fish community. ResultsSimulations identified how sampling design can produce relatively larger error in range shift estimates in less abundant species, patterns that correspond with those observed in real data. Application of the DTE model allowed us to estimate the location of the true range edge with high accuracy in common species. In addition, upper confidence bounds for range edge estimates identified species with range edges that have likely shifted in location. ConclusionsSimulation and modelling approaches used to quantify the level of confidence that can be placed in observed range shifts are particularly valuable for studies of marine species, where observations are typically few and patchy. Given the observed variability in range shift estimates, the inclusion of confidence bounds on estimates of geographical range edges will advance our capacity to disentangle true distributional change from artefacts of sampling design.</t>
  </si>
  <si>
    <t>[Bates, Amanda E.] Univ Southampton, Natl Oceanog Ctr Southampton, Southampton SO14 3ZH, Hants, England; [Bates, Amanda E.; Stuart-Smith, Rick D.; Barrett, Neville S.; Edgar, Graham J.; Frusher, Stewart; Pecl, Gretta T.] Univ Tasmania, Inst Marine &amp; Antarctic Studies, Hobart, Tas 7001, Australia; [Bird, Tomas J.; McCarthy, Michael] Univ Melbourne, Sch Bot, Parkville, Vic 3010, Australia; [Bird, Tomas J.] Univ Southampton, Southampton SO17 1BJ, Hants, England; [Wernberg, Thomas; Smale, Dan A.] Univ Western Australia, UWA Oceans Inst, Crawley, WA 6009, Australia; [Wernberg, Thomas; Smale, Dan A.] Univ Western Australia, Sch Plant Biol, Crawley, WA 6009, Australia; [Sunday, Jennifer M.] Simon Fraser Univ, Dept Biol Sci, Earth Ocean Res Grp, Burnaby, BC V5A 1S6, Canada; [Hobday, Alistair J.] CSIRO Marine &amp; Atmospher Res, Climate Adaptat Flagship, Hobart, Tas 7001, Australia; [Smale, Dan A.] Marine Biol Assoc UK, Plymouth PL1 2PB, Devon, England</t>
  </si>
  <si>
    <t>University of Southampton; NERC National Oceanography Centre; University of Tasmania; University of Melbourne; University of Southampton; University of Western Australia; University of Western Australia; Simon Fraser University; Commonwealth Scientific &amp; Industrial Research Organisation (CSIRO); Marine Biological Association United Kingdom</t>
  </si>
  <si>
    <t>Bates, AE (corresponding author), Univ Southampton, Natl Oceanog Ctr Southampton, Waterfront Campus, Southampton SO14 3ZH, Hants, England.</t>
  </si>
  <si>
    <t>A.E.Bates@soton.ac.uk</t>
  </si>
  <si>
    <t>Hobday, Alistair/A-1460-2012; Bates, Amanda E./ABD-6874-2021; Stuart-Smith, Rick D/M-1829-2013; Pecl, Gretta/D-7267-2011; Wernberg, Thomas/B-4172-2010; Smale, Dan A/B-3240-2011; Stuart-Smith, Rick/I-5214-2019; Sunday, Jennifer/ABE-7396-2020; Smale, Daniel/Y-2909-2019; Edgar, Graham/AAY-3797-2020; Barrett, Neville/J-7593-2014; McCarthy, Michael/O-5655-2014</t>
  </si>
  <si>
    <t>Bates, Amanda E./0000-0002-0198-4537; Stuart-Smith, Rick D/0000-0002-8874-0083; Pecl, Gretta/0000-0003-0192-4339; Wernberg, Thomas/0000-0003-1185-9745; Stuart-Smith, Rick/0000-0002-8874-0083; Smale, Daniel/0000-0003-4157-541X; Edgar, Graham/0000-0003-0833-9001; Barrett, Neville/0000-0002-6167-1356; McCarthy, Michael/0000-0003-1039-7980</t>
  </si>
  <si>
    <t>Australian National Network in Marine Science; James Cook University; University of Tasmania; University of Western Australia; Australian Government Fisheries Research and Development Corporation; Department of Climate Change and Energy Efficiency grant; Australian Research Council (ARC) Centre of Excellence for Environmental Decisions; ARC Future Fellowships; ARC Linkage Grant; NERC Independent Research Fellowship; Marine Biodiversity Hub; Australian Government's National Environmental Research Program; Natural Environment Research Council [NE/K008439/1] Funding Source: researchfish; NERC [NE/K008439/1] Funding Source: UKRI</t>
  </si>
  <si>
    <t>Australian National Network in Marine Science; James Cook University; University of Tasmania; University of Western Australia; Australian Government Fisheries Research and Development Corporation; Department of Climate Change and Energy Efficiency grant; Australian Research Council (ARC) Centre of Excellence for Environmental Decisions(Australian Research Council); ARC Future Fellowships(Australian Research Council); ARC Linkage Grant(Australian Research Council); NERC Independent Research Fellowship(UK Research &amp; Innovation (UKRI)Natural Environment Research Council (NERC)); Marine Biodiversity Hub; Australian Government's National Environmental Research Program(Australian Government); Natural Environment Research Council(UK Research &amp; Innovation (UKRI)Natural Environment Research Council (NERC)); NERC(UK Research &amp; Innovation (UKRI)Natural Environment Research Council (NERC))</t>
  </si>
  <si>
    <t>K. Dixon and G. Kendrick kindly estimated the abundance of southwest Australia algal species. A.E.B. was supported by the Australian National Network in Marine Science (a collaborative funding initiative between James Cook University, The University of Tasmania and The University of Western Australia) and an Australian Government Fisheries Research and Development Corporation and Department of Climate Change and Energy Efficiency grant. T.J.B. and M.M. were supported in part by the Australian Research Council (ARC) Centre of Excellence for Environmental Decisions, M.M. and T.W. by ARC Future Fellowships, G.J.E. and R.S-S. by an ARC Linkage Grant, and D.S. by a NERC Independent Research Fellowship. This research was also supported by the Marine Biodiversity Hub, a collaborative partnership supported through the Australian Government's National Environmental Research Program.</t>
  </si>
  <si>
    <t>1366-9516</t>
  </si>
  <si>
    <t>1472-4642</t>
  </si>
  <si>
    <t>DIVERS DISTRIB</t>
  </si>
  <si>
    <t>Divers. Distrib.</t>
  </si>
  <si>
    <t>10.1111/ddi.12263</t>
  </si>
  <si>
    <t>AW3JI</t>
  </si>
  <si>
    <t>Green Submitted, hybrid</t>
  </si>
  <si>
    <t>WOS:000346182200002</t>
  </si>
  <si>
    <t>Ponganis, PJ</t>
  </si>
  <si>
    <t>Ponganis, P. J.</t>
  </si>
  <si>
    <t>Diving Physiology of Marine Mammals and Seabirds</t>
  </si>
  <si>
    <t>DIVING PHYSIOLOGY OF MARINE MAMMALS AND SEABIRDS</t>
  </si>
  <si>
    <t>NORTHERN ELEPHANT SEALS; BOTTLE-NOSED DOLPHINS; AEROBIC DIVE LIMIT; DOUBLY LABELED WATER; BODY OXYGEN STORES; MUSCLE BLOOD-FLOW; ANTARCTIC FUR SEALS; PENGUINS APTENODYTES-PATAGONICUS; TRICHECHUS-MANATUS-LATIROSTRIS; EUDYPTES-CHRYSOCOME-MOSELEYI</t>
  </si>
  <si>
    <t>THE PITT BUILDING, TRUMPINGTON ST, CAMBRIDGE CB2 1RP, CAMBS, ENGLAND</t>
  </si>
  <si>
    <t>978-0-521-76555-8</t>
  </si>
  <si>
    <t>10.1057/9781137513038</t>
  </si>
  <si>
    <t>BG0SN</t>
  </si>
  <si>
    <t>WOS:000386499900015</t>
  </si>
  <si>
    <t>Heureux, AMC; Rickaby, REM</t>
  </si>
  <si>
    <t>Heureux, Ana M. C.; Rickaby, Rosalind E. M.</t>
  </si>
  <si>
    <t>Refining our estimate of atmospheric CO2 across the Eocene-Oligocene climatic transition</t>
  </si>
  <si>
    <t>Eocene-Oligocene transition; Oi-1; carbon isotopes; carbon dioxide; diatom-bound organic matter; Atlantic Southern Ocean</t>
  </si>
  <si>
    <t>DIATOM THALASSIOSIRA-PSEUDONANA; CARBON-ISOTOPE FRACTIONATION; GROWTH-RATE; CONCENTRATING MECHANISMS; ANTARCTIC GLACIATION; ORGANIC-MATTER; MARINE DIATOMS; SILICA; PHYTOPLANKTON; SEDIMENT</t>
  </si>
  <si>
    <t>The Eocene-Oligocene transition (EOT) followed by Oligocene isotope event 1 (Oi-1) is a dramatic global switch in climate characterized by deep-sea cooling and the first formation of permanent Antarctic ice. Models and proxy evidence suggest that declining partial pressure of atmospheric carbon dioxide (CO2atm) below a threshold may explain the onset of global cooling and associated ice formation at Oi-1. However, significant uncertainty remains in the estimated values and salient features of reconstructed CO2atm across this interval. In this study, we present novel carbon isotope records from size separated diatom associated organic matter (delta C-13(diatom)) preserved in silica frustules. Physical preservation of this material allows concurrent investigation of isotopic and cell size information, providing two input parameters for biogeochemical models and the reconstruction of CO2atm. We estimate CO2atm in two ways; first we use size and reaction-diffusion kinetics of a cell to calculate a CO2atm threshold. Second we use the calibrated relationship between epsilon(p(diatom)) and carbon dioxide from culture and field studies to create a record of CO2atm prior to and across the transition. Our study, from site 1090 in the Atlantic sector of the Southern Ocean, shows CO2atm values fluctuating between 900 and 1700 +/- 100 p.p.m.v. across the EOT followed by a drop to values in the order of 700 to 800 +/- 100 p.p.m.v. just prior to the onset of Oi-1. Our values and magnitude of CO2atm change differ from previous estimates, but confirm the overall trends inferred from boron isotopes and alkenones, including a marked rebound following Oi-1. Due to the intricate nature of the climate system and complexities in constraining paleo-proxies, this work emphasizes the importance of a multi-proxy approach to estimating of CO2atm in order to elucidate its role in the emplacement of Antarctic ice-sheets at the EOT. (C) 2014 Elsevier B.V. All rights reserved.</t>
  </si>
  <si>
    <t>[Heureux, Ana M. C.; Rickaby, Rosalind E. M.] Univ Oxford, Dept Earth Sci, Oxford OX1 3AN, England</t>
  </si>
  <si>
    <t>Heureux, AMC (corresponding author), Univ Oxford, Dept Earth Sci, S Parks Rd, Oxford OX1 3AN, England.</t>
  </si>
  <si>
    <t>ana.heureux@earth.ox.ac.uk</t>
  </si>
  <si>
    <t>Rickaby, Rosalind/0000-0002-6095-8419</t>
  </si>
  <si>
    <t>Oxford University Clarendon Scholarship; ERC [SP2-GA-2008-200915]; NERC [NE/F005296/1] Funding Source: UKRI; Natural Environment Research Council [NE/F005296/1] Funding Source: researchfish</t>
  </si>
  <si>
    <t>Oxford University Clarendon Scholarship; ERC(European Research Council (ERC)); NERC(UK Research &amp; Innovation (UKRI)Natural Environment Research Council (NERC)); Natural Environment Research Council(UK Research &amp; Innovation (UKRI)Natural Environment Research Council (NERC))</t>
  </si>
  <si>
    <t>This work was supported by the Oxford University Clarendon Scholarship and ERC SP2-GA-2008-200915, granted to Ros Rickaby. Thanks to the Ocean Drilling Program for supplying sediments. Method development was achieved with help from Jane Barling, Steve Wyatt, Alex Thomas and Norman Charley at Oxford University. Samples were run thanks to Peter Ditchfield in the Research Laboratory for Archaeology in Oxford. Thanks to Katie Egan, Michael Hermoso and Harry McClelland for insight and help in the laboratory and to three anonymous reviewers.</t>
  </si>
  <si>
    <t>10.1016/j.epsl.2014.10.036</t>
  </si>
  <si>
    <t>WOS:000347763500032</t>
  </si>
  <si>
    <t>Tomasi, C; Kokhanovsky, AA; Lupi, A; Ritter, C; Smirnov, A; O'Neill, NT; Stone, RS; Holben, BN; Nyeki, S; Wehrli, C; Stohl, A; Mazzola, M; Lanconelli, C; Vitale, V; Stebel, K; Aaltonen, V; de Leeuw, G; Rodriguez, E; Herber, AB; Radionov, VF; Zielinski, T; Petelski, T; Sakerin, SM; Kabanov, DM; Xue, Y; Mei, LL; Istomina, L; Wagener, R; McArthur, B; Sobolewski, PS; Kivi, R; Courcoux, Y; Larouche, P; Broccardo, S; Piketh, SJ</t>
  </si>
  <si>
    <t>Tomasi, Claudio; Kokhanovsky, Alexander A.; Lupi, Angelo; Ritter, Christoph; Smirnov, Alexander; O'Neill, Norman T.; Stone, Robert S.; Holben, Brent N.; Nyeki, Stephan; Wehrli, Christoph; Stohl, Andreas; Mazzola, Mauro; Lanconelli, Christian; Vitale, Vito; Stebel, Kerstin; Aaltonen, Veijo; de Leeuw, Gerrit; Rodriguez, Edith; Herber, Andreas B.; Radionov, Vladimir F.; Zielinski, Tymon; Petelski, Tomasz; Sakerin, Sergey M.; Kabanov, Dmitry M.; Xue, Yong; Mei, Linlu; Istomina, Larysa; Wagener, Richard; McArthur, Bruce; Sobolewski, Piotr S.; Kivi, Rigel; Courcoux, Yann; Larouche, Pierre; Broccardo, Stephen; Piketh, Stuart J.</t>
  </si>
  <si>
    <t>Aerosol remote sensing in polar regions</t>
  </si>
  <si>
    <t>Sun-photometer measurements; Aerosol optical thickness; Polar aerosol optical characteristics; Lidar backscattering coefficient profiles; Satellite aerosol remote sensing; Multimodal aerosol extinction models</t>
  </si>
  <si>
    <t>OPTICAL DEPTH RETRIEVAL; TROPOSPHERIC AEROSOL; BOUNDARY-LAYER; ARCTIC HAZE; SIZE DISTRIBUTIONS; LAND SURFACES; CHEMICAL-COMPOSITION; ATMOSPHERIC AEROSOL; ANTARCTIC AEROSOL; ATLANTIC-OCEAN</t>
  </si>
  <si>
    <t>Multi-year sets of ground-based sun-photometer measurements conducted at 12 Arctic sites and 9 Antarctic sites were examined to determine daily mean values of aerosol optical thickness tau(lambda) at visible and near-infrared wavelengths, from which best-fit values of Angstrom's exponent alpha were calculated. Analysing these data, the monthly mean values of tau(0.50 mu m) and alpha and the relative frequency histograms of the daily mean values of both parameters were determined for winter spring and summer autumn in the Arctic and for austral summer in Antarctica. The Arctic and Antarctic covariance plots of the seasonal median values of alpha versus tau(0.50 mu m) showed: (i) a considerable increase in tau(0.50 mu m) for the Arctic aerosol from summer to winter spring, without marked changes in alpha; and (ii) a marked increase in tau(0.50 mu m) passing from the Antarctic Plateau to coastal sites, whereas alpha decreased considerably due to the larger fraction of sea-salt aerosol. Good agreement was found when comparing ground-based sun-photometer measurements of tau(lambda) and alpha at Arctic and Antarctic coastal sites with Microtops measurements conducted during numerous AERONET/MAN cruises from 2006 to 2013 in three Arctic Ocean sectors and in coastal and off-shore regions of the Southern Atlantic, Pacific, and Indian Oceans, and the Antarctic Peninsula. Lidar measurements were also examined to characterise vertical profiles of the aerosol backscattering coefficient measured throughout the year at Ny-Alesund. Satellite-based MODIS, MISR, and AATSR retrievals of tau(lambda) over large parts of the oceanic polar regions during spring and summer were in close agreement with ship-borne and coastal ground-based sun-photometer measurements. An overview of the chemical composition of mode particles is also presented, based on in-situ measurements at Arctic and Antarctic sites. Fourteen log-normal aerosol number size-distributions were defined to represent the average features of nuclei, accumulation and coarse mode particles for Arctic haze, summer background aerosol, Asian dust and boreal forest fire smoke, and for various background austral summer aerosol types at coastal and high-altitude Antarctic sites. The main columnar aerosol optical characteristics were determined for all 14 particle modes, based on in-situ measurements of the scattering and absorption coefficients. Diurnally averaged direct aerosol-induced radiative forcing and efficiency were calculated for a set of multimodal aerosol extinction models, using various Bidirectional Reflectance Distribution Function models over vegetation-covered, oceanic and snow-covered surfaces. These gave a reliable measure of the pronounced effects of aerosols on the radiation balance of the surface-atmosphere system over polar regions. (C) 2014 Elsevier B.V. All rights reserved.</t>
  </si>
  <si>
    <t>[Tomasi, Claudio; Lupi, Angelo; Mazzola, Mauro; Lanconelli, Christian; Vitale, Vito] Italian Natl Res Council CNR, Inst Atmospher Sci &amp; Climate ISAC, Climate Change Div, Bologna, Italy; [Kokhanovsky, Alexander A.; Istomina, Larysa] Univ Bremen, Inst Environm Phys IUP, D-28359 Bremen, Germany; [Kokhanovsky, Alexander A.] EUMETSAT, D-64295 Darmstadt, Germany; [Ritter, Christoph] Alfred Wegener Inst Polar &amp; Marine Res, Climate Syst Div, Potsdam, Germany; [Smirnov, Alexander] Sigma Space Corp, Lanham, MD USA; [Smirnov, Alexander] NASA, Goddard Space Flight Ctr, Biospher Sci Branch, Greenbelt, MD 20771 USA; [O'Neill, Norman T.] Univ Sherbrooke, Dept Appl Geomat, Canadian Network Detect Atmospher Change CANDAC, Sherbrooke, PQ J1K 2R1, Canada; [O'Neill, Norman T.] Univ Sherbrooke, Dept Appl Geomat, CARTEL, Sherbrooke, PQ J1K 2R1, Canada; [Stone, Robert S.] NOAA, Global Monitoring Div, Boulder, CO USA; [Stone, Robert S.] Univ Colorado, Cooperat Inst Res Environm Sci, Boulder, CO 80309 USA; [Nyeki, Stephan; Wehrli, Christoph] Phys Meteorol Observ PMOD, World Radiat Ctr, Davos, Switzerland; [Stohl, Andreas; Stebel, Kerstin] Norwegian Inst Air Res NILU, Kjeller, Norway; [Aaltonen, Veijo; Rodriguez, Edith] Finnish Meteorol Inst, Climate &amp; Global Change Div, FIN-00101 Helsinki, Finland; [de Leeuw, Gerrit] Univ Helsinki, Dept Phys, FIN-00014 Helsinki, Finland; [Herber, Andreas B.] Alfred Wegener Inst Polar &amp; Marine Res, Climate Syst Div, Bremerhaven, Germany; [Radionov, Vladimir F.] Arctic &amp; Antarctic Res Inst, St Petersburg 199226, Russia; [Zielinski, Tymon; Petelski, Tomasz] Polish Acad Sci, Inst Oceanol, Sopot, Poland; [Sakerin, Sergey M.; Kabanov, Dmitry M.] Russian Acad Sci, Siberian Branch, VE Zuev Inst Atmospher Opt IAO, Tomsk, Russia; [Xue, Yong] London Metropolitan Univ, Fac Life Sci &amp; Comp, London, England; [Xue, Yong; Mei, Linlu] Chinese Acad Sci, Inst Remote Sensing &amp; Digital Earth, Key Lab Digital Earth Sci, Beijing 100094, Peoples R China; [Wagener, Richard] Brookhaven Natl Lab, Environm &amp; Climate Sci Dept, Upton, NY 11973 USA; [McArthur, Bruce] Environm Canada, N York, ON, Canada; [Sobolewski, Piotr S.] Polish Acad Sci, Inst Geophys, Warsaw 42, Poland; [Kivi, Rigel] Finnish Meteorol Inst, Arctic Res Ctr, Sodankyla, Finland; [Courcoux, Yann] Univ Reunion, CNRS, Inst Atmosphere Reunion OPAR, St Denis, Reunion, France; [Larouche, Pierre] Inst Maurice Lamontagne, Mont Joli, PQ G5H 3Z4, Canada; [Broccardo, Stephen] Univ Witwatersrand, Johannesburg, South Africa; [Piketh, Stuart J.] North West Univ, Climatol Res Grp, Unit Environm Sci &amp; Management, Potchefstroom, South Africa</t>
  </si>
  <si>
    <t>Consiglio Nazionale delle Ricerche (CNR); Istituto di Scienze dell'Atmosfera e del Clima (ISAC-CNR); Istituto di Neuroscienze (IN-CNR); University of Bremen; European Organisation for the Exploitation of Meteorological Satellites; Helmholtz Association; Alfred Wegener Institute, Helmholtz Centre for Polar &amp; Marine Research; National Aeronautics &amp; Space Administration (NASA); NASA Goddard Space Flight Center; University of Sherbrooke; University of Sherbrooke; National Oceanic Atmospheric Admin (NOAA) - USA; University of Colorado System; University of Colorado Boulder; NILU; Finnish Meteorological Institute; University of Helsinki; Helmholtz Association; Alfred Wegener Institute, Helmholtz Centre for Polar &amp; Marine Research; Arctic &amp; Antarctic Research Institute; Polish Academy of Sciences; Institute of Oceanology of the Polish Academy of Sciences; Russian Academy of Sciences; Zuev Institute of Atmospheric Optics, Siberian Branch of the Russian Academy of Sciences; London Metropolitan University; Chinese Academy of Sciences; The Institute of Remote Sensing &amp; Digital Earth, CAS; United States Department of Energy (DOE); Brookhaven National Laboratory; Environment &amp; Climate Change Canada; Polish Academy of Sciences; Institute of Geophysics of the Polish Academy of Sciences; Finnish Meteorological Institute; University of La Reunion; Centre National de la Recherche Scientifique (CNRS); Fisheries &amp; Oceans Canada; University of Witwatersrand; North West University - South Africa</t>
  </si>
  <si>
    <t>Tomasi, C (corresponding author), Italian Natl Res Council CNR, Inst Atmospher Sci &amp; Climate ISAC, Climate Change Div, Bologna, Italy.</t>
  </si>
  <si>
    <t>c.tomasi@isac.cnr.it</t>
  </si>
  <si>
    <t>Rodriguez, Edith/J-4688-2012; Stohl, Andreas/A-7535-2008; de Leeuw, Gerrit/AAI-3270-2020; Radionov, Vladimir F./O-3038-2017; Mazzola, Mauro/K-9376-2016; vitale, vito/AAW-8441-2021; Stebel, Kerstin/F-6465-2013; Kokhanovsky, Alexander/C-6234-2016; Smirnov, Alexander/C-2121-2009; Kokhanovsky, Alexander/X-1930-2019; Piketh, Stuart/AAS-8987-2021; Sakerin, Sergey/A-6508-2014; Aaltonen, Veijo/J-8814-2017; Kokhanovsky, Alexander/HIR-2688-2022; Kabanov, Dmitry M./A-5805-2014; Wagener, Richard/B-5445-2008; Kabanov, Dmitry/A-4871-2014; Kokhanovsky, Alexander/IXN-7034-2023; Lanconelli, Christian/Q-5848-2018</t>
  </si>
  <si>
    <t>Stohl, Andreas/0000-0002-2524-5755; de Leeuw, Gerrit/0000-0002-1649-6333; Mazzola, Mauro/0000-0002-8394-2292; Kokhanovsky, Alexander/0000-0001-7370-1164; Kokhanovsky, Alexander/0000-0001-7110-223X; Wagener, Richard/0000-0003-3892-1182; Kokhanovsky, Alexander/0000-0001-7110-223X; Lanconelli, Christian/0000-0002-9545-1255; Xue, Yong/0000-0003-3091-6637; vitale, vito/0000-0003-0978-8976; Zielinski, Tymon/0000-0003-4712-8899; lupi, angelo/0000-0002-5009-9876; Piketh, Stuart/0000-0002-2804-879X; Petelski, Tomasz/0000-0001-6125-5689; Sobolewski, Piotr/0000-0002-0583-2514</t>
  </si>
  <si>
    <t>Italian Research Programme in Antarctica (PNRA); AERONET network in the Arctic and Antarctica; AEROCAN/AERONET sub-network in the Canadian Arctic; Italian Research Programme in Antarctica (PNRA); AERONET network in the Arctic and Antarctica; AEROCAN/AERONET sub-network in the Canadian Arctic</t>
  </si>
  <si>
    <t>The present study was developed as a part of the CLIMSLIP (Climate Impacts of Short-Lived Pollutants in the Polar Regions) joint project, approved by the European Polar Consortium and coordinated by A. Stohl at NILU (Kjeller, Norway), and supported by the Italian Research Programme in Antarctica (PNRA). The authors gratefully acknowledge the Office of Antarctic Observation of the Japan Meteorological Agency (Tokyo, Japan), for supplying the data-set of EKO sun-photometer measurements carried out at Syowa (Antarctica) from 2000 to 2011. In general we acknowledge the support provided by the AERONET network in the Arctic and Antarctica and the AEROCAN/AERONET sub-network in the Canadian Arctic. The Cimel sun-photometer data at Barrow (Alaska) were collected by the U.S. Department of Energy as part of the Atmospheric Radiation Measurement Program Climate Research Facility (ARM) and processed by AERONET. James H. Butler (Global Monitoring Division, Earth System Research Laboratory (ERL), National Oceanic and Atmospheric Administration (NOAA), Boulder, Colorado, USA) is acknowledged for his effort in establishing and maintaining the activities at the AERONET South Pole Amundsen-Scott base. The colleagues D. G. Chernov, Yu. S. Turchinovich and Victor V. Polkin, (V. E. Zuev Institute of Atmospheric Optics (IAO), Siberian Branch, Russian Academy of Sciences, Tomsk, Russia) are also acknowledged for their participation to field measurements conducted at Barentsburg and in Antarctica. Author's acknowledgements are also due to the managerial and operational support given by M. Fily (LGGE, CNRS, Grenoble, France) at the AERONET Antarctic Dome Concordia station, and to the P.I.s of the AERONET/MAN cruises conducted in the Arctic and Antarctic Oceans, during which Microtops measurements of aerosol optical thickness were performed and examined in the present analysis: Patricia K. Quinn (NOAA Pacific Marine Environmental Laboratory, Seattle, Washington, USA), Andrey Proshutinsky (Woods Hole Oceanographic Institution, Woods Hole, Massachusetts, USA), Carlos Duarte (Instituto Mediterraneo de Estudios Avanzados, Esporles, Mallorca, Spain), Simon Belanger (Universite du Quebec, Rimouski, Quebec, Canada), Elizabeth A. Reid (Naval Research Laboratory, Monterey, California, USA), Gennadi Milinevsky (Space Physics Laboratory, Taras Shevchenko National University of Kyiv, Kyiv, Ukraine), and Heitor Evangelista (Rio de Janeiro State University, Brazil). The analyses and visualisations used in this paper to obtain the sets of MODIS and MISR daily aerosol optical thickness Level-3 data over the Arctic and Antarctic regions were produced with the Giovanni online data system, developed and maintained by the NASA GES DISC.</t>
  </si>
  <si>
    <t>10.1016/j.earscirev.2014.11.001</t>
  </si>
  <si>
    <t>hybrid, Green Submitted</t>
  </si>
  <si>
    <t>WOS:000347863500006</t>
  </si>
  <si>
    <t>Rose, KC; Ross, N; Jordan, TA; Bingham, RG; Corr, HFJ; Ferraccioli, F; Le Brocq, AM; Rippin, DM; Siegert, MJ</t>
  </si>
  <si>
    <t>Rose, K. C.; Ross, N.; Jordan, T. A.; Bingham, R. G.; Corr, H. F. J.; Ferraccioli, F.; Le Brocq, A. M.; Rippin, D. M.; Siegert, M. J.</t>
  </si>
  <si>
    <t>Ancient pre-glacial erosion surfaces preserved beneath the West Antarctic Ice Sheet</t>
  </si>
  <si>
    <t>EARTH SURFACE DYNAMICS</t>
  </si>
  <si>
    <t>WEDDELL SEA SECTOR; PINE ISLAND GLACIER; ELLSWORTH MOUNTAINS; SPECTRAL ROUGHNESS; BASAL ROUGHNESS; BED ROUGHNESS; BREAK-UP; LANDSCAPE; STREAMS; MORPHOLOGY</t>
  </si>
  <si>
    <t>We present ice-penetrating radar evidence for ancient (pre-glacial) and extensive erosion surfaces preserved beneath the upstream Institute and Moller ice streams, West Antarctica. Radar data reveal a smooth, laterally continuous, gently sloping topographic block, comprising two surfaces separated by a distinct break in slope. The erosion surfaces are preserved in this location due to the collective action of the Pirrit and Martin-Nash hills on ice sheet flow, resulting in a region of slow flowing, cold-based ice downstream of these major topographic barriers. Our analysis reveals that smooth, flat subglacial topography does not always correspond to regions of either present or former fast ice flow, as has previously been assumed. We discuss the potential origins of the erosion surfaces. Erosion rates across the surfaces are currently low, precluding formation via present-day glacial erosion. We suggest that fluvial or marine processes are most likely to have resulted in the formation of these surfaces, but we acknowledge that distinguishing between these processes with certainty requires further data.</t>
  </si>
  <si>
    <t>[Rose, K. C.] Univ Bristol, Sch Geog Sci, Bristol Glaciol Ctr, Bristol BS8 1SS, Avon, England; [Ross, N.] Newcastle Univ, Sch Geog Polit &amp; Sociol, Newcastle Upon Tyne NE1 7RU, Tyne &amp; Wear, England; [Jordan, T. A.; Corr, H. F. J.; Ferraccioli, F.] British Antarctic Survey, Cambridge CB3 0ET, England; [Bingham, R. G.] Univ Edinburgh, Sch Geosci, Edinburgh EH8 9XP, Midlothian, Scotland; [Le Brocq, A. M.] Univ Exeter, Sch Geog, Exeter EX4 4RJ, Devon, England; [Rippin, D. M.] Univ York, Dept Environm, York YO10 5DD, N Yorkshire, England; [Siegert, M. J.] Univ London Imperial Coll Sci Technol &amp; Med, Grantham Inst, London SW7 2AZ, England; [Siegert, M. J.] Univ London Imperial Coll Sci Technol &amp; Med, Dept Earth Sci &amp; Engn, London SW7 2AZ, England</t>
  </si>
  <si>
    <t>University of Bristol; Newcastle University - UK; UK Research &amp; Innovation (UKRI); Natural Environment Research Council (NERC); NERC British Antarctic Survey; University of Edinburgh; University of Exeter; University of York - UK; Imperial College London; Imperial College London</t>
  </si>
  <si>
    <t>Rose, KC (corresponding author), Univ Bristol, Sch Geog Sci, Bristol Glaciol Ctr, Bristol BS8 1SS, Avon, England.</t>
  </si>
  <si>
    <t>kathrynrose100@hotmail.com; m.siegert@imperial.ac.uk</t>
  </si>
  <si>
    <t>Corr, Hugh/C-5398-2011; Rippin, David Manish/AAW-5063-2021; Siegert, Martin J/A-3826-2008; Siegert, Martin/M-9939-2019; Bingham, Robert G/G-3576-2017</t>
  </si>
  <si>
    <t>Rippin, David Manish/0000-0001-7757-9880; Siegert, Martin J/0000-0002-0090-4806; Siegert, Martin/0000-0002-0090-4806; Bingham, Robert G/0000-0002-0630-2021; Ferraccioli, Fausto/0000-0002-9347-4736</t>
  </si>
  <si>
    <t>UK NERC AFI grant [NE/G013071/1]; Natural Environment Research Council [NE/F016646/1, NE/G013071/2, NE/G013098/2, NE/G013071/1, NE/G013098/1, NE/G014248/1, bas0100029] Funding Source: researchfish; NERC [NE/G013098/2, NE/G013098/1, NE/F016646/1, NE/G013071/2, bas0100029, NE/G013071/1, NE/G014248/1] Funding Source: UKRI</t>
  </si>
  <si>
    <t>UK NERC AFI grant; Natural Environment Research Council(UK Research &amp; Innovation (UKRI)Natural Environment Research Council (NERC)); NERC(UK Research &amp; Innovation (UKRI)Natural Environment Research Council (NERC))</t>
  </si>
  <si>
    <t>This project was funded by UK NERC AFI grant NE/G013071/1. Carl Robinson (Airborne Survey engineer), Ian Potten and Doug Cochrane (pilots), and Mark Oostlander (air mechanic) are thanked for their invaluable assistance in the field. We thank Arjen Stroeven and an anonymous reviewer for helpful comments on an earlier draft of this manuscript. We would also like to extend particular thanks to David Sugden, whose helpful, fruitful and generous discussions enabled us to improve the manuscript greatly.</t>
  </si>
  <si>
    <t>2196-6311</t>
  </si>
  <si>
    <t>2196-632X</t>
  </si>
  <si>
    <t>EARTH SURF DYNAM</t>
  </si>
  <si>
    <t>Earth Surf. Dyn.</t>
  </si>
  <si>
    <t>10.5194/esurf-3-139-2015</t>
  </si>
  <si>
    <t>CL3TT</t>
  </si>
  <si>
    <t>WOS:000356874200009</t>
  </si>
  <si>
    <t>Glasser, NF; Jennings, SJA; Hambrey, MJ; Hubbard, B</t>
  </si>
  <si>
    <t>Glasser, N. F.; Jennings, S. J. A.; Hambrey, M. J.; Hubbard, B.</t>
  </si>
  <si>
    <t>Origin and dynamic significance of longitudinal structures (flow stripes) in the Antarctic Ice Sheet</t>
  </si>
  <si>
    <t>WEST ANTARCTICA; STREAM-B; SURFACE; SHELF; GLACIER; EVOLUTION; BENEATH; RADAR; VARIABILITY; STABILITY</t>
  </si>
  <si>
    <t>Longitudinal ice-surface structures in the Antarctic Ice Sheet can be traced continuously down-ice for distances of up to 1200 km. A map of the distribution of similar to 3600 of these features, compiled from satellite images, shows that they mirror the location of fast-flowing glaciers and ice streams that are dominated by basal sliding rates above tens of metres per annum and are strongly guided by subglacial topography. Longitudinal ice-surface structures dominate regions of converging flow, where ice flow is subject to non-coaxial strain and simple shear. They can be traced continuously through crevasse fields and through blue-ice areas, indicating that they represent the surface manifestation of a three-dimensional structure, interpreted as foliation. Flow lines are linear and undeformed for all major flow units described here in the Antarctic Ice Sheet except for the Kamb Ice Stream and the Institute and Moller Ice Stream areas, where areas of flow perturbation are evident. Parcels of ice along individual flow paths on the Lambert Glacier, Recovery Glacier, Byrd Glacier and Pine Island Glacier may reside in the glacier system for similar to 2500 to 18 500 years. Although it is unclear how long it takes for these features to form and decay, we infer that the major ice-flow configuration of the ice sheet may have remained largely unchanged for the last few hundred years, and possibly even longer. This conclusion has implications for our understanding of the long-term landscape evolution of Antarctica, including large-scale patterns of glacial erosion and deposition.</t>
  </si>
  <si>
    <t>[Glasser, N. F.; Jennings, S. J. A.; Hambrey, M. J.; Hubbard, B.] Aberystwyth Univ, Dept Geog &amp; Earth Sci, Aberystwyth SY23 3DB, Dyfed, Wales</t>
  </si>
  <si>
    <t>Aberystwyth University</t>
  </si>
  <si>
    <t>Glasser, NF (corresponding author), Aberystwyth Univ, Dept Geog &amp; Earth Sci, Aberystwyth SY23 3DB, Dyfed, Wales.</t>
  </si>
  <si>
    <t>nfg@aber.ac.uk</t>
  </si>
  <si>
    <t>Jennings, Stephen J. A./ABD-2966-2021</t>
  </si>
  <si>
    <t>Jennings, Stephen J. A./0000-0003-4255-4522; Glasser, Neil/0000-0002-8245-2670; Hubbard, Bryn/0000-0002-3565-3875</t>
  </si>
  <si>
    <t>Natural Environment Research Council [1229362] Funding Source: researchfish</t>
  </si>
  <si>
    <t>Natural Environment Research Council(UK Research &amp; Innovation (UKRI)Natural Environment Research Council (NERC))</t>
  </si>
  <si>
    <t>10.5194/esurf-3-239-2015</t>
  </si>
  <si>
    <t>CL3TU</t>
  </si>
  <si>
    <t>WOS:000356874300002</t>
  </si>
  <si>
    <t>Le Quéré, C; Moriarty, R; Andrew, RM; Peters, GP; Ciais, P; Friedlingstein, P; Jones, SD; Sitch, S; Tans, P; Arneth, A; Boden, TA; Bopp, L; Bozec, Y; Canadell, JG; Chini, LP; Chevallier, F; Cosca, CE; Harris, I; Hoppema, M; Houghton, RA; House, JI; Jain, AK; Johannessen, T; Kato, E; Keeling, RF; Kitidis, V; Goldewijk, KK; Koven, C; Landa, CS; Landschützer, P; Lenton, A; Lima, ID; Marland, G; Mathis, JT; Metzl, N; Nojiri, Y; Olsen, A; Ono, T; Peng, S; Peters, W; Pfeil, B; Poulter, B; Raupach, MR; Regnier, P; Rödenbeck, C; Saito, S; Salisbury, JE; Schuster, U; Schwinger, J; Séférian, R; Segschneider, J; Steinhoff, T; Stocker, BD; Sutton, AJ; Takahashi, T; Tilbrook, B; van der Werf, GR; Viovy, N; Wang, YP; Wanninkhof, R; Wiltshire, A; Zeng, N</t>
  </si>
  <si>
    <t>Le Quere, C.; Moriarty, R.; Andrew, R. M.; Peters, G. P.; Ciais, P.; Friedlingstein, P.; Jones, S. D.; Sitch, S.; Tans, P.; Arneth, A.; Boden, T. A.; Bopp, L.; Bozec, Y.; Canadell, J. G.; Chini, L. P.; Chevallier, F.; Cosca, C. E.; Harris, I.; Hoppema, M.; Houghton, R. A.; House, J. I.; Jain, A. K.; Johannessen, T.; Kato, E.; Keeling, R. F.; Kitidis, V.; Goldewijk, K. Klein; Koven, C.; Landa, C. S.; Landschuetzer, P.; Lenton, A.; Lima, I. D.; Marland, G.; Mathis, J. T.; Metzl, N.; Nojiri, Y.; Olsen, A.; Ono, T.; Peng, S.; Peters, W.; Pfeil, B.; Poulter, B.; Raupach, M. R.; Regnier, P.; Roedenbeck, C.; Saito, S.; Salisbury, J. E.; Schuster, U.; Schwinger, J.; Seferian, R.; Segschneider, J.; Steinhoff, T.; Stocker, B. D.; Sutton, A. J.; Takahashi, T.; Tilbrook, B.; van der Werf, G. R.; Viovy, N.; Wang, Y. -P.; Wanninkhof, R.; Wiltshire, A.; Zeng, N.</t>
  </si>
  <si>
    <t>Global carbon budget 2014</t>
  </si>
  <si>
    <t>Article; Data Paper</t>
  </si>
  <si>
    <t>LAND-USE CHANGE; ENVIRONMENT SIMULATOR JULES; ANTHROPOGENIC CO2 UPTAKE; EARTH SYSTEM MODEL; ATMOSPHERIC CO2; DIOXIDE EMISSIONS; INTERANNUAL VARIABILITY; TERRESTRIAL ECOSYSTEMS; FLUX VARIABILITY; FIRE EMISSIONS</t>
  </si>
  <si>
    <t>Accurate assessment of anthropogenic carbon dioxide (CO2) emissions and their redistribution among the atmosphere, ocean, and terrestrial biosphere is important to better understand the global carbon cycle, support the development of climate policies, and project future climate change. Here we describe data sets and a methodology to quantify all major components of the global carbon budget, including their uncertainties, based on the combination of a range of data, algorithms, statistics, and model estimates and their interpretation by a broad scientific community. We discuss changes compared to previous estimates, consistency within and among components, alongside methodology and data limitations. CO2 emissions from fossil fuel combustion and cement production (E-FF) are based on energy statistics and cement production data, respectively, while emissions from land-use change (E-LUC), mainly deforestation, are based on combined evidence from land-cover-change data, fire activity associated with deforestation, and models. The global atmospheric CO2 concentration is measured directly and its rate of growth (G(ATM)) is computed from the annual changes in concentration. The mean ocean CO2 sink (S-OCEAN) is based on observations from the 1990s, while the annual anomalies and trends are estimated with ocean models. The variability in S-OCEAN is evaluated with data products based on surveys of ocean CO2 measurements. The global residual terrestrial CO2 sink (S-LAND) is estimated by the difference of the other terms of the global carbon budget and compared to results of independent dynamic global vegetation models forced by observed climate, CO2, and land-cover-change (some including nitrogen-carbon interactions). We compare the mean land and ocean fluxes and their variability to estimates from three atmospheric inverse methods for three broad latitude bands. All uncertainties are reported as +/- 1 sigma, reflecting the current capacity to characterise the annual estimates of each component of the global carbon budget. For the last decade available (2004-2013), E-FF was 8.9 +/- 0.4 GtC yr(-1), E-LUC 0.9 +/- 0.5 GtC yr(-1), G(ATM) 4.3 +/- 0.1 GtC yr(-1), S-OCEAN 2.6 +/- 0.5 GtC yr(-1), and S-LAND 2.9 +/- 0.8 GtC yr(-1). For year 2013 alone, E-FF grew to 9.9 +/- 0.5 GtC yr(-1), 2.3% above 2012, continuing the growth trend in these emissions, E-LUC was 0.9 +/- 0.5 GtC yr(-1), G(ATM) was 5.4 +/- 0.2 GtC yr(-1), S-OCEAN was 2.9 +/- 0.5 GtC yr(-1), and S-LAND was 2.5 +/- 0.9 GtC yr(-1). G(ATM) was high in 2013, reflecting a steady increase in E-FF and smaller and opposite changes between S-OCEAN and S-LAND compared to the past decade (2004-2013). The global atmospheric CO2 concentration reached 395.31 +/- 0.10 ppm averaged over 2013. We estimate that E-FF will increase by 2.5% (1.3-3.5 %) to 10.1 +/- 0.6 GtC in 2014 (37.0 +/- 2.2 GtCO(2) yr(-1)), 65% above emissions in 1990, based on projections of world gross domestic product and recent changes in the carbon intensity of the global economy. From this projection of E-FF and assumed constant E-LUC for 2014, cumulative emissions of CO2 will reach about 545 +/- 55 GtC (2000 +/- 200 GtCO(2)) for 1870-2014, about 75% from E-FF and 25% from E-LUC. This paper documents changes in the methods and data sets used in this new carbon budget compared with previous publications of this living data set (Le Quere et al., 2013, 2014). All observations presented here can be downloaded from the Carbon Dioxide Information Analysis Center (doi:10.3334/CDIAC/GCP_2014).</t>
  </si>
  <si>
    <t>[Le Quere, C.; Moriarty, R.; Jones, S. D.] Univ E Anglia, Tyndall Ctr Climate Change Res, Norwich NR4 7TJ, Norfolk, England; [Andrew, R. M.; Peters, G. P.] Ctr Int Climate &amp; Environm Res Oslo CICERO, Oslo, Norway; [Ciais, P.; Bopp, L.; Chevallier, F.; Peng, S.; Viovy, N.] UVSQ, CNRS, Inst Pierre Simon Laplace, Lab Sci Climat &amp; Environm,CEA,CE Orme Merisiers, F-91191 Gif Sur Yvette, France; [Friedlingstein, P.] Univ Exeter, Coll Engn Math &amp; Phys Sci, Exeter EX4 4QF, Devon, England; [Sitch, S.; Schuster, U.] Univ Exeter, Coll Life &amp; Environm Sci, Exeter EX4 4QE, Devon, England; [Tans, P.] NOAA, Earth Syst Res Lab, Boulder, CO 80305 USA; [Arneth, A.] Karlsruhe Inst Technol, Inst Meteorol &amp; Climate Res Atmospher Environm, D-82467 Garmisch Partenkirchen, Germany; [Boden, T. A.] Oak Ridge Natl Lab, Carbon Dioxide Informat Anal Ctr CDIAC, Oak Ridge, TN USA; [Bozec, Y.] CNRS, Equipe Chim Marine, Stn Biolog Roscoff, UMR7144, F-29680 Roscoff, France; [Bozec, Y.] Univ Paris 06, Sorbonne Univ, Adaptat &amp; Diversite Milieu Marin UMR7144, Stn Biol Roscoff, F-29680 Roscoff, France; [Canadell, J. G.] CSIRO Oceans &amp; Atmosphere Flagship, Global Carbon Project, Canberra, ACT 2601, Australia; [Chini, L. P.] Univ Maryland, Dept Geog Sci, College Pk, MD 20742 USA; [Cosca, C. E.; Mathis, J. T.; Sutton, A. J.] NOAA, Pacific Marine Environm Lab, Seattle, WA 98115 USA; [Harris, I.] Univ E Anglia, Climat Res Unit, Norwich NR4 7TJ, Norfolk, England; [Hoppema, M.] Helmholtz Ctr Polar &amp; Marine Res, Alfred Wegener Inst, D-27515 Bremerhaven, Germany; [Houghton, R. A.] Woods Hole Res Ctr WHRC, Falmouth, MA 02540 USA; [House, J. I.] Univ Bristol, Dept Geog, Cabot Inst, Bristol BS8 1TH, Avon, England; [Jain, A. K.] Univ Illinois, Dept Atmospher Sci, Urbana, IL 61821 USA; [Johannessen, T.; Landa, C. S.; Olsen, A.; Pfeil, B.; Schwinger, J.] Univ Bergen, Geophys Inst, N-5007 Bergen, Norway; [Johannessen, T.; Landa, C. S.; Olsen, A.; Pfeil, B.; Schwinger, J.] Bjerknes Ctr Climate Res, N-5007 Bergen, Norway; [Kato, E.; Nojiri, Y.] Natl Inst Environm Studies NIES, Ctr Global Environm Res, Tsukuba, Ibaraki 3058506, Japan; [Kato, E.] Inst Appl Energy IAE, Tokyo 1050003, Japan; [Keeling, R. F.] Univ Calif San Diego, Scripps Inst Oceanog, La Jolla, CA 92093 USA; [Kitidis, V.] Plymouth Marine Lab, Plymouth PL1 3DH, Devon, England; [Goldewijk, K. Klein] PBL Netherlands Environm Assessment Agcy, The Hague, Netherlands; [Goldewijk, K. Klein] Univ Utrecht, Utrecht, Netherlands; [Koven, C.] Univ Calif Berkeley, Lawrence Berkeley Natl Lab, Div Earth Sci, Berkeley, CA 94720 USA; [Landschuetzer, P.] ETH, Inst Biogeochem &amp; Pollutant Dynam, Environm Phys Grp, CH-8092 Zurich, Switzerland; [Lenton, A.] CSIRO Oceans &amp; Atmosphere Flagship, Hobart, Tas, Australia; [Lima, I. D.] Woods Hole Oceanog Inst WHOI, Woods Hole, MA 02543 USA; [Marland, G.] Appalachian State Univ, Res Inst Environm Energy &amp; Econ, Boone, NC 28608 USA; [Metzl, N.] Univ Paris 06, Sorbonne Univ, CNRS, IRD,MNHN,LOCEAN IPSL Lab, F-75252 Paris, France; [Ono, T.] Fisheries Res Agcy, Natl Res Inst Fisheries Sci, Kanazawa Ku, Yokohama, Kanagawa 2368648, Japan; [Peters, W.] Wageningen Univ, Environm Sci Grp, Dept Meteorol &amp; Air Qual, NL-6700 AA Wageningen, Netherlands; [Poulter, B.] Montana State Univ, Dept Ecol, Bozeman, MT 59717 USA; [Raupach, M. R.] Australian Natl Univ, ANU Climate Change Inst, Fenner Sch Environm &amp; Soc, Canberra, ACT 0200, Australia; [Regnier, P.] Univ Libre Bruxelles, Dept Earth &amp; Environm Sci, B-1050 Brussels, Belgium; [Roedenbeck, C.] Max Planck Inst Biogeochem, D-07745 Jena, Germany; [Saito, S.] Japan Meteorol Agcy, Global Environm &amp; Marine Dept, Marine Div, Chiyoda Ku, Tokyo 1008122, Japan; [Salisbury, J. E.] Univ New Hampshire, Ocean Proc Anal Lab, Durham, NH 03824 USA; [Seferian, R.] CNRS, CNRM GAME, Meteo France CNRS, F-31100 Toulouse, France; [Segschneider, J.] Max Planck Inst Meteorol, D-20146 Hamburg, Germany; [Steinhoff, T.] GEOMAR Helmholtz Ctr Ocean Res Kiel, D-24105 Kiel, Germany; [Stocker, B. D.] Univ Bern, Climate &amp; Environm Phys, Bern, Switzerland; [Stocker, B. D.] Univ Bern, Oeschger Ctr Climate Change Res, Bern, Switzerland; [Stocker, B. D.] Univ London Imperial Coll Sci Technol &amp; Med, Dept Life Sci, Ascot SL5 7PY, Berks, England; [Sutton, A. J.] Univ Washington, Joint Inst Study Atmosphere &amp; Oceans, Seattle, WA 98195 USA; [Takahashi, T.] Lamont Doherty Earth Observ Columbia Univ, Palisades, NY 10964 USA; [Tilbrook, B.] CSIRO Oceans &amp; Atmosphere, Hobart, Tas, Australia; [Tilbrook, B.] Antarctic Climate &amp; Ecosyst Cooperat Res Ctr, Hobart, Tas, Australia; [van der Werf, G. R.] Vrije Univ Amsterdam, Fac Earth &amp; Life Sci, Amsterdam, Netherlands; [Wang, Y. -P.] CSIRO Ocean &amp; Atmosphere, Aspendale, Vic 3195, Australia; [Wanninkhof, R.] NOAA, AOML, Miami, FL 33149 USA; [Wiltshire, A.] Met Off Hadley Ctr, Exeter EX1 3PB, Devon, England; [Zeng, N.] Univ Maryland, Dept Atmospher &amp; Ocean Sci, College Pk, MD 20742 USA</t>
  </si>
  <si>
    <t>University of East Anglia; CEA; Centre National de la Recherche Scientifique (CNRS); Universite Paris Saclay; Universite Paris Cite; University of Exeter; University of Exeter; National Oceanic Atmospheric Admin (NOAA) - USA; Helmholtz Association; Karlsruhe Institute of Technology; United States Department of Energy (DOE); Oak Ridge National Laboratory; Sorbonne Universite; Centre National de la Recherche Scientifique (CNRS); CNRS - Institute of Ecology &amp; Environment (INEE); Sorbonne Universite; Centre National de la Recherche Scientifique (CNRS); CNRS - Institute of Ecology &amp; Environment (INEE); Commonwealth Scientific &amp; Industrial Research Organisation (CSIRO); University System of Maryland; University of Maryland College Park; National Oceanic Atmospheric Admin (NOAA) - USA; University of East Anglia; Helmholtz Association; Alfred Wegener Institute, Helmholtz Centre for Polar &amp; Marine Research; Woodwell Climate Research Center; University of Bristol; University of Illinois System; University of Illinois Urbana-Champaign; University of Bergen; Bjerknes Centre for Climate Research; National Institute for Environmental Studies - Japan; University of California System; University of California San Diego; Scripps Institution of Oceanography; Plymouth Marine Laboratory; Utrecht University; United States Department of Energy (DOE); Lawrence Berkeley National Laboratory; University of California System; University of California Berkeley; Swiss Federal Institutes of Technology Domain; ETH Zurich; Commonwealth Scientific &amp; Industrial Research Organisation (CSIRO); University of North Carolina; Appalachian State University; Sorbonne Universite; Museum National d'Histoire Naturelle (MNHN); Institut de Recherche pour le Developpement (IRD); Centre National de la Recherche Scientifique (CNRS); Japan Fisheries Research &amp; Education Agency (FRA); Wageningen University &amp; Research; Montana State University System; Montana State University Bozeman; Australian National University; Universite Libre de Bruxelles; Max Planck Society; Japan Meteorological Agency; University System Of New Hampshire; University of New Hampshire; Centre National de la Recherche Scientifique (CNRS); Meteo France; Max Planck Society; Helmholtz Association; GEOMAR Helmholtz Center for Ocean Research Kiel; University of Bern; University of Bern; Imperial College London; University of Washington; University of Washington Seattle; Commonwealth Scientific &amp; Industrial Research Organisation (CSIRO); Antarctic Climate &amp; Ecosystems Cooperative Research Centre (ACE CRC); Vrije Universiteit Amsterdam; Commonwealth Scientific &amp; Industrial Research Organisation (CSIRO); National Oceanic Atmospheric Admin (NOAA) - USA; Atlantic Oceanographic &amp; Meteorological Laboratory (AOML); Met Office - UK; Hadley Centre; University System of Maryland; University of Maryland College Park</t>
  </si>
  <si>
    <t>Le Quéré, C (corresponding author), Univ E Anglia, Tyndall Ctr Climate Change Res, Norwich Res Pk, Norwich NR4 7TJ, Norfolk, England.</t>
  </si>
  <si>
    <t>c.lequere@uea.ac.uk</t>
  </si>
  <si>
    <t>Sutton, Adrienne/C-7725-2015; Landschützer, Peter/IQU-3835-2023; Chevallier, Frederic/E-9608-2016; Tilbrook, Bronte/W-4007-2019; PENG, Shushi/AAS-2603-2020; Tans, Pieter/AAG-8273-2019; Regnier, Pierre/HKF-6789-2023; Jain, Atul/D-2851-2016; Poulter, Ben/ABB-5886-2021; Peters, Glen P/B-1012-2008; van der Werf, Guido/JXY-9197-2024; Séférian, Roland/ABD-5465-2021; Viovy, Nicolas/S-2631-2018; House, Joanna/B-6477-2016; Peters, Wouter/B-8305-2008; Kato, Etsushi/Q-2623-2018; Friedlingstein, Pierre/H-2700-2014; Canadell, Pep/E-9419-2010; Arneth, Almut/B-2702-2013; Zeng, Ning/A-3130-2008; Harris, Ian C/O-7772-2014; Andrew, Robbie/B-4204-2008; Koven, Charles/N-8888-2014; Moriarty, Róisín/AFR-8291-2022; Schwinger, Jörg/AAN-6573-2021; Nojiri, Yukihiro/D-1999-2010; Ciais, Philippe/A-6840-2011; Wiltshire, Andy/C-2848-2008; Le Quéré, Corinne/C-2631-2017; wang, ying-ping/A-9765-2011; bopp, laurent/ABF-5302-2020; Stocker, Benjamin David/K-3194-2015; Hoppema, Mario/I-6286-2013; Olsen, Are/A-1511-2011; Klein Goldewijk, Kees/L-5567-2013; Lenton, Andrew/D-2077-2012; van der Werf, Guido/M-8260-2016; Sitch, Stephen/F-8034-2015; Lima, Ivan/A-6823-2016</t>
  </si>
  <si>
    <t>Sutton, Adrienne/0000-0002-7414-7035; Landschützer, Peter/0000-0002-7398-3293; Chevallier, Frederic/0000-0002-4327-3813; Tilbrook, Bronte/0000-0001-9385-3827; PENG, Shushi/0000-0001-5098-726X; Tans, Pieter/0000-0002-9883-0787; Jain, Atul/0000-0002-4051-3228; Poulter, Ben/0000-0002-9493-8600; Peters, Glen P/0000-0001-7889-8568; Séférian, Roland/0000-0002-2571-2114; Viovy, Nicolas/0000-0002-9197-6417; House, Joanna/0000-0003-4576-3960; Peters, Wouter/0000-0001-8166-2070; Kato, Etsushi/0000-0001-8814-804X; Friedlingstein, Pierre/0000-0003-3309-4739; Canadell, Pep/0000-0002-8788-3218; Arneth, Almut/0000-0001-6616-0822; Andrew, Robbie/0000-0001-8590-6431; Koven, Charles/0000-0002-3367-0065; Moriarty, Róisín/0000-0003-1993-1756; Schwinger, Jörg/0000-0002-7525-6882; Nojiri, Yukihiro/0000-0001-9885-9195; Ciais, Philippe/0000-0001-8560-4943; Le Quéré, Corinne/0000-0003-2319-0452; wang, ying-ping/0000-0002-4614-6203; bopp, laurent/0000-0003-4732-4953; Stocker, Benjamin David/0000-0003-2697-9096; Kitidis, Vassilis/0000-0003-3949-3802; Steinhoff, Tobias/0000-0002-2298-1298; Hoppema, Mario/0000-0002-2326-619X; metzl, nicolas/0000-0002-1165-1074; Olsen, Are/0000-0003-1696-9142; Klein Goldewijk, Kees/0000-0003-2714-7507; Harris, Ian/0000-0003-2037-9284; Lenton, Andrew/0000-0001-9437-8896; van der Werf, Guido/0000-0001-9042-8630; Sitch, Stephen/0000-0003-1821-8561; Jones, Steve/0000-0003-0522-9851; Lima, Ivan/0000-0001-5345-0652</t>
  </si>
  <si>
    <t>International Opportunities Fund [NE/103002X/1]; UKOARP [NE/H017046/1]; Norwegian Research Council [236296]; US Department of Energy, Office of Science, Biological and Environmental Research (BER) programmes under US Department of Energy [DE-AC05-00OR22725]; Region Bretagne; INSU (LEFE/MERMEX) for CARBORHONE cruises; Australian Climate Change Science Programme; ICOSD through the German Federal Ministry of Education and Research (BMBF) [01 LK 1224I]; Leverhulme Early Career Fellowship; US National Science Foundation [NSF AGS 12-43071]; US Department of Energy, Office of Science, and BER programmes [DOE DE-SC0006706]; NASA LCLUC programme [NASA NNX14AD94G]; Environment Research and Technology Development Fund of the Ministry of Environment of Japan [S-10]; Office of Science, Office of Biological and Environmental Research, of the US Department of Energy [DE-AC02-05CH11231]; U. S. National Science Foundation [NSF AGS-1048827]; Institut National des Sciences de l'Univers (INSU); Institut Paul Emile Victor (IPEV) for OISO cruises; Centre for Climate Dynamics at the Bjerknes Centre for Climate Research; NOAA/NASA; ICOS-D [BMBF FK 01LK1101C]; Swiss National Science Foundation; FP7 through project EMBRACE [282672]; NOAA; Comer Education and Science Foundation; Australian Department of the Environment and the Integrated Marine Observing System; UK DECC/Defra Met Office Hadley Centre Climate Programme [GA01101]; EU FP7 [283080]; COMBINE [226520]; EU FP7 through project CARBOCHANGE [264879]; EU [GA603542, GA282672, 283576]; EMBRACE [GA282672]; DOE [DE-SC0005090]; NSF [ATM-1036399]; NOAA [NA10OAR4320156]; [CG29]; Directorate For Geosciences; Div Atmospheric &amp; Geospace Sciences [1243071] Funding Source: National Science Foundation; Office Of The Director; Office of Integrative Activities [1443108] Funding Source: National Science Foundation; Natural Environment Research Council [NE/K002058/1, NE/I005382/1, NE/H017054/1, NE/J010154/1, NE/I03002X/1, pml010007] Funding Source: researchfish; NERC [pml010007, NE/I005382/1, NE/J010154/1, NE/I03002X/1, NE/K002058/1, NE/H017054/1] Funding Source: UKRI</t>
  </si>
  <si>
    <t>International Opportunities Fund; UKOARP; Norwegian Research Council(Research Council of Norway); US Department of Energy, Office of Science, Biological and Environmental Research (BER) programmes under US Department of Energy(United States Department of Energy (DOE)); Region Bretagne(Region Bretagne); INSU (LEFE/MERMEX) for CARBORHONE cruises; Australian Climate Change Science Programme; ICOSD through the German Federal Ministry of Education and Research (BMBF)(Federal Ministry of Education &amp; Research (BMBF)); Leverhulme Early Career Fellowship(Leverhulme Trust); US National Science Foundation(National Science Foundation (NSF)); US Department of Energy, Office of Science, and BER programmes(United States Department of Energy (DOE)); NASA LCLUC programme; Environment Research and Technology Development Fund of the Ministry of Environment of Japan(Ministry of Environment (ME), Republic of Korea); Office of Science, Office of Biological and Environmental Research, of the US Department of Energy(United States Department of Energy (DOE)); U. S. National Science Foundation(National Science Foundation (NSF)); Institut National des Sciences de l'Univers (INSU); Institut Paul Emile Victor (IPEV) for OISO cruises; Centre for Climate Dynamics at the Bjerknes Centre for Climate Research; NOAA/NASA(National Aeronautics &amp; Space Administration (NASA)National Oceanic Atmospheric Admin (NOAA) - USA); ICOS-D; Swiss National Science Foundation(Swiss National Science Foundation (SNSF)); FP7 through project EMBRACE; NOAA(National Oceanic Atmospheric Admin (NOAA) - USA); Comer Education and Science Foundation; Australian Department of the Environment and the Integrated Marine Observing System(Australian Government); UK DECC/Defra Met Office Hadley Centre Climate Programme; EU FP7(European Union (EU)); COMBINE; EU FP7 through project CARBOCHANGE(European Union (EU)Marie Curie Actions); EU(European Union (EU)); EMBRACE; DOE(United States Department of Energy (DOE)); NSF(National Science Foundation (NSF)); NOAA(National Oceanic Atmospheric Admin (NOAA) - USA); ; Directorate For Geosciences; Div Atmospheric &amp; Geospace Sciences(National Science Foundation (NSF)NSF - Directorate for Geosciences (GEO)); Office Of The Director; Office of Integrative Activities(National Science Foundation (NSF)NSF - Office of the Director (OD)NSF - Office of Integrative Activities (OIA)); Natural Environment Research Council(UK Research &amp; Innovation (UKRI)Natural Environment Research Council (NERC)); NERC(UK Research &amp; Innovation (UKRI)Natural Environment Research Council (NERC))</t>
  </si>
  <si>
    <t>NERC provided funding to C. Le Quere, R. Moriarty, and the GCP though their International Opportunities Fund specifically to support this publication (NE/103002X/1), and to U. Schuster through UKOARP (NE/H017046/1). G. P. Peters and R. M. Andrews were supported by the Norwegian Research Council (236296). T. A. Boden was supported by US Department of Energy, Office of Science, Biological and Environmental Research (BER) programmes under US Department of Energy contract DE-AC05-00OR22725. Y. Bozec was supported by Region Bretagne, CG29, and INSU (LEFE/MERMEX) for CARBORHONE cruises. J. G. Canadell and M. R. Raupach were supported by the Australian Climate Change Science Programme. M. Hoppema received ICOSD funding through the German Federal Ministry of Education and Research (BMBF) to the AWI (01 LK 1224I). J. I. House was supported by a Leverhulme Early Career Fellowship. A. K. Jain was supported by the US National Science Foundation (NSF AGS 12-43071) the US Department of Energy, Office of Science, and BER programmes (DOE DE-SC0006706) and the NASA LCLUC programme (NASA NNX14AD94G). E. Kato was supported by the Environment Research and Technology Development Fund (S-10) of the Ministry of Environment of Japan. C. Koven was supported by the Director, Office of Science, Office of Biological and Environmental Research, of the US Department of Energy under contract no. DE-AC02-05CH11231 as part of their Regional and Global Climate Modeling Program. I. D. Lima was supported by the U. S. National Science Foundation (NSF AGS-1048827). N. Metzl was supported by Institut National des Sciences de l'Univers (INSU) and Institut Paul Emile Victor (IPEV) for OISO cruises. A. Olsen was supported by the Centre for Climate Dynamics at the Bjerknes Centre for Climate Research. J. E. Salisbury was supported by grants from NOAA/NASA. T. Steinhoff was supported by ICOS-D (BMBF FK 01LK1101C). B. D. Stocker was supported by the Swiss National Science Foundation and FP7 funding through project EMBRACE (282672). A. J. Sutton was supported by NOAA. T. Takahashi was supported by grants from NOAA and the Comer Education and Science Foundation. B. Tilbrook was supported by the Australian Department of the Environment and the Integrated Marine Observing System. A. Wiltshire was supported by the Joint UK DECC/Defra Met Office Hadley Centre Climate Programme (GA01101). P. Ciais, W. Peters, C. Le Quere, P. Regnier, and U. Schuster were supported by the EU FP7 through project GEOCarbon (283080). A. Arneth, P. Ciais, S. Sitch, and A. Wiltshire were supported by COMBINE (226520). V. Kitidis, M. Hoppema, N. Metzl, C. Le Quere, U. Schuster, J. Schwiger, J. Segschneider, and T. Steinhoff were supported by the EU FP7 through project CARBOCHANGE (264879). A. Arnet, P. Friedlingstein, B. Poulter, and S. Sitch were supported by the EU FP7 through projects LUC4C (GA603542). P. Friedlingstein was also supported by EMBRACE (GA282672). F. Chevallier and G. R. van der Werf were supported by the EU FP7 through project MACC-II (283576). This is NOAA-PMEL contribution number 4216. Contributions from the Scripps Institution of Oceanography were supported by DOE grant DE-SC0005090, NSF grant ATM-1036399, and NOAA grant NA10OAR4320156.</t>
  </si>
  <si>
    <t>10.5194/essd-7-47-2015</t>
  </si>
  <si>
    <t>Y</t>
  </si>
  <si>
    <t>N</t>
  </si>
  <si>
    <t>WOS:000356934300005</t>
  </si>
  <si>
    <t>Biskaborn, BK; Lanckman, JP; Lantuit, H; Elger, K; Streletskiy, DA; Cable, WL; Romanovsky, VE</t>
  </si>
  <si>
    <t>Biskaborn, B. K.; Lanckman, J. -P.; Lantuit, H.; Elger, K.; Streletskiy, D. A.; Cable, W. L.; Romanovsky, V. E.</t>
  </si>
  <si>
    <t>The new database of the Global Terrestrial Network for Permafrost (GTN-P)</t>
  </si>
  <si>
    <t>THERMAL STATE; ACTIVE-LAYER; CARBON</t>
  </si>
  <si>
    <t>The Global Terrestrial Network for Permafrost (GTN-P) provides the first dynamic database associated with the Thermal State of Permafrost (TSP) and the Circumpolar Active Layer Monitoring (CALM) programs, which extensively collect permafrost temperature and active layer thickness (ALT) data from Arctic, Antarctic and mountain permafrost regions. The purpose of GTN-P is to establish an early warning system for the consequences of climate change in permafrost regions and to provide standardized thermal permafrost data to global models. In this paper we introduce the GTN-P database and perform statistical analysis of the GTN-P metadata to identify and quantify the spatial gaps in the site distribution in relation to climate-effective environmental parameters. We describe the concept and structure of the data management system in regard to user operability, data transfer and data policy. We outline data sources and data processing including quality control strategies based on national correspondents. Assessment of the metadata and data quality reveals 63% metadata completeness at active layer sites and 50% metadata completeness for boreholes. Voronoi tessellation analysis on the spatial sample distribution of boreholes and active layer measurement sites quantifies the distribution inhomogeneity and provides a potential method to locate additional permafrost research sites by improving the representativeness of thermal monitoring across areas underlain by permafrost. The depth distribution of the boreholes reveals that 73% are shallower than 25m and 27% are deeper, reaching a maximum of 1 km depth. Comparison of the GTN-P site distribution with permafrost zones, soil organic carbon contents and vegetation types exhibits different local to regional monitoring situations, which are illustrated with maps. Preferential slope orientation at the sites most likely causes a bias in the temperature monitoring and should be taken into account when using the data for global models. The distribution of GTN-P sites within zones of projected temperature change show a high representation of areas with smaller expected temperature rise but a lower number of sites within Arctic areas where climate models project extreme temperature increase. GTN-P metadata used in this paper are available at doi:10.1594/PANGAEA.842821.</t>
  </si>
  <si>
    <t>[Biskaborn, B. K.; Lantuit, H.] Helmholtz Ctr Polar &amp; Marine Res, Alfred Wegener Inst, Potsdam, Germany; [Lanckman, J. -P.] Arctic Portal, Akureyri, Iceland; [Lantuit, H.] Univ Potsdam, Inst Earth &amp; Environm Sci, Potsdam, Germany; [Elger, K.] Potsdam GFZ German Res Ctr Geosci, Helmholtz Ctr, Potsdam, Germany; [Streletskiy, D. A.] George Washington Univ, Dept Geog, Washington, DC USA; [Cable, W. L.; Romanovsky, V. E.] Univ Alaska Fairbanks, Inst Geophys, Fairbanks, AK 99775 USA; [Romanovsky, V. E.] Earth Cryosphere Inst, Tyumen, Russia</t>
  </si>
  <si>
    <t>Helmholtz Association; Alfred Wegener Institute, Helmholtz Centre for Polar &amp; Marine Research; University of Potsdam; Helmholtz Association; Helmholtz-Center Potsdam GFZ German Research Center for Geosciences; George Washington University; University of Alaska System; University of Alaska Fairbanks; Tyumen Scientific Center of the Russian Academy of Sciences</t>
  </si>
  <si>
    <t>Biskaborn, BK (corresponding author), Helmholtz Ctr Polar &amp; Marine Res, Alfred Wegener Inst, Potsdam, Germany.</t>
  </si>
  <si>
    <t>boris.biskaborn@awi.de</t>
  </si>
  <si>
    <t>Lantuit, Hugues/ABC-8692-2020; Biskaborn, Boris K./D-2419-2011; Cable, William Lambert/KBC-8679-2024; Streletskiy, Dmitry/C-3333-2017</t>
  </si>
  <si>
    <t>Lantuit, Hugues/0000-0003-1497-6760; Biskaborn, Boris K./0000-0003-2378-0348; Cable, William Lambert/0000-0002-7951-3946; Elger, Kirsten/0000-0001-5140-8602; Romanovsky, Vladimir/0000-0002-9515-2087; Streletskiy, Dmitry/0000-0003-2563-2664</t>
  </si>
  <si>
    <t>GTN-P Database is the PAGE21 project; European Commission [282700]; Direct For Biological Sciences; Division Of Environmental Biology [1026415] Funding Source: National Science Foundation; Directorate For Geosciences; Office of Polar Programs (OPP) [1204110, 1304271] Funding Source: National Science Foundation; Office of Polar Programs (OPP); Directorate For Geosciences [1535819] Funding Source: National Science Foundation</t>
  </si>
  <si>
    <t>GTN-P Database is the PAGE21 project; European Commission(European Union (EU)European Commission Joint Research Centre); Direct For Biological Sciences; Division Of Environmental Biology(National Science Foundation (NSF)NSF - Directorate for Biological Sciences (BIO)); Directorate For Geosciences; Office of Polar Programs (OPP)(National Science Foundation (NSF)NSF - Directorate for Geosciences (GEO)); Office of Polar Programs (OPP); Directorate For Geosciences(National Science Foundation (NSF)NSF - Directorate for Geosciences (GEO))</t>
  </si>
  <si>
    <t>The main sponsor for the establishment of the GTN-P Database is the PAGE21 project, with financial support by the European Commission (FP7-ENV-2011, grant agreement no. 282700). The GTN-P Database was developed and is hosted at the Arctic Portal (Iceland) in collaboration with the Alfred Wegener Institute Helmholtz Centre for Polar and Marine Research (Germany). The authors thank Eleanor Burke and Sarah Chatburn for providing materials and advice on climate models and NetCDF files. We further thank Kerstin Gillen, Almut Dressler and Kira Rehfeld for their help with technical aspects and data mining. All authors thank two anonymous reviewers for their very good suggestions and comments.</t>
  </si>
  <si>
    <t>10.5194/essd-7-245-2015</t>
  </si>
  <si>
    <t>DB6NQ</t>
  </si>
  <si>
    <t>WOS:000368632100009</t>
  </si>
  <si>
    <t>Le Quéré, C; Moriarty, R; Andrew, RM; Canadell, JG; Sitch, S; Korsbakken, JI; Friedlingstein, P; Peters, GP; Andres, RJ; Boden, TA; Houghton, RA; House, JI; Keeling, RF; Tans, P; Arneth, A; Bakker, DCE; Barbero, L; Bopp, L; Chang, J; Chevallier, F; Chini, LP; Ciais, P; Fader, M; Feely, RA; Gkritzalis, T; Harris, I; Hauck, J; Ilyina, T; Jain, AK; Kato, E; Kitidis, V; Goldewijk, KK; Koven, C; Landschützer, P; Lauvset, SK; Lefèvre, N; Lenton, A; Lima, ID; Metzl, N; Millero, F; Munro, DR; Murata, A; Nabel, JEMS; Nakaoka, S; Nojiri, Y; O'Brien, K; Olsen, A; Ono, T; Pérez, FF; Pfeil, B; Pierrot, D; Poulter, B; Rehder, G; Rödenbeck, C; Saito, S; Schuster, U; Schwinger, J; Séférian, R; Steinhoff, T; Stocker, BD; Sutton, AJ; Takahashi, T; Tilbrook, B; van der Laan-Luijkx, IT; van der Werf, GR; van Heuven, S; Vandemark, D; Viovy, N; Wiltshire, A; Zaehle, S; Zeng, N</t>
  </si>
  <si>
    <t>Le Quere, C.; Moriarty, R.; Andrew, R. M.; Canadell, J. G.; Sitch, S.; Korsbakken, J. I.; Friedlingstein, P.; Peters, G. P.; Andres, R. J.; Boden, T. A.; Houghton, R. A.; House, J. I.; Keeling, R. F.; Tans, P.; Arneth, A.; Bakker, D. C. E.; Barbero, L.; Bopp, L.; Chang, J.; Chevallier, F.; Chini, L. P.; Ciais, P.; Fader, M.; Feely, R. A.; Gkritzalis, T.; Harris, I.; Hauck, J.; Ilyina, T.; Jain, A. K.; Kato, E.; Kitidis, V.; Goldewijk, K. Klein; Koven, C.; Landschuetzer, P.; Lauvset, S. K.; Lefevre, N.; Lenton, A.; Lima, I. D.; Metzl, N.; Millero, F.; Munro, D. R.; Murata, A.; Nabel, J. E. M. S.; Nakaoka, S.; Nojiri, Y.; O'Brien, K.; Olsen, A.; Ono, T.; Perez, F. F.; Pfeil, B.; Pierrot, D.; Poulter, B.; Rehder, G.; Roedenbeck, C.; Saito, S.; Schuster, U.; Schwinger, J.; Seferian, R.; Steinhoff, T.; Stocker, B. D.; Sutton, A. J.; Takahashi, T.; Tilbrook, B.; van der Laan-Luijkx, I. T.; van der Werf, G. R.; van Heuven, S.; Vandemark, D.; Viovy, N.; Wiltshire, A.; Zaehle, S.; Zeng, N.</t>
  </si>
  <si>
    <t>Global Carbon Budget 2015</t>
  </si>
  <si>
    <t>LAND-USE CHANGE; ENVIRONMENT SIMULATOR JULES; ANTHROPOGENIC CO2 UPTAKE; EARTH SYSTEM MODEL; DIOXIDE EMISSIONS; ATMOSPHERIC CO2; INTERANNUAL VARIABILITY; FLUX VARIABILITY; SOUTHERN-OCEAN; COVER CHANGE</t>
  </si>
  <si>
    <t>Accurate assessment of anthropogenic carbon dioxide (CO2) emissions and their redistribution among the atmosphere, ocean, and terrestrial biosphere is important to better understand the global carbon cycle, support the development of climate policies, and project future climate change. Here we describe data sets and a methodology to quantify all major components of the global carbon budget, including their uncertainties, based on the combination of a range of data, algorithms, statistics, and model estimates and their interpretation by a broad scientific community. We discuss changes compared to previous estimates as well as consistency within and among components, alongside methodology and data limitations. CO2 emissions from fossil fuels and industry (E-FF) are based on energy statistics and cement production data, while emissions from land-use change (E-LUC), mainly deforestation, are based on combined evidence from land-cover-change data, fire activity associated with deforestation, and models. The global atmospheric CO2 concentration is measured directly and its rate of growth (G(ATM)) is computed from the annual changes in concentration. The mean ocean CO2 sink (S-OCEAN) is based on observations from the 1990s, while the annual anomalies and trends are estimated with ocean models. The variability in S-OCEAN is evaluated with data products based on surveys of ocean CO2 measurements. The global residual terrestrial CO2 sink (S-LAND) is estimated by the difference of the other terms of the global carbon budget and compared to results of independent dynamic global vegetation models forced by observed climate, CO2, and land-cover change (some including nitrogen-carbon interactions). We compare the mean land and ocean fluxes and their variability to estimates from three atmospheric inverse methods for three broad latitude bands. All uncertainties are reported as +/- 1 sigma, reflecting the current capacity to characterise the annual estimates of each component of the global carbon budget. For the last decade available (20052014), E-FF was 9.0 +/- 0.5 GtC yr(-1) E-LUC was 0.9 +/- 0.5 GtC yr(-1), GATM was 4.4 +/- 0.1 GtC yr(-1), S-OCEAN was 2.6 +/- 0.5 GtC yr(-1), and S LAND was 3.0 +/- 0.8 GtC yr(-1). For the year 2014 alone, E FF grew to 9.8 +/- 0.5 GtC yr(-1), 0.6% above 2013, continuing the growth trend in these emissions, albeit at a slower rate compared to the average growth of 2.2% yr(-1) that took place during 2005-2014. Also, for 2014, E-LUC was 1.1 +/- 0.5 GtC yr(-1), G(ATM) was 3.9 +/- 0.2 GtC yr(-1), S-OCEAN was 2.9 +/- 0.5 GtC yr(-1), and S-LAND was 4.1 +/- 0.9 GtC yr(-1). G(ATM) was lower in 2014 compared to the past decade (2005-2014), reflecting a larger S-LAND for that year. The global atmospheric CO2 concentration reached 397.15 +/- 0.10 ppm averaged over 2014. For 2015, preliminary data indicate that the growth in E-FF will be near or slightly below zero, with a projection of 0.6 [ range of 1.6 to C 0.5] %, based on national emissions projections for China and the USA, and projections of gross domestic product corrected for recent changes in the carbon intensity of the global economy for the rest of the world. From this projection of E-FF and assumed constant E LUC for 2015, cumulative emissions of CO2 will reach about 555 +/- 55 GtC (2035 +/- 205 GtCO(2)) for 1870-2015, about 75% from E FF and 25% from E LUC. This living data update documents changes in the methods and data sets used in this new carbon budget compared with previous publications of this data set (Le Quere et al., 2015, 2014, 2013). All observations presented here can be downloaded from the Carbon Dioxide Information Analysis Center (doi: 10.3334/CDIAC/GCP_2015).</t>
  </si>
  <si>
    <t>[Le Quere, C.; Moriarty, R.] Univ E Anglia, Tyndall Ctr Climate Change Res, Norwich Res Pk, Norwich NR4 7TJ, Norfolk, England; [Andrew, R. M.; Korsbakken, J. I.; Peters, G. P.] Ctr Int Climate &amp; Environm Res Oslo CICERO, Oslo, Norway; [Canadell, J. G.] CSIRO Oceans &amp; Atmosphere, Global Carbon Project, Canberra, ACT 2601, Australia; [Sitch, S.; Schuster, U.] Univ Exeter, Coll Life &amp; Environm Sci, Exeter EX4 4QE, Devon, England; [Friedlingstein, P.] Univ Exeter, Coll Engn Math &amp; Phys Sci, Exeter EX4 4QE, Devon, England; [Andres, R. J.; Boden, T. A.] Oak Ridge Natl Lab, Carbon Dioxide Informat Anal Ctr CDIAC, Oak Ridge, TN USA; [Houghton, R. A.] Woods Hole Res Ctr WHRC, Falmouth, MA 02540 USA; [House, J. I.] Univ Bristol, Cabot Inst, Dept Geog, Bristol BS8 1TH, Avon, England; [Keeling, R. F.] Univ Calif San Diego, Scripps Inst Oceanog, La Jolla, CA 92093 USA; [Tans, P.] NOAA, ESRL, Boulder, CO 80305 USA; [Arneth, A.] Karlsruhe Inst Technol KIT, Inst Meteorol &amp; Climate Res Atmospher Environm Re, D-82467 Garmisch Partenkirchen, Germany; [Bakker, D. C. E.] Univ E Anglia, Ctr Ocean &amp; Atmospher Sci, Sch Environm Sci, Norwich NR4 7TJ, Norfolk, England; [Barbero, L.; Pierrot, D.] Univ Miami, Rosenstiel Sch Marine &amp; Atmospher Sci, Cooperat Inst Marine &amp; Atmospher Studies, Miami, FL 33149 USA; [Barbero, L.; Pierrot, D.] NOAA, Atlantic Oceanog &amp; Meteorol Lab, Miami, FL 33149 USA; [Bopp, L.; Chang, J.; Chevallier, F.; Ciais, P.; Viovy, N.] CE Orme Merisiers, UVSQ, CNRS,CEA, Lab Sci Climat &amp; Envirom,Inst Pierre Simon Laplac, F-91191 Gif Sur Yvette, France; [Chini, L. P.] Univ Maryland, Dept Geog Sci, College Pk, MD 20742 USA; [Fader, M.] Avignon Univ, CNRS, Inst Mediterraneen Biodiversite &amp; Ecol Marine &amp; C, Aix Marseille Univ,IRD, F-13545 Aix En Provence 04, France; [Feely, R. A.; Sutton, A. J.] NOAA, Pacific Marine Environm Lab, Seattle, WA 98115 USA; [Gkritzalis, T.] InnovOcean Site, Flanders Marine Inst, B-8400 Oostende, Belgium; [Harris, I.] Univ E Anglia, Climat Res Unit, Norwich NR4 7TJ, Norfolk, England; [Hauck, J.] Helmholtz Zentrum Polar &amp; Meeresforsch, Alfred Wegener Inst, D-27570 Bremerhaven, Germany; [Ilyina, T.; Nabel, J. E. M. S.] Max Planck Inst Meteorol, D-20146 Hamburg, Germany; [Jain, A. K.] Univ Illinois, Dept Atmospher Sci, Urbana, IL 61821 USA; [Kato, E.] Inst Appl Energy IAE, Minato Ku, Tokyo 1050003, Japan; [Kitidis, V.] Plymouth Marine Lab, Plymouth PL1 3DH, Devon, England; [Goldewijk, K. Klein] PBL Netherlands Environm Assessment Agcy, The Hague, Netherlands; [Goldewijk, K. Klein] Univ Utrecht, Utrecht, Netherlands; [Koven, C.] Univ Calif Berkeley, Lawrence Berkeley Natl Lab, Div Earth Sci, Berkeley, CA 94720 USA; [Landschuetzer, P.] ETH, Environm Phys Grp, Inst Biogeochem &amp; Pollutant Dynam, CH-8092 Zurich, Switzerland; [Lauvset, S. K.; Schwinger, J.] Uni Res Climate, Bjerknes Ctr Climate Res, N-5007 Bergen, Norway; [Lefevre, N.; Metzl, N.] Univ Paris 06, Sorbonne Univ, LOCEAN IPSL Lab, CNRS,IRD,MNHN, F-75005 Paris, France; [Lenton, A.; Tilbrook, B.] CSIRO Oceans &amp; Atmosphere, Hobart, Tas, Australia; [Lima, I. D.] Woods Hole Oceanog Inst WHOI, Woods Hole, MA 02543 USA; [Millero, F.] Univ Miami, RSMAS MAC, Dept Ocean Sci, Miami, FL 33149 USA; [Munro, D. R.] Univ Colorado, Dept Atmospher &amp; Ocean Sci, Boulder, CO 80309 USA; [Munro, D. R.] Univ Colorado, Inst Arctic &amp; Alpine Res, Boulder, CO 80309 USA; [Murata, A.] Japan Agcy Marine Earth Sci &amp; Technol JAMSTEC, Yokosuka, Kanagawa 2370061, Japan; [Nakaoka, S.; Nojiri, Y.] Natl Inst Environm Studies NIES, Ctr Global Environm Res, Tsukuba, Ibaraki 3058506, Japan; [O'Brien, K.; Sutton, A. J.] Univ Washington, Joint Inst Study Atmosphere &amp; Ocean, Seattle, WA 98115 USA; [Olsen, A.; Pfeil, B.] Univ Bergen, Inst Geophys, N-5007 Bergen, Norway; [Olsen, A.; Pfeil, B.] Bjerknes Ctr Climate Res, N-5007 Bergen, Norway; [Ono, T.] Fisheries Res Agcy, Natl Res Inst Fisheries Sci, Kanazawa Ku, Yokohama, Kanagawa 2368648, Japan; [Perez, F. F.] Inst Invest Marinas CSIC, Vigo 36208, Pontevedra, Spain; [Poulter, B.] Montana State Univ, Dept Ecol, Bozeman, MT 59717 USA; [Rehder, G.] Leibniz Inst Balt Sea Res Warnemunde, D-18119 Rostock, Germany; [Roedenbeck, C.; Zaehle, S.] Max Planck Inst Biogeochem, D-07745 Jena, Germany; [Saito, S.] Japan Meteorol Agcy, Global Environm &amp; Marine Dept, Marine Div, Chiyoda Ku, Tokyo 1008122, Japan; [Seferian, R.] CNRS, Meteofrance, Ctr Natl Rech Meteorol Grp Etud Atmosphere Metero, F-31100 Toulouse, France; [Steinhoff, T.] GEOMAR Helmholtz Ctr Ocean Res Kiel, D-24105 Kiel, Germany; [Stocker, B. D.] Univ Bern, Climate &amp; Environm Phys, Bern, Switzerland; [Stocker, B. D.] Univ Bern, Oeschger Ctr Climate Change Res, Bern, Switzerland; [Stocker, B. D.] Univ London Imperial Coll Sci Technol &amp; Med, Dept Life Sci, Ascot SL5 7PY, Berks, England; [Takahashi, T.] Columbia Univ, Lamont Doherty Earth Observ, Palisades, NY 10964 USA; [Tilbrook, B.] Antarctic Climate &amp; Ecosyst Cooperat Res Ctr, Hobart, Tas, Australia; [van der Laan-Luijkx, I. T.] Wageningen Univ, Dept Meteorol &amp; Air Qual, NL-6700 AA Wageningen, Netherlands; [van der Laan-Luijkx, I. T.] Wageningen Univ, ICOS Carbon Portal, NL-6700 AA Wageningen, Netherlands; [van der Werf, G. R.] Vrije Univ Amsterdam, Fac Earth &amp; Life Sci, Amsterdam, Netherlands; [van Heuven, S.] Royal Netherlands Inst Sea Res, NL-1797 SZ T Horntje, Texel, Netherlands; [Vandemark, D.] Univ New Hampshire, Ocean Proc Anal Lab, Durham, NH 03824 USA; [Wiltshire, A.] Met Off Hadley Ctr, Exeter EX1 3PB, Devon, England; [Zeng, N.] Univ Maryland, Dept Atmospher &amp; Ocean Sci, College Pk, MD 20742 USA</t>
  </si>
  <si>
    <t>University of East Anglia; Commonwealth Scientific &amp; Industrial Research Organisation (CSIRO); University of Exeter; University of Exeter; United States Department of Energy (DOE); Oak Ridge National Laboratory; Woodwell Climate Research Center; University of Bristol; University of California System; University of California San Diego; Scripps Institution of Oceanography; National Oceanic Atmospheric Admin (NOAA) - USA; Helmholtz Association; Karlsruhe Institute of Technology; University of East Anglia; University of Miami; National Oceanic Atmospheric Admin (NOAA) - USA; Atlantic Oceanographic &amp; Meteorological Laboratory (AOML); Universite Paris Saclay; CEA; Centre National de la Recherche Scientifique (CNRS); Universite Paris Cite; University System of Maryland; University of Maryland College Park; Institut de Recherche pour le Developpement (IRD); Avignon Universite; Aix-Marseille Universite; Centre National de la Recherche Scientifique (CNRS); National Oceanic Atmospheric Admin (NOAA) - USA; University of East Anglia; Helmholtz Association; Alfred Wegener Institute, Helmholtz Centre for Polar &amp; Marine Research; Max Planck Society; University of Illinois System; University of Illinois Urbana-Champaign; Plymouth Marine Laboratory; Utrecht University; University of California System; University of California Berkeley; United States Department of Energy (DOE); Lawrence Berkeley National Laboratory; Swiss Federal Institutes of Technology Domain; ETH Zurich; Bjerknes Centre for Climate Research; Centre National de la Recherche Scientifique (CNRS); Institut de Recherche pour le Developpement (IRD); Museum National d'Histoire Naturelle (MNHN); Sorbonne Universite; Commonwealth Scientific &amp; Industrial Research Organisation (CSIRO); University of Miami; University of Colorado System; University of Colorado Boulder; University of Colorado System; University of Colorado Boulder; Japan Agency for Marine-Earth Science &amp; Technology (JAMSTEC); National Institute for Environmental Studies - Japan; University of Washington; University of Washington Seattle; University of Bergen; Bjerknes Centre for Climate Research; Japan Fisheries Research &amp; Education Agency (FRA); Consejo Superior de Investigaciones Cientificas (CSIC); CSIC - Instituto de Investigaciones Marinas (IIM); Montana State University System; Montana State University Bozeman; Leibniz Institut fur Ostseeforschung Warnemunde; Max Planck Society; Japan Meteorological Agency; Meteo France; Centre National de la Recherche Scientifique (CNRS); Helmholtz Association; GEOMAR Helmholtz Center for Ocean Research Kiel; University of Bern; University of Bern; Imperial College London; Columbia University; Antarctic Climate &amp; Ecosystems Cooperative Research Centre (ACE CRC); Wageningen University &amp; Research; Wageningen University &amp; Research; Vrije Universiteit Amsterdam; Utrecht University; Royal Netherlands Institute for Sea Research (NIOZ); University System Of New Hampshire; University of New Hampshire; Met Office - UK; Hadley Centre; University System of Maryland; University of Maryland College Park</t>
  </si>
  <si>
    <t>Barbero, Leticia/B-5237-2011; Séférian, Roland/ABD-5465-2021; Harris, Ian C/O-7772-2014; Arneth, Almut/B-2702-2013; House, Joanna/B-6477-2016; Shin-ichiro, Nakaoka/I-7222-2018; Fader, Marianela/AAD-5973-2021; Pierrot, Denis/A-7459-2014; van der Laan-Luijkx, Ingrid/P-4925-2019; Tans, Pieter/AAG-8273-2019; Canadell, Pep/E-9419-2010; Ilyina, Tatiana/ABE-9164-2020; Munro, David/ABA-2074-2020; Andrew, Robbie/B-4204-2008; Jain, Atul/D-2851-2016; Moriarty, Róisín/AFR-8291-2022; Poulter, Ben/ABB-5886-2021; Stocker, Benjamin David/K-3194-2015; Nojiri, Yukihiro/D-1999-2010; Chevallier, Frederic/E-9608-2016; Schwinger, Jörg/AAN-6573-2021; Friedlingstein, Pierre/H-2700-2014; Kato, Etsushi/Q-2623-2018; CHANG, Jinfeng/A-4603-2019; van der Werf, Guido/JXY-9197-2024; ANDRES, ROBERT/B-9786-2012; Luijkx, Ingrid/G-9169-2011; Fernandez Perez, Fiz/B-9001-2011; bopp, laurent/ABF-5302-2020; Viovy, Nicolas/S-2631-2018; Tilbrook, Bronte/W-4007-2019; Ciais, Philippe/A-6840-2011; Landschützer, Peter/IQU-3835-2023; Le Quéré, Corinne/C-2631-2017; Hauck, Judith/AAC-3967-2019; Wiltshire, Andy/C-2848-2008; Zaehle, Sönke/C-9528-2017; Sutton, Adrienne/C-7725-2015; Zeng, Ning/A-3130-2008; Feely, Richard A./ABI-5740-2020; Koven, Charles/N-8888-2014; Pierrot, Denis/AAH-7687-2020; Peters, Glen P/B-1012-2008; Lenton, Andrew/D-2077-2012; van der Werf, Guido/M-8260-2016; Sitch, Stephen/F-8034-2015; Lauvset, Siv K./H-7948-2016; Lima, Ivan/A-6823-2016; Klein Goldewijk, Kees/L-5567-2013; Bakker, Dorothee/E-4951-2015; Olsen, Are/A-1511-2011</t>
  </si>
  <si>
    <t>Séférian, Roland/0000-0002-2571-2114; Arneth, Almut/0000-0001-6616-0822; House, Joanna/0000-0003-4576-3960; Shin-ichiro, Nakaoka/0000-0002-3870-1721; Pierrot, Denis/0000-0002-0374-3825; van der Laan-Luijkx, Ingrid/0000-0002-3990-6737; Tans, Pieter/0000-0002-9883-0787; Canadell, Pep/0000-0002-8788-3218; Ilyina, Tatiana/0000-0002-3475-4842; Andrew, Robbie/0000-0001-8590-6431; Jain, Atul/0000-0002-4051-3228; Moriarty, Róisín/0000-0003-1993-1756; Poulter, Ben/0000-0002-9493-8600; Stocker, Benjamin David/0000-0003-2697-9096; Nojiri, Yukihiro/0000-0001-9885-9195; Chevallier, Frederic/0000-0002-4327-3813; Schwinger, Jörg/0000-0002-7525-6882; Friedlingstein, Pierre/0000-0003-3309-4739; Kato, Etsushi/0000-0001-8814-804X; CHANG, Jinfeng/0000-0003-4463-7778; Fernandez Perez, Fiz/0000-0003-4836-8974; bopp, laurent/0000-0003-4732-4953; Viovy, Nicolas/0000-0002-9197-6417; Tilbrook, Bronte/0000-0001-9385-3827; Ciais, Philippe/0000-0001-8560-4943; Landschützer, Peter/0000-0002-7398-3293; Le Quéré, Corinne/0000-0003-2319-0452; Hauck, Judith/0000-0003-4723-9652; Zaehle, Sönke/0000-0001-5602-7956; Sutton, Adrienne/0000-0002-7414-7035; Koven, Charles/0000-0002-3367-0065; Peters, Glen P/0000-0001-7889-8568; Harris, Ian/0000-0003-2037-9284; metzl, nicolas/0000-0002-1165-1074; O'Brien, Kevin/0000-0003-4167-3028; Lenton, Andrew/0000-0001-9437-8896; van der Werf, Guido/0000-0001-9042-8630; Lefevre, Nathalie/0000-0002-1126-5528; Sitch, Stephen/0000-0003-1821-8561; Steinhoff, Tobias/0000-0002-2298-1298; Lauvset, Siv K./0000-0001-8498-4067; Kitidis, Vassilis/0000-0003-3949-3802; ANDRES, ROBERT/0000-0001-8781-4979; Lima, Ivan/0000-0001-5345-0652; Klein Goldewijk, Kees/0000-0003-2714-7507; Bakker, Dorothee/0000-0001-9234-5337; Vandemark, Douglas/0000-0003-4367-5457; Korsbakken, Jan Ivar/0000-0002-2939-9778; Olsen, Are/0000-0003-1696-9142</t>
  </si>
  <si>
    <t>International Ocean Carbon Coordination Project (IOCCP); Surface Ocean Lower Atmosphere Study (SOLAS); Integrated Marine Biogeochemistry, Ecosystem Research programme (IMBER); UK Natural Environment Research Council (NERC), National Capability, Ocean Acidification, Greenhouse Gases and Shelf Seas Biogeochemistry; NERC [NE/103002X/1]; Norwegian Research Council [236296]; Australian Climate Change Science Programme; EU through LUC4C [GA603542]; US Department of Energy, Office of Science, Biological and Environmental Research (BER) programmes under US Department of Energy [DE-AC05-00OR22725]; Leverhulme foundation; EU through EMBRACE [GA282672]; Helmholtz foundation; ATMO programme; EU through CARBOCHANGE [284879]; UK Ocean Acidification Research Programme - Natural Environment Research Council [NE/H017046/1]; Department for Energy and Climate Change; Department for Environment, Food and Rural Affairs; NOAA's Ocean Acidification Program; National Aeronautics and Space Administration (NASA) ROSES Carbon Cycle Science under NASA [13-CARBON13_2-0080]; European Research Council [ERC-2013-SyG-610028]; EU [GA603542]; Helmholtz Postdoc Programme (Initiative and Networking Fund of the Helmholtz Association); Climate Observation Division, Climate Program Office, NOAA, US Department of Commerce; US National Science Foundation [NSF AGS 12-43071, NSF PLR-1341647, NSF AOAS-0944761]; US Department of Energy, Office of Science; US Department of Energy, BER [DOE DE-SC0006706]; NASA LCLUC programme (NASA) [NNX14AD94G]; ERTDF from Ministry of Environment, Japan [S-10]; Dutch NWO VENI grant [863.14.022]; Norwegian Ministry of Climate and Environment; EU FP7 through project CARBOCHANGE [264879]; Office of Science, Office of Biological and Environmental Research of the US Department of Energy [DE-AC02-05CH11231]; OCW/NWO; US National Science Foundation (NSF) [AGS-1048827]; Institut National des Sciences de l'Univers (INSU); Institut Paul Emile Victor (IPEV); German Research Foundation's Emmy Noether Programme [PO1751/1-1]; Global Environment Research Account for National Institutes by the Ministry of Environment of Japan [1432]; Norwegian Research Council (SNACS) [229752]; BOCATS [CTM2013-41048-P]; Fondo Europeo de Desarrollo Regional (FEDER); European Union [633211]; NOAA through the Climate Observation Division of the Climate Program Office; EU through GEOCarbon; BMBF (Bundesministerium fur Bildung und Forschung) through project ICOS [01LK1224D]; NERC UKOARP [NE/H017046/1]; NERC RAGANRoCC [NE/K002473/1]; European Space Agency (ESA) OceanFlux Evolution project; EU FP7 CARBOCHANGE [264879]; ICOS-D (BMBF) [FK 01LK1101C]; EU FP7 through CARBOCHANGE [264879]; Research Council of Norway through project EVA [229771]; Norwegian Metacenter for Computational Science (NOTUR) [nn2980k]; Norwegian Storage Infrastructure (NorStore) [ns2980k]; NOAA; Comer Education and Science Foundation; Australian Department of Environment and the Integrated Marine Observing System; Swiss National Science Foundation; FP7 funding through project EMBRACE [282672]; EU FP7 for funding through project CARBOCHANGE [264879]; ERC [280061]; UK DECC/Defra Met Office Hadley Centre Climate Programme [GA01101]; EU FP7 Funding through project LUC4C [603542]; European Research Council (ERC) under the European Union [647204]; US DOE [DE-AC02-05CH11231]; DoE [DE-SC0012167]; Schmidt Philanthropies; Directorate For Geosciences; Div Atmospheric &amp; Geospace Sciences [1243071] Funding Source: National Science Foundation; Directorate For Geosciences; Division Of Ocean Sciences [0752972] Funding Source: National Science Foundation; Directorate For Geosciences; Office of Polar Programs (OPP) [1341647] Funding Source: National Science Foundation; Natural Environment Research Council [NE/H017046/1, NE/K002473/1, NE/I03002X/1, NE/H017046/2, NE/K002058/1, NE/K002511/1] Funding Source: researchfish; U.S. Department of Energy (DOE) [DE-SC0006706, DE-SC0012167] Funding Source: U.S. Department of Energy (DOE); NERC [NE/H017046/2, NE/K002473/1, NE/H017046/1, NE/I03002X/1, NE/K002511/1, NE/K002058/1] Funding Source: UKRI; NASA [685689, NNX14AD94G] Funding Source: Federal RePORTER; European Research Council (ERC) [280061] Funding Source: European Research Council (ERC)</t>
  </si>
  <si>
    <t>International Ocean Carbon Coordination Project (IOCCP); Surface Ocean Lower Atmosphere Study (SOLAS); Integrated Marine Biogeochemistry, Ecosystem Research programme (IMBER); UK Natural Environment Research Council (NERC), National Capability, Ocean Acidification, Greenhouse Gases and Shelf Seas Biogeochemistry(UK Research &amp; Innovation (UKRI)Natural Environment Research Council (NERC)); NERC(UK Research &amp; Innovation (UKRI)Natural Environment Research Council (NERC)); Norwegian Research Council(Research Council of Norway); Australian Climate Change Science Programme; EU through LUC4C; US Department of Energy, Office of Science, Biological and Environmental Research (BER) programmes under US Department of Energy(United States Department of Energy (DOE)); Leverhulme foundation(Leverhulme Trust); EU through EMBRACE; Helmholtz foundation(Helmholtz Association); ATMO programme; EU through CARBOCHANGE; UK Ocean Acidification Research Programme - Natural Environment Research Council; Department for Energy and Climate Change; Department for Environment, Food and Rural Affairs(Department for Environment, Food &amp; Rural Affairs (DEFRA)); NOAA's Ocean Acidification Program; National Aeronautics and Space Administration (NASA) ROSES Carbon Cycle Science under NASA; European Research Council(European Research Council (ERC)); EU(European Union (EU)); Helmholtz Postdoc Programme (Initiative and Networking Fund of the Helmholtz Association); Climate Observation Division, Climate Program Office, NOAA, US Department of Commerce; US National Science Foundation(National Science Foundation (NSF)); US Department of Energy, Office of Science(United States Department of Energy (DOE)); US Department of Energy, BER(United States Department of Energy (DOE)); NASA LCLUC programme (NASA); ERTDF from Ministry of Environment, Japan; Dutch NWO VENI grant; Norwegian Ministry of Climate and Environment; EU FP7 through project CARBOCHANGE(European Union (EU)Marie Curie Actions); Office of Science, Office of Biological and Environmental Research of the US Department of Energy(United States Department of Energy (DOE)); OCW/NWO; US National Science Foundation (NSF)(National Science Foundation (NSF)); Institut National des Sciences de l'Univers (INSU); Institut Paul Emile Victor (IPEV); German Research Foundation's Emmy Noether Programme(German Research Foundation (DFG)); Global Environment Research Account for National Institutes by the Ministry of Environment of Japan; Norwegian Research Council (SNACS)(Research Council of Norway); BOCATS; Fondo Europeo de Desarrollo Regional (FEDER)(European Union (EU)Spanish Government); European Union(European Union (EU)); NOAA through the Climate Observation Division of the Climate Program Office; EU through GEOCarbon; BMBF (Bundesministerium fur Bildung und Forschung) through project ICOS; NERC UKOARP; NERC RAGANRoCC; European Space Agency (ESA) OceanFlux Evolution project; EU FP7 CARBOCHANGE(European Union (EU)Marie Curie Actions); ICOS-D (BMBF)(Federal Ministry of Education &amp; Research (BMBF)); EU FP7 through CARBOCHANGE(European Union (EU)); Research Council of Norway through project EVA(Research Council of Norway); Norwegian Metacenter for Computational Science (NOTUR); Norwegian Storage Infrastructure (NorStore); NOAA(National Oceanic Atmospheric Admin (NOAA) - USA); Comer Education and Science Foundation; Australian Department of Environment and the Integrated Marine Observing System(Australian Government); Swiss National Science Foundation(Swiss National Science Foundation (SNSF)); FP7 funding through project EMBRACE; EU FP7 for funding through project CARBOCHANGE(European Union (EU)Marie Curie Actions); ERC(European Research Council (ERC)); UK DECC/Defra Met Office Hadley Centre Climate Programme; EU FP7 Funding through project LUC4C(European Union (EU)Marie Curie Actions); European Research Council (ERC) under the European Union(European Research Council (ERC)); US DOE(United States Department of Energy (DOE)); DoE(United States Department of Energy (DOE)); Schmidt Philanthropies; Directorate For Geosciences; Div Atmospheric &amp; Geospace Sciences(National Science Foundation (NSF)NSF - Directorate for Geosciences (GEO)); Directorate For Geosciences; Division Of Ocean Sciences(National Science Foundation (NSF)NSF - Directorate for Geosciences (GEO)); Directorate For Geosciences; Office of Polar Programs (OPP)(National Science Foundation (NSF)NSF - Directorate for Geosciences (GEO)); Natural Environment Research Council(UK Research &amp; Innovation (UKRI)Natural Environment Research Council (NERC)); U.S. Department of Energy (DOE)(United States Department of Energy (DOE)); NERC(UK Research &amp; Innovation (UKRI)Natural Environment Research Council (NERC)); NASA(National Aeronautics &amp; Space Administration (NASA)); European Research Council (ERC)(European Research Council (ERC)Spanish Government)</t>
  </si>
  <si>
    <t>We thank all people and institutions who provided the data used in this carbon budget, as well as P. Cadule, C. Enright, J. Ghattas, G. Hurtt, L. Mercado, S. Shu, and S. Jones for support with the model simulations and data analysis, and F. Joos and S. Khatiwala for providing historical data. We thank E. Dlugokencky, who provided the atmospheric and oceanographic CO2 measurements used here, and all those involved in collecting and providing oceanographic data CO2 measurements used here, in particular for the ocean data for years 2013-2014 that are not included in SOCAT v3: M. Becker, A. Kortzinger, S. Alin, G. Lebon, D. Diverres, R. Wanninkhof, M. Glockzin, I. Skjelvan, I. Brown, C. Sweeney, C. Lo Monaco, A. Omar, T. Johannessen, M. Hoppema, X. A. Padin, T. Ichikawa, A. Kuwata, and K. Tadokoro. We thank the institutions and funding agencies responsible for the collection and quality control of the data included in SOCAT, and the support of the International Ocean Carbon Coordination Project (IOCCP), the Surface Ocean Lower Atmosphere Study (SOLAS), and the Integrated Marine Biogeochemistry, Ecosystem Research programme (IMBER) and UK Natural Environment Research Council (NERC) projects including National Capability, Ocean Acidification, Greenhouse Gases and Shelf Seas Biogeochemistry. We thank W. Peters for CTE2015 model simulations, and all data providers to ObsPack GLOBALVIEWplus v1.0 for atmospheric CO2 observations.r NERC provided funding to C. Le Quere, R. Moriarty, and the GCP through their International Opportunities Fund specifically to support this publication (NE/103002X/1). G. P. Peters and R. M. Andrew were supported by the Norwegian Research Council (236296). J. G. Canadell was supported by the Australian Climate Change Science Programme. S. Sitch was supported by EU FP7 for funding through projects LUC4C (GA603542). R. J. Andres was supported by US Department of Energy, Office of Science, Biological and Environmental Research (BER) programmes under US Department of Energy contract DE-AC05-00OR22725. T. A. Boden was supported by US Department of Energy, Office of Science, Biological and Environmental Research (BER) programmes under US Department of Energy contract DE-AC05-00OR22725. J. I. House was supported by the Leverhulme foundation and the EU FP7 through project LUC4C (GA603542). P. Friedlingstein was supported by the EU FP7 for funding through projects LUC4C (GA603542) and EMBRACE (GA282672). A. Arneth was supported by the EU FP7 for funding through LUC4C (603542), and the Helmholtz foundation and its ATMO programme. D. C. E. Bakker was supported by the EU FP7 for funding through project CARBOCHANGE (284879), the UK Ocean Acidification Research Programme (NE/H017046/1; funded by the Natural Environment Research Council, the Department for Energy and Climate Change and the Department for Environment, Food and Rural Affairs). L. Barbero was supported by NOAA's Ocean Acidification Program and acknowledges support for this work from the National Aeronautics and Space Administration (NASA) ROSES Carbon Cycle Science under NASA grant 13-CARBON13_2-0080. P. Ciais acknowledges support from the European Research Council through Synergy grant ERC-2013-SyG-610028 IMBALANCE-P. M. Fader was supported by the EU FP7 for funding through project LUC4C (GA603542). J. Hauck was supported by the Helmholtz Postdoc Programme (Initiative and Networking Fund of the Helmholtz Association). R. A. Feely and A. J.; Sutton were supported by the Climate Observation Division, Climate Program Office, NOAA, US Department of Commerce. A. K. Jain was supported by the US National Science Foundation (NSF AGS 12-43071) the US Department of Energy, Office of Science and BER programmes (DOE DE-SC0006706) and NASA LCLUC programme (NASA NNX14AD94G). E. Kato was supported by the ERTDF (S-10) from the Ministry of Environment, Japan. K. Klein Goldewijk was supported by the Dutch NWO VENI grant no. 863.14.022. S. K. Lauvset was supported by the project Monitoring ocean acidification in Norwegian waters from the Norwegian Ministry of Climate and Environment. V. Kitidis was supported by the EU FP7 for funding through project CARBOCHANGE (264879). C. Koven was supported by the Director, Office of Science, Office of Biological and Environmental Research of the US Department of Energy under contract no. DE-AC02-05CH11231 as part of their Regional and Global Climate Modeling Program. P. Landschutzer was supported by GEOCarbon. I. T. van der Lann-Luijkx received financial support from OCW/NWO for ICOS-NL and computing time from NWO (SH-060-13). I. D. Lima was supported by the US National Science Foundation (NSF AGS-1048827). N. Metzl was supported by Institut National des Sciences de l'Univers (INSU) and Institut Paul Emile Victor (IPEV) for OISO cruises. D. R. Munro was supported by the US National Science Foundation (NSF PLR-1341647 and NSF AOAS-0944761). J. E. M. S.r Nabel was supported by the German Research Foundation's Emmy Noether Programme (PO1751/1-1) and acknowledges Julia Pongratz and Kim Naudts for their contributions. Y. Nojiri and S. Nakaoka were supported by the Global Environment Research Account for National Institutes (1432) by the Ministry of Environment of Japan. A. Olsen appreciates support from the Norwegian Research Council (SNACS, 229752). F. F. Perez were supported by BOCATS (CTM2013-41048-P) project co-founded by the Spanish government and the Fondo Europeo de Desarrollo Regional (FEDER). B. Pfeil was supported through the European Union's Horizon 2020 research and innovation programme AtlantOS under grant agreement no. 633211. D. Pierrot was supported by NOAA through the Climate Observation Division of the Climate Program Office. B. Poulter was supported by the EU FP7 for funding through GEOCarbon. G. Rehder was supported by BMBF (Bundesministerium fur Bildung und Forschung) through project ICOS, grant no. 01LK1224D. U. Schuster was supported by NERC UKOARP (NE/H017046/1), NERC RAGANRoCC (NE/K002473/1), the European Space Agency (ESA) OceanFlux Evolution project, and EU FP7 CARBOCHANGE (264879). T. Steinhoff was supported by ICOS-D (BMBF FK 01LK1101C) and EU FP7 for funding through project CARBOCHANGE (264879). J. Schwinger was supported by the Research Council of Norway through project EVA (229771), and acknowledges the Norwegian Metacenter for Computational Science (NOTUR, project nn2980k), and the Norwegian Storage Infrastructure (NorStore, project ns2980k) for supercomputer time and storage resources. T. Takahashi was supported by grants from NOAA and the Comer Education and Science Foundation. B. Tilbrook was supported by the Australian Department of Environment and the Integrated Marine Observing System. B. D. Stocker was supported by the Swiss National Science Foundation and FP7 funding through project EMBRACE (282672). S. van Heuven was supported by the EU FP7 for funding through project CARBOCHANGE (264879). G. R. van der Werf was supported by the European Research Council (280061). A.; Wiltshire was supported by the Joint UK DECC/Defra Met Office Hadley Centre Climate Programme (GA01101) and EU FP7 Funding through project LUC4C (603542). S. Zaehle was supported by the European Research Council (ERC) under the European Union's Horizon 2020 research and innovation programme (QUINCY; grant agreement no. 647204). ISAM (PI: Atul K. Jain) simulations were carried out at the National Energy Research Scientific Computing Center (NERSC), which is supported by the US DOE under contract DE-AC02-05CH11231. Contributions from the Scripps Institution of Oceanography were supported under DoE grant DE-SC0012167 and by Schmidt Philanthropies. This is NOAA-PMEL contribution number 4400.</t>
  </si>
  <si>
    <t>10.5194/essd-7-349-2015</t>
  </si>
  <si>
    <t>WOS:000368632100016</t>
  </si>
  <si>
    <t>Harakal'ová, D</t>
  </si>
  <si>
    <t>Natalia, H; Zuzana, K</t>
  </si>
  <si>
    <t>Harakal'ova, Dorota</t>
  </si>
  <si>
    <t>ANTARCTIC LEGAL REGIME IN THE CONTEXT OF THE ANTARCTIC TREATY</t>
  </si>
  <si>
    <t>EKONOMICKE, POLITICKE A PRAVNE OTAZKY MEDZINARODNYCH VZTAHOV 2015</t>
  </si>
  <si>
    <t>Slovak</t>
  </si>
  <si>
    <t>14th International Scientific Conference of Doctoral Students and Young Scientists on Economic, Political and Legal Issues of International Relations</t>
  </si>
  <si>
    <t>MAY 29-30, 2015</t>
  </si>
  <si>
    <t>Univ Econ Bratislava, Fac Int Relat, Bratislava, SLOVAKIA</t>
  </si>
  <si>
    <t>Univ Econ Bratislava, Fac Int Relat</t>
  </si>
  <si>
    <t>Antarctica; Antarctic Treaty; ATCM</t>
  </si>
  <si>
    <t>Antarctica, outer space and high seas belong to international areas. International areas are characterized by the fact that they cannot be subject to the jurisdiction of any state and they are the common heritage of mankind. The status of Antarctica is different from the other international areas because of nature of the territorial claims. During the time states were raising their territorial claims to various parts of Antarctica up to the time when the Antarctic Treaty (1959) froze their claims and also prevent the raising new and extending original claims. States did not renounce their claims by adopting the Antarctic Treaty; the claims are for the duration of the Treaty only suspended.</t>
  </si>
  <si>
    <t>[Harakal'ova, Dorota] Ekon Univ Bratislave, Fak Medzinarodnych Vztahov, Katedra Medzinarodneho Prava, Dolnozemska Cesta 1-B, Bratislava 85235 5, Slovakia</t>
  </si>
  <si>
    <t>University of Economics Bratislava</t>
  </si>
  <si>
    <t>Harakal'ová, D (corresponding author), Ekon Univ Bratislave, Fak Medzinarodnych Vztahov, Katedra Medzinarodneho Prava, Dolnozemska Cesta 1-B, Bratislava 85235 5, Slovakia.</t>
  </si>
  <si>
    <t>dorota.harakalova@euba.sk</t>
  </si>
  <si>
    <t>EKONOM</t>
  </si>
  <si>
    <t>BRATISLAVA</t>
  </si>
  <si>
    <t>UNIV ECONOMICS, EKONOMICKA UNIVERZITA &amp; BRATISLAVE, DOLNOZEMSKA CESTA 1, BRATISLAVA, 852 35, SLOVAKIA</t>
  </si>
  <si>
    <t>978-80-225-4099-5</t>
  </si>
  <si>
    <t>International Relations</t>
  </si>
  <si>
    <t>Conference Proceedings Citation Index - Social Science &amp; Humanities (CPCI-SSH)</t>
  </si>
  <si>
    <t>BI7YN</t>
  </si>
  <si>
    <t>WOS:000414777000019</t>
  </si>
  <si>
    <t>Neves, VC; Nava, CP; Cormons, M; Bremer, E; Castresana, G; Lima, P; Azevedo, SM; Phillips, RA; Magalhaes, MC; Santos, RS</t>
  </si>
  <si>
    <t>Neves, Veronica C.; Nava, Cristina P.; Cormons, Matt; Bremer, Esteban; Castresana, Gabriel; Lima, Pedro; Azevedo Junior, Severino M.; Phillips, Richard A.; Magalhaes, Maria C.; Santos, Ricardo S.</t>
  </si>
  <si>
    <t>Migration routes and non-breeding areas of Common Terns (Sterna hirundo) from the Azores</t>
  </si>
  <si>
    <t>Argentina; at-sea distribution; Brazil; geolocation; non-breeding season; Patagonian shelf; ring recoveries; Uruguay</t>
  </si>
  <si>
    <t>ROSEATE; ALBATROSSES; TRACKING; CONSERVATION; PARADISAEA; INSIGHTS</t>
  </si>
  <si>
    <t>We describe the migration routes and non-breeding areas of Common Terns (Sterna hirundo) from the Azores Archipelago, based on ringing (banding) recoveries and tracking of three birds using geolocators. Over 20 years, there have been 55 transatlantic recoveries of Common Terns from the Azores population: six from Argentina and 49 from Brazil. The three tracked birds migrated south in different months (August, September, November), but the northern migration was more synchronous, with all leaving in April. The birds were tracked to three areas of the South American coast: the male spent November-April on the northern Brazilian coast (13 degrees N-2 degrees S), whereas the two females first spent some time off central-eastern Brazil (4-16 degrees S; one for 1 week, the other for 3 months) and then moved south to the coast of south-eastern Brazil, Uruguay and northern Argentina (24-39 degrees S). Although caution is needed given the small sample size and errors associated with geolocation, the three tracked terns potentially travelled a total of 23200km to and returning from their non-breeding areas, representing an average movement of 500km day(-1). With the exception of Belem, in northern Brazil, and Lagoa do Peixe, in southern Brazil, the coastal areas used by the tracked birds were also those with concentrations of ringing recoveries, confirming their importance as non-breeding areas for birds from the Azores.</t>
  </si>
  <si>
    <t>[Neves, Veronica C.; Nava, Cristina P.; Magalhaes, Maria C.; Santos, Ricardo S.] Univ Azores, IMAR Inst Marine Res, MARE Marine &amp; Environm Sci Ctr, PT-9901862 Horta, Azores, Portugal; [Neves, Veronica C.; Nava, Cristina P.; Magalhaes, Maria C.; Santos, Ricardo S.] Univ Azores, Dept Oceanog &amp; Fisheries DOP, LARSyS Associated Lab, PT-9901862 Horta, Azores, Portugal; [Bremer, Esteban] Argentinian Wildlife Fdn, Dept Conservat, Buenos Aires, DF, Argentina; [Castresana, Gabriel] Reg Council Sustainable Dev, Bahia Samborombon Nat Reserve, Buenos Aires, DF, Argentina; [Lima, Pedro] Univ Fed Bahia, ESCMEV, UFBA, BR-40170110 Salvador, BA, Brazil; [Azevedo Junior, Severino M.] Univ Fed Rural Pernambuco, Dept Biol, Ornithol Lab, BR-52171900 Recife, PE, Brazil; [Phillips, Richard A.] British Antarctic Survey, Nat Environm Res Council, Cambridge CB3 0ET, England</t>
  </si>
  <si>
    <t>Universidade dos Acores; Universidade dos Acores; Universidade Federal da Bahia; Universidade Federal Rural de Pernambuco (UFRPE); UK Research &amp; Innovation (UKRI); Natural Environment Research Council (NERC); NERC British Antarctic Survey</t>
  </si>
  <si>
    <t>Neves, VC (corresponding author), Univ Azores, IMAR Inst Marine Res, MARE Marine &amp; Environm Sci Ctr, Rua Prof Dr Frederico Machado 4, PT-9901862 Horta, Azores, Portugal.</t>
  </si>
  <si>
    <t>neves_veronica@yahoo.com</t>
  </si>
  <si>
    <t>Neves, Verónica/AAS-6850-2021; Neves, Verónica R C/A-4642-2009; Serrao Santos, Ricardo/B-3960-2008</t>
  </si>
  <si>
    <t>Neves, Verónica R C/0000-0002-6826-4542; Serrao Santos, Ricardo/0000-0002-2536-1369; Carvalho Magalhaes, Maria/0000-0003-4486-8592</t>
  </si>
  <si>
    <t>Fundacao para a Ciencia e a Tecnologia [SFRH/BPD/26657/2006, SFRH/BPD/88914/2012]; MoniAves [2009-12]; Institute of Marine Research, University of the Azores Research and Development Unit [531]; LARSyS Associated Laboratory; Fundacao para a Ciencia e Tecnologia (PEst-Orcamento de Estado) [(OE)/EEI/LA0009/2011-2014]; Natural Environment Research Council [bas0100035] Funding Source: researchfish; NERC [bas0100035] Funding Source: UKRI; Fundação para a Ciência e a Tecnologia [SFRH/BPD/88914/2012, SFRH/BPD/26657/2006, PEst-OE/EEI/LA0009/2013] Funding Source: FCT</t>
  </si>
  <si>
    <t>Fundacao para a Ciencia e a Tecnologia(Fundacao para a Ciencia e a Tecnologia (FCT)); MoniAves; Institute of Marine Research, University of the Azores Research and Development Unit; LARSyS Associated Laboratory; Fundacao para a Ciencia e Tecnologia (PEst-Orcamento de Estado); Natural Environment Research Council(UK Research &amp; Innovation (UKRI)Natural Environment Research Council (NERC)); NERC(UK Research &amp; Innovation (UKRI)Natural Environment Research Council (NERC)); Fundação para a Ciência e a Tecnologia(Fundacao para a Ciencia e a Tecnologia (FCT))</t>
  </si>
  <si>
    <t>We are grateful to Rolando Oliveira and Luis Aguiar for transport to Praia Islet, and to Alexandre &amp; Rita (Octopus Diving Centre, Praia da Vitoria, Portugal) for transport to Feno Islet. We thank Parque Natural da Graciosa for logistic support. We also thank Luis F. Correia for help with fieldwork on Feno Islet, Ricardo Medeiros for help with Fig. 1, and Joel Bried for help with laboratory procedures for determination of sex. We thank Joe di Costanzo for suggestions on geolocator deployment and for help with archived ring-recovery data. We are also very grateful to Janet Silk for providing the R code to analyse the immersion data. Thanks to Biotrack for extracting data from the failed logger. Thanks also to Paula Figueiredo and Vitor Encarnacao from CEMPA(Lisbon) for help and clarification with the ringing recoveries and to Manuella Souza from Centro Nacional de Pesquisa para a Conservacao das Aves Silvestres (CEMAVE, Cabedelo) for help with ringing data from Brazil. We are also very grateful to all the many ringers of Common Terns in Brazil (over 25 individuals) who allowed us to use their records, and to Ramses Perez for allowing us to use his photograph (Fig. S2 in Supplementary material). Finally we thank Helen Hays, Grace Cormons, Joel Bried and anonymous referees for many useful comments that have helped improve the manuscript. Fieldwork was conducted under permits 43/2011 and 33/2012 issued by Secretaria Regional do Ambiente e do Mar (Horta). This study was funded by grants from the Fundacao para a Ciencia e a Tecnologia (SFRH/BPD/26657/2006 and SFRH/BPD/88914/2012) and also received support from MoniAves (2009-12) coordinated by Ricardo S. Santos. The authors also acknowledge the funding of Institute of Marine Research, University of the Azores Research and Development Unit #531 and LARSyS Associated Laboratory #9, by Fundacao para a Ciencia e Tecnologia (PEst-Orcamento de Estado (OE)/EEI/LA0009/2011-2014, OE, Programa Operacional Factores de Competitividade).</t>
  </si>
  <si>
    <t>TAYLOR &amp; FRANCIS AUSTRALIA</t>
  </si>
  <si>
    <t>10.1071/MU13112</t>
  </si>
  <si>
    <t>WOS:000354177600008</t>
  </si>
  <si>
    <t>Carroll, EL; Brooks, L; Baker, CS; Burns, D; Garrigue, C; Hauser, N; Jackson, JA; Poole, MM; Fewster, RM</t>
  </si>
  <si>
    <t>Carroll, E. L.; Brooks, L.; Baker, C. S.; Burns, D.; Garrigue, C.; Hauser, N.; Jackson, J. A.; Poole, M. M.; Fewster, R. M.</t>
  </si>
  <si>
    <t>Assessing the design and power of capture-recapture studies to estimate demographic parameters for the Endangered Oceania humpback whale population</t>
  </si>
  <si>
    <t>ENDANGERED SPECIES RESEARCH</t>
  </si>
  <si>
    <t>MEGAPTERA-NOVAEANGLIAE; SOUTH-PACIFIC; MOVEMENTS; ABUNDANCE; COAST; BEAR; AGE</t>
  </si>
  <si>
    <t>Capture-recapture studies offer a powerful tool to assess abundance, survival and population rate of change (lambda). A previous capture-recapture study, based on DNA profiles, estimated that the IUCN-listed Endangered Oceania population of humpback whales had a super-population size of 4329 whales (95% confidence limits, CL: 3345, 5315) and lambda = 1.03 (95% CL: 0.90-1.18) for the period 1999-2005. This low estimate of lambda contrasts with the high estimated. for the neighbouring east Australia population (1.11; 95% CL: 1.105-1.113). A future assessment of Oceania humpbacks through capture-recapture methodology has been proposed to meet 3 objectives: (1) estimate population size with a coefficient of variation of &lt;20%, and detect if lambda is significantly different from (2) 1.00 or (3) lambda of east Australia. The proposed survey design involves using DNA profiles to identify whales on principal breeding grounds within Oceania in proportion to the abundance of whales on these grounds over the 10 to 12 wk wintering period, to minimise capture heterogeneity between individuals and to maximise capture probabilities. Simulations of the idealised survey design incorporating data from the previous surveys (1999-2005) with 3 new survey years were conducted under a range of scenarios for the 'true' demographic status of the population. Simulations of the entire Oceania region showed that the proposed design will give sufficient power to meet objectives (1) under all scenarios, (2) if the true lambda &gt;= 1.05 and (3) if the true lambda &lt;= 1.05. Region-specific simulations suggested there was scope to test for differences in recovery between principal breeding sites within Oceania.</t>
  </si>
  <si>
    <t>[Carroll, E. L.] Univ St Andrews, Sch Biol, St Andrews KY16 8LB, Fife, Scotland; [Brooks, L.; Burns, D.] So Cross Univ, Marine Ecol Res Ctr, Lismore, NSW 2480, Australia; [Baker, C. S.] Univ Auckland, Sch Biol Sci, Auckland 1, New Zealand; [Baker, C. S.] Oregon State Univ, Hatfield Marine Sci Ctr, Newport, OR 97365 USA; [Burns, D.] Amberley Business Ctr, Blue Planet Marine, Perth, WA, Australia; [Garrigue, C.] Operat Cetaces, Noumea 98802, New Caledonia; [Garrigue, C.] Univ Perpignan, IRD ENTROPIE UMR9220, F-66860 Perpignan, France; [Hauser, N.] Cook Isl Whale Res, Avarua, Rarotonga, Cook Islands; [Jackson, J. A.] British Antarctic Survey, Cambridge CB3 0ET, Cambs, England; [Poole, M. M.] Marine Mammal Res Program, Maharepa, Moorea, France; [Fewster, R. M.] Univ Auckland, Dept Stat, Auckland 1, New Zealand</t>
  </si>
  <si>
    <t>University of St Andrews; Southern Cross University; University of Auckland; Oregon State University; Centre National de la Recherche Scientifique (CNRS); CNRS - Institute of Ecology &amp; Environment (INEE); Universite Perpignan Via Domitia; UK Research &amp; Innovation (UKRI); Natural Environment Research Council (NERC); NERC British Antarctic Survey; University of Auckland</t>
  </si>
  <si>
    <t>Carroll, EL (corresponding author), Univ St Andrews, Sch Biol, St Andrews KY16 8LB, Fife, Scotland.</t>
  </si>
  <si>
    <t>elc6@st-andrews.ac.uk</t>
  </si>
  <si>
    <t>Carroll, Emma/U-9133-2019; Jackson, Jennifer A/E-7997-2013; garrigue, claire/I-4704-2016</t>
  </si>
  <si>
    <t>Carroll, Emma/0000-0003-3193-7288; Burns, Daniel/0000-0002-2487-535X; Fewster, Rachel/0000-0002-4384-978X; Jackson, Jennifer/0000-0003-4158-1924; garrigue, claire/0000-0002-8117-3370</t>
  </si>
  <si>
    <t>International Fund for Animal Welfare (IFAW); University of St. Andrews; Natural Environment Research Council [bas0100035] Funding Source: researchfish; NERC [bas0100035] Funding Source: UKRI</t>
  </si>
  <si>
    <t>International Fund for Animal Welfare (IFAW); University of St. Andrews; Natural Environment Research Council(UK Research &amp; Innovation (UKRI)Natural Environment Research Council (NERC)); NERC(UK Research &amp; Innovation (UKRI)Natural Environment Research Council (NERC))</t>
  </si>
  <si>
    <t>The authors thank the South Pacific Whale Research Consortium for access to the Oceania-wide and region-specific capture history data used in the simulations, particularly Debbie Steel as curator of the genotype register and Dr. Rochelle Constantine for both her help and advice during manuscript preparation and in her role as curator of the photo-identification records. We also thank the International Fund for Animal Welfare (IFAW) for supporting this assessment and the semi-annual meetings of the Consortium from which the framework for this power analysis originated. Funding for Open Access publication was provided by the University of St. Andrews. The manuscript benefited from the comments of 2 anonymous reviewers.</t>
  </si>
  <si>
    <t>1863-5407</t>
  </si>
  <si>
    <t>1613-4796</t>
  </si>
  <si>
    <t>ENDANGER SPECIES RES</t>
  </si>
  <si>
    <t>Endanger. Species Res.</t>
  </si>
  <si>
    <t>10.3354/esr00686</t>
  </si>
  <si>
    <t>CR7SM</t>
  </si>
  <si>
    <t>gold, Green Accepted, Green Submitted</t>
  </si>
  <si>
    <t>WOS:000361551100006</t>
  </si>
  <si>
    <t>Miller, BS; Barlow, J; Calderan, S; Collins, K; Leaper, R; Olson, P; Ensor, P; Peel, D; Donnelly, D; Andrews-Goff, V; Olavarria, C; Owen, K; Rekdahl, M; Schmitt, N; Wadley, V; Gedamke, J; Gales, N; Double, MC</t>
  </si>
  <si>
    <t>Miller, Brian S.; Barlow, Jay; Calderan, Susannah; Collins, Kym; Leaper, Russell; Olson, Paula; Ensor, Paul; Peel, David; Donnelly, David; Andrews-Goff, Virginia; Olavarria, Carlos; Owen, Kylie; Rekdahl, Melinda; Schmitt, Natalie; Wadley, Victoria; Gedamke, Jason; Gales, Nick; Double, Michael C.</t>
  </si>
  <si>
    <t>Validating the reliability of passive acoustic localisation: a novel method for encountering rare and remote Antarctic blue whales</t>
  </si>
  <si>
    <t>PACIFIC RIGHT WHALES; BALAENOPTERA-MUSCULUS; SOUTHERN-OCEAN; BALEEN WHALES; VISUAL SURVEY; INDIAN-OCEAN; NEW-ZEALAND; VOCALIZATIONS; EASTERN; RANGE</t>
  </si>
  <si>
    <t>Since its near extirpation during the period of industrial whaling in the early and mid 20th century, the once common Antarctic blue whale Balaenoptera musculus intermedia re mains extremely rare. While annual systematic surveys around Antarctica from 1978 to 2009 re corded only 216 visual encounters of this species, their loud and distinctive calls were detected frequently throughout the Southern Ocean. We describe and assess a new method for locating these whales by acoustically detecting their vocalisations, tracking the location of their calls, and finally locating the whales visually. This methodology was employed during an Antarctic research voyage from 140 degrees E to 170 degrees W, between January and March 2013. The loudest song unit (a 26 Hz tone) was detected at all 298 recording sites south of 52 degrees S. Acoustically derived bearings from these whales enabled visual observers to eventually sight the whales, often hundreds of kilometres from initial acoustic detections. Received sound pressure levels of detections increased with decreasing range to several hotspots where both song and non-song calls were detected. Within hotspots, short-range acoustic localisation yielded 33 visual encounters of Antarctic blue whales (group size: 1 to 5 whales) over a 31 d period south of 60 degrees S. These results demonstrate that acoustic tracking provides the capacity to locate Antarctic blue whales widely dispersed over many hundreds of kilometres, as well as the capacity to acoustically track individual whales for days at a time irrespective of most weather conditions. Thus, passive acoustic localisation is a reliable and efficient method to track Antarctic blue whales, and this technique should be considered for future studies of these iconic animals.</t>
  </si>
  <si>
    <t>[Miller, Brian S.; Calderan, Susannah; Collins, Kym; Ensor, Paul; Andrews-Goff, Virginia; Olavarria, Carlos; Rekdahl, Melinda; Schmitt, Natalie; Wadley, Victoria; Gales, Nick; Double, Michael C.] Australian Marine Mammal Ctr, Australian Antarctic Div, Hobart, Tas 7050, Australia; [Barlow, Jay; Olson, Paula] Southwest Fisheries Sci Ctr NMFS NOAA, La Jolla, CA 92037 USA; [Leaper, Russell] Univ Aberdeen, Sch Biol Sci, Aberdeen AB24 2TZ, Scotland; [Peel, David] Wealth Oceans Natl Res Flagship, Hobart, Tas 7000, Australia; [Donnelly, David] Australian Orca Database, Melbourne, Vic 3128, Australia; [Owen, Kylie] Univ Queensland, Cetacean Ecol &amp; Acoust Lab, Sch Vet Sci, Gatton, QLD 4343, Australia; [Gedamke, Jason] Natl Ocean &amp; Atmospher Adm, NOAA Fisheries Off Sci &amp; Technol, Ocean Acoust Program, Silver Spring, MD 20910 USA</t>
  </si>
  <si>
    <t>Australian Antarctic Division; University of Aberdeen; Commonwealth Scientific &amp; Industrial Research Organisation (CSIRO); Melbourne Genomics Health Alliance; University of Queensland; National Oceanic Atmospheric Admin (NOAA) - USA</t>
  </si>
  <si>
    <t>Miller, BS (corresponding author), Australian Marine Mammal Ctr, Australian Antarctic Div, Hobart, Tas 7050, Australia.</t>
  </si>
  <si>
    <t>brian.miller@aad.gov.au</t>
  </si>
  <si>
    <t>Rekdahl, Melinda/L-3866-2019; Peel, David/E-8888-2010; Barlow, Jay/D-3565-2019; Owen, Kylie/K-9400-2015</t>
  </si>
  <si>
    <t>Rekdahl, Melinda/0000-0002-0575-435X; Barlow, Jay/0000-0001-7862-855X; Andrews-Goff, Virginia/0000-0002-4609-7317; Miller, Brian/0000-0001-7615-3044; Owen, Kylie/0000-0002-8986-482X</t>
  </si>
  <si>
    <t>10.3354/esr00642</t>
  </si>
  <si>
    <t>CA8GA</t>
  </si>
  <si>
    <t>WOS:000349154400007</t>
  </si>
  <si>
    <t>Bazzano, A; Soggia, F; Grotti, M</t>
  </si>
  <si>
    <t>Bazzano, Andrea; Soggia, Francesco; Grotti, Marco</t>
  </si>
  <si>
    <t>Source identification of atmospheric particle-bound metals at Terra Nova Bay, Antarctica</t>
  </si>
  <si>
    <t>ISOTOPIC SOURCE SIGNATURES; EAST ANTARCTICA; DOME-C; SOUTHERN-HEMISPHERE; TRACE-ELEMENTS; LEAD ISOTOPES; COATS LAND; AEROSOL; SNOW; WIND</t>
  </si>
  <si>
    <t>During the 2010-2011 austral summer, size-segregated aerosol samples were collected at a coastal Antarctic site (Terra Nova Bay, Victoria Land) and analysed for major and trace elements and lead isotopic composition, in order to provide a better understanding of the sources of metals and their transportation pathways towards Antarctica. Aerosol size fractionation was performed by a cascade impactor, able to collect aerosol particles of aerodynamic diameter 10-7.2, 7.2-3.0, 3.0-1.5, 1.5-0.95 and 0.95-0.49 mu m. It was found that Al, Co, Fe, Li, Mn, Rb, Y and V were mainly related to crustal inputs, whereas the marine contribution was significant for Li, Mg, Na and Rb. An additional anthropogenic source influencing the concentration of Cr, Cu, Mo and Pb was clearly demonstrated. The concentration of the elements associated to the crustal and marine inputs showed high values in the coarse mode (7.2-3.0 mu m), whereas the anthropogenic elements were also characterised by a high concentration in the finer (1.5-0.95 mu m) particles. The study of the temporal trends of the measured chemical markers along with the meteorological variables revealed that both the crustal and anthropogenic elements were related to the air masses carried by the katabatic wind from the inland, whereas the marine input appeared to be higher in January when the sea-ice extent was reduced. Finally, lead isotope ratios pointed out that the anthropogenic input was likely related to the polluted aerosols from South America and Australia, representing the predominant fraction (50-70%) of the lead measured in the samples.</t>
  </si>
  <si>
    <t>[Bazzano, Andrea; Soggia, Francesco; Grotti, Marco] Univ Genoa, Dept Chem &amp; Ind Chem, I-16146 Genoa, Italy</t>
  </si>
  <si>
    <t>Grotti, M (corresponding author), Univ Genoa, Dept Chem &amp; Ind Chem, Via Dodecaneso 31, I-16146 Genoa, Italy.</t>
  </si>
  <si>
    <t>grotti@unige.it</t>
  </si>
  <si>
    <t>Bazzano, Andrea/B-9574-2016; Bazzano, Andrea/O-2879-2019; Grotti, Marco/HGU-3949-2022</t>
  </si>
  <si>
    <t>Bazzano, Andrea/0000-0002-9353-3919; Bazzano, Andrea/0000-0002-9353-3919; Grotti, Marco/0000-0001-6956-5761</t>
  </si>
  <si>
    <t>Italian National Program for Research in Antarctica</t>
  </si>
  <si>
    <t>Italian National Program for Research in Antarctica(Ministry of Education, Universities and Research (MIUR))</t>
  </si>
  <si>
    <t>This study was financially supported by the Italian National Program for Research in Antarctica.</t>
  </si>
  <si>
    <t>10.1071/EN14185</t>
  </si>
  <si>
    <t>WOS:000351999300016</t>
  </si>
  <si>
    <t>Xu, S; Chen, L; Chen, H</t>
  </si>
  <si>
    <t>Chan, D</t>
  </si>
  <si>
    <t>Xu, S.; Chen, L.; Chen, H.</t>
  </si>
  <si>
    <t>Estimation of air-sea carbon flux in the Western Arctic Ocean using in-situ and remotely sensed data</t>
  </si>
  <si>
    <t>ENVIRONMENTAL SCIENCE AND INFORMATION APPLICATION TECHNOLOGY</t>
  </si>
  <si>
    <t>5th International Conference on Environmental Science and Information Application Technology (ESIAT)</t>
  </si>
  <si>
    <t>NOV 07-08, 2014</t>
  </si>
  <si>
    <t>Hong Kong, HONG KONG</t>
  </si>
  <si>
    <t>DISSOLVED INORGANIC CARBON; GAS-EXCHANGE; CO2 FLUX; DISTRIBUTIONS; VARIABILITY; DIOXIDE; CHUKCHI; CYCLE</t>
  </si>
  <si>
    <t>Affected by global warming and rapid sea ice change, the Western Arctic Ocean is a strong potential carbon sink. In order to get a high resolution basin-scale estimate of the air-sea flux of CO2 and carbon uptake in the Western Arctic Ocean from 180 degrees E to 135 degrees W, 65 degrees N to 85 degrees N, we applied an extrapolation method. Empirical relationship between marine partial pressure of carbon dioxide (pCO(2)(sw)), Sea Surface Temperature (SST) and salinity were derived from underway measurements collected during the 3rd CHINARE, in August 2008. pCO(2)(sw) was computed from remotely sensed SST, and salinity produced by remotely sensed Colored Dissolved Organic Matter (CDOM). Air-sea CO2 flux was calculated from the air-sea difference of pCO(2) and remotely sensed wind speed. Results showed that in August, 2008, the monthly CO2 flux was highest in the Chukchi Sea, secondly in the Beaufort Sea and then in the Canada Basin. In August, the Western Arctic Ocean was a net atmospheric sink for CO2 and carbon absorption was 4.8 TgC.</t>
  </si>
  <si>
    <t>[Xu, S.; Chen, L.] State Ocean Adm, Inst Oceanog 3, Key Lab Global Change &amp; Marine Atmospher Chem, Xiamen, Peoples R China; [Chen, H.] State Ocean Adm, Inst Oceanog 3, Lab Marine Acoust &amp; Remote Sensing Technol, Xiamen, Peoples R China</t>
  </si>
  <si>
    <t>Third Institute of Oceanography, Ministry of Natural Resources; Third Institute of Oceanography, Ministry of Natural Resources</t>
  </si>
  <si>
    <t>Xu, S (corresponding author), State Ocean Adm, Inst Oceanog 3, Key Lab Global Change &amp; Marine Atmospher Chem, Xiamen, Peoples R China.</t>
  </si>
  <si>
    <t>scientific research foundation of SOA Key Laboratory for Polar Science, Polar Research Institute of China [KP201204]</t>
  </si>
  <si>
    <t>scientific research foundation of SOA Key Laboratory for Polar Science, Polar Research Institute of China</t>
  </si>
  <si>
    <t>The project was funded by scientific research foundation of SOA Key Laboratory for Polar Science, Polar Research Institute of China (KP201204). We would like to thank the Chinese Arctic and Antarctic Administration and the crews from the Icebreaker Xuelong for their support.</t>
  </si>
  <si>
    <t>CRC PRESS-BALKEMA</t>
  </si>
  <si>
    <t>PO BOX 11320, LEIDEN, South Holland, NETHERLANDS</t>
  </si>
  <si>
    <t>978-1-315-68489-5; 978-1-138-02814-2</t>
  </si>
  <si>
    <t>Computer Science, Interdisciplinary Applications; Environmental Sciences; Mathematics, Applied</t>
  </si>
  <si>
    <t>Computer Science; Environmental Sciences &amp; Ecology; Mathematics</t>
  </si>
  <si>
    <t>BP5LT</t>
  </si>
  <si>
    <t>WOS:000556194200035</t>
  </si>
  <si>
    <t>Kay, S; Caesar, J; Wolf, J; Bricheno, L; Nicholls, RJ; Islam, AKMS; Haque, A; Pardaens, A; Lowe, JA</t>
  </si>
  <si>
    <t>Kay, S.; Caesar, J.; Wolf, J.; Bricheno, L.; Nicholls, R. J.; Islam, A. K. M. Saiful; Haque, A.; Pardaens, A.; Lowe, J. A.</t>
  </si>
  <si>
    <t>Modelling the increased frequency of extreme sea levels in the Ganges-Brahmaputra-Meghna delta due to sea level rise and other effects of climate change</t>
  </si>
  <si>
    <t>COASTAL-OCEAN MODEL; ERROR QUANTIFICATION; COUPLED MODEL; NORTHERN BAY; IMPACTS; BENGAL; PART; PROJECTIONS; BANGLADESH; EVOLUTION</t>
  </si>
  <si>
    <t>Coastal flooding due to storm surge and high tides is a serious risk for inhabitants of the Ganges-Brahmaputra-Meghna (GBM) delta, as much of the land is close to sea level. Climate change could lead to large areas of land being subject to increased flooding, salinization and ultimate abandonment in West Bengal, India, and Bangladesh. IPCC 5th assessment modelling of sea level rise and estimates of subsidence rates from the EU IMPACT2C project suggest that sea level in the GBM delta region may rise by 0.63 to 0.88 m by 2090, with some studies suggesting this could be up to 0.5 m higher if potential substantial melting of the West Antarctic ice sheet is included. These sea level rise scenarios lead to increased frequency of high water coastal events. Any effect of climate change on the frequency and severity of storms can also have an effect on extreme sea levels. A shelf-sea model of the Bay of Bengal has been used to investigate how the combined effect of sea level rise and changes in other environmental conditions under climate change may alter the frequency of extreme sea level events for the period 1971 to 2099. The model was forced using atmospheric and oceanic boundary conditions derived from climate model projections and the future scenario increase in sea level was applied at its ocean boundary. The model results show an increased likelihood of extreme sea level events through the 21st century, with the frequency of events increasing greatly in the second half of the century: water levels that occurred at decadal time intervals under present-day model conditions occurred in most years by the middle of the 21st century and 3-15 times per year by 2100. The heights of the most extreme events tend to increase more in the first half of the century than the second. The modelled scenarios provide a case study of how sea level rise and other effects of climate change may combine to produce a greatly increased threat to life and property in the GBM delta by the end of this century.</t>
  </si>
  <si>
    <t>[Kay, S.] Plymouth Marine Lab, Plymouth PL1 3DH, Devon, England; [Caesar, J.; Pardaens, A.; Lowe, J. A.] Met Off, Hadley Ctr, Exeter EX1 3PB, Devon, England; [Wolf, J.; Bricheno, L.] Natl Oceanog Ctr, Liverpool L3 5DA, Merseyside, England; [Nicholls, R. J.] Univ Southampton, Engn &amp; Environm, Southampton SO17 1BJ, Hants, England; [Islam, A. K. M. Saiful; Haque, A.] Bangladesh Univ Engn &amp; Technol, Inst Water &amp; Flood Management, Dhaka 1000, Bangladesh</t>
  </si>
  <si>
    <t>Plymouth Marine Laboratory; Met Office - UK; Hadley Centre; NERC National Oceanography Centre; University of Southampton; Bangladesh University of Engineering &amp; Technology (BUET)</t>
  </si>
  <si>
    <t>Kay, S (corresponding author), Plymouth Marine Lab, Prospect Pl, Plymouth PL1 3DH, Devon, England.</t>
  </si>
  <si>
    <t>suka@pml.ac.uk</t>
  </si>
  <si>
    <t>Kay, Susan/C-5659-2008; Bricheno, Lucy M/B-2826-2014; Nicholls, Robert James/ABD-1481-2020; Wolf, Judith/AAE-7828-2020; Nicholls, Robert James/G-3898-2010; Caesar, John/D-1403-2015</t>
  </si>
  <si>
    <t>Kay, Susan/0000-0003-1510-8578; Nicholls, Robert James/0000-0002-9715-1109; Wolf, Judith/0000-0003-4129-8221; Nicholls, Robert James/0000-0002-9715-1109; ISLAM, AKM SAIFUL/0000-0002-2435-8280; Haque, Bazle/0000-0002-0836-3864</t>
  </si>
  <si>
    <t>Ecosystem Services for Poverty Alleviation (ESPA) programme [NE-J002755-1]; Department for International Development (DFID); Economic and Social Research Council (ESRC); Natural Environment Research Council (NERC); NERC [pml010006, noc010010, NE/J00099X/1, NE/J002852/1, pml010010, NE/J002755/1] Funding Source: UKRI; Natural Environment Research Council [noc010010, NE/J002755/1, NE/J002852/1, pml010010, NE/J00099X/1, pml010006] Funding Source: researchfish</t>
  </si>
  <si>
    <t>Ecosystem Services for Poverty Alleviation (ESPA) programme; Department for International Development (DFID); Economic and Social Research Council (ESRC)(UK Research &amp; Innovation (UKRI)Economic &amp; Social Research Council (ESRC));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</si>
  <si>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'Assessing health, livelihoods, ecosystem services and poverty alleviation in populous deltas', project number NE-J002755-1, was funded with support from the Ecosystem Services for Poverty Alleviation (ESPA) programme. The ESPA programme is funded by the Department for International Development (DFID), the Economic and Social Research Council (ESRC) and the Natural Environment Research Council (NERC). The authors would like to thank Riccardo Torres and Munsur Rahman for useful comments. We also thank the two anonymous reviewers whose comments and suggestions greatly improved the quality of the paper.</t>
  </si>
  <si>
    <t>10.1039/c4em00683f</t>
  </si>
  <si>
    <t>WOS:000357793300012</t>
  </si>
  <si>
    <t>Hemmings, AD</t>
  </si>
  <si>
    <t>Morin, JF; Orsini, A</t>
  </si>
  <si>
    <t>Hemmings, Alan D.</t>
  </si>
  <si>
    <t>ANTARCTIC TREATY REGIME</t>
  </si>
  <si>
    <t>ESSENTIAL CONCEPTS OF GLOBAL ENVIRONMENTAL GOVERNANCE</t>
  </si>
  <si>
    <t>[Hemmings, Alan D.] Univ Canterbury, Christchurch, New Zealand</t>
  </si>
  <si>
    <t>University of Canterbury</t>
  </si>
  <si>
    <t>Hemmings, AD (corresponding author), Univ Canterbury, Christchurch, New Zealand.</t>
  </si>
  <si>
    <t>ROUTLEDGE</t>
  </si>
  <si>
    <t>2 PARK SQ, MILTON PARK, ABINGDON OX14 4RN, OXFORD, ENGLAND</t>
  </si>
  <si>
    <t>978-0-415-82247-3; 978-0-203-55356-5; 978-0-415-82246-6</t>
  </si>
  <si>
    <t>Environmental Studies; International Relations; Political Science</t>
  </si>
  <si>
    <t>Book Citation Index – Social Sciences &amp; Humanities (BKCI-SSH)</t>
  </si>
  <si>
    <t>Environmental Sciences &amp; Ecology; International Relations; Government &amp; Law</t>
  </si>
  <si>
    <t>BG5SJ</t>
  </si>
  <si>
    <t>WOS:000389722200004</t>
  </si>
  <si>
    <t>Gäbler-Schwarz, S; Medlin, LK; Leese, F</t>
  </si>
  <si>
    <t>Gaebler-Schwarz, S.; Medlin, L. K.; Leese, F.</t>
  </si>
  <si>
    <t>A puzzle with many pieces: the genetic structure and diversity of Phaeocystis antarctica Karsten (Prymnesiophyta)</t>
  </si>
  <si>
    <t>biogeography; current patterns; dispersal; genetic diversity; Phaeocystis; population genetics; Southern Ocean</t>
  </si>
  <si>
    <t>SOUTHERN-OCEAN; POPULATION-STRUCTURE; LIFE-CYCLE; SPRING BLOOM; GENOTYPE; DIFFERENTIATION; BIOGEOGRAPHY; DISPERSAL; INFERENCE; EVOLUTION</t>
  </si>
  <si>
    <t>Strong ocean current systems characterize the Southern Ocean. The genetic structure of marine phytoplankton species is believed to depend mainly on currents. Genetic estimates of the relatedness of populations of phytoplankton species therefore should provide a proxy showing to what extent different geographic regions are interconnected by the ocean current systems. In this study, spatial and temporal patterns of genetic diversity were studied in the circumpolar prymnesiophyte Phaeocystis antarctica Karsten using seven nuclear microsatellite loci. Analyses were conducted for 86 P. antarctica isolates sampled around the Antarctic continent between 1982 and 2007. The results revealed high genetic diversity without single genotypes recurring even among isolates within a bloom or originating from the same bucket of water. Populations of P. antarctica were significantly differentiated among the oceanic regions. However, some geographically distant populations were more closely related to each other than they were to other geographically close populations. Temporal haplotype turnover within regions was also suggested by the multilocus fingerprints. Our data suggest that even within blooms of P. antarctica genetic diversity and population sizes are large but exchange between different regions can be limited. Positive and significant inbreeding coefficients hint at further regional substructure of populations, suggesting that patches, once isolated from one another, may not reconnect. These data emphasize that even for planktonic species in a marine ecosystem that is influenced by strong currents, significant breaks in gene flow may occur.</t>
  </si>
  <si>
    <t>[Gaebler-Schwarz, S.] Helmholtz Ctr Polar &amp; Marine Res, Alfred Wegener Inst, D-27570 Bremerhaven, Germany; [Medlin, L. K.] Marine Biol Assoc UK, Plymouth PL1 2PB, Devon, England; [Leese, F.] Ruhr Univ Bochum, D-44780 Bochum, Germany</t>
  </si>
  <si>
    <t>Helmholtz Association; Alfred Wegener Institute, Helmholtz Centre for Polar &amp; Marine Research; Marine Biological Association United Kingdom; Ruhr University Bochum</t>
  </si>
  <si>
    <t>Gäbler-Schwarz, S (corresponding author), Helmholtz Ctr Polar &amp; Marine Res, Alfred Wegener Inst, Handelshafen 12, D-27570 Bremerhaven, Germany.</t>
  </si>
  <si>
    <t>steffi.gaebler@awi.de</t>
  </si>
  <si>
    <t>Leese, Florian/D-4277-2012; medlin, linda k/G-4820-2010</t>
  </si>
  <si>
    <t>Leese, Florian/0000-0002-5465-913X; medlin, linda k/0000-0001-6014-8339</t>
  </si>
  <si>
    <t>DFG ME [1480/2]; DFG [SM22/11, GA1896/1-2, LE 2323/2-1]</t>
  </si>
  <si>
    <t>DFG ME; DFG(German Research Foundation (DFG))</t>
  </si>
  <si>
    <t>The work reported here was supported by DFG ME 1480/2. SGS is presently supported by DFG SM22/11 and GA1896/1-2 and FL is supported by DFG grant LE 2323/2-1.</t>
  </si>
  <si>
    <t>10.1080/09670262.2014.998295</t>
  </si>
  <si>
    <t>CB1KH</t>
  </si>
  <si>
    <t>WOS:000349385600009</t>
  </si>
  <si>
    <t>Paulin, S; Roberts, J; Roberts, M; Davis, I</t>
  </si>
  <si>
    <t>Paulin, Scott; Roberts, Justin; Roberts, Michael; Davis, Ian</t>
  </si>
  <si>
    <t>A case study evaluation of competitors undertaking an antarctic ultra-endurance event: nutrition, hydration and body composition variables</t>
  </si>
  <si>
    <t>EXTREME PHYSIOLOGY &amp; MEDICINE</t>
  </si>
  <si>
    <t>Ultra-endurance; Antarctica; South Pole; Nutrition</t>
  </si>
  <si>
    <t>Background: The nutritional demands of ultra-endurance racing are well documented. However, the relationship between nutritional consumption and performance measures are less obvious for athletes competing in Polar conditions. Therefore, the aim of this study was to evaluate dietary intake, hydration status, body composition and performance times throughout an 800-km Antarctic race. Methods: The event organisers declared that 17 competitors would participate in the South Pole race. Of the 17 competitors, pre-race data were collected from 13 participants (12 males and 1 female (M +/- SD): age: 40.1 +/- 8.9 years; weight: 83.9 +/- 10.3 kg; and body fat percentage: 21.9 +/- 3.8%). Dietary recall, body composition and urinary osmolarity were assessed pre-race, midway checkpoint and end race. Data were compared on the basis of fast finishers (the Norwegian team (n = 3) who won in a record of 14 days) and slower finishers (the remaining teams (n = 10) reaching the South Pole between 22 and 28 days). Results: The percentage contribution of macronutrients to daily energy intake for all participants was as follows: carbohydrate (CHO) = 23.7% (221 +/- 82 g.day(-1)), fat = 60.6% (251 +/- 127 g.day(-1)) and protein = 15.7% (117 +/- 52 g.day(-1)). Energy demands were closer met by faster finishers compared to slower finishers (5,332 +/- 469 vs. 3,048 +/- 1,140 kcal.day(-1), p = 0.02). Average reduction in body mass throughout the race was 8.3 +/- 5.5 kg, with an average loss of lean mass of 2.0 +/- 4.1 kg. There was a significant negative correlation between changes in lean mass and protein intake (p = 0.03), and lean mass and energy intake (p = 0.03). End-race urinary osmolarity was significantly elevated for faster finishers compared to slower finishers and control volunteers (faster finishers: 933 +/- 157 mOsmol.L-1; slower finishers: 543 +/- 92 mOsmol.L-1; control: 515 +/- 165 mOsmol.L-1, p = 0.04). Conclusions: Throughout the race, both groups were subjected to a negative change in energy balance which partly explained reduced body mass. Carbohydrate availability was limited inferring a greater reliance on fat and protein metabolism. Consequently, loss in fat-free mass was more prevalent with insufficient protein and caloric intake, which may relate to performance.</t>
  </si>
  <si>
    <t>[Paulin, Scott; Roberts, Michael] Univ Hertfordshire, Sch Life &amp; Med Sci, Coll Lane, Hatfield AL10 9AB, Herts, England; [Roberts, Justin] Anglia Ruskin Univ, Dept Life Sci, Cambridge CB1 1PT, England; [Davis, Ian] Natl Hlth Serv, Cirencester GL7 7EY, Glos, England</t>
  </si>
  <si>
    <t>University of Hertfordshire; Anglia Ruskin University; NHS Blood &amp; Transplant (NHSBT)</t>
  </si>
  <si>
    <t>Paulin, S (corresponding author), Univ Hertfordshire, Sch Life &amp; Med Sci, Coll Lane, Hatfield AL10 9AB, Herts, England.</t>
  </si>
  <si>
    <t>scott-paulin@hotmail.co.uk</t>
  </si>
  <si>
    <t>Roberts, Justin/0000-0002-3169-2041; Paulin, Scott/0009-0008-7857-9880</t>
  </si>
  <si>
    <t>BIOMED CENTRAL LTD</t>
  </si>
  <si>
    <t>236 GRAYS INN RD, FLOOR 6, LONDON WC1X 8HL, ENGLAND</t>
  </si>
  <si>
    <t>2046-7648</t>
  </si>
  <si>
    <t>EXTREME PHYSIOL MED</t>
  </si>
  <si>
    <t>Extreme Physiol. Med.</t>
  </si>
  <si>
    <t>10.1186/s13728-015-0022-0</t>
  </si>
  <si>
    <t>Physiology</t>
  </si>
  <si>
    <t>V34RU</t>
  </si>
  <si>
    <t>WOS:000215850900003</t>
  </si>
  <si>
    <t>Lamarche-Gagnon, G; Comery, R; Greer, CW; Whyte, LG</t>
  </si>
  <si>
    <t>Lamarche-Gagnon, Guillaume; Comery, Raven; Greer, Charles W.; Whyte, Lyle G.</t>
  </si>
  <si>
    <t>Evidence of in situ microbial activity and sulphidogenesis in perennially sub-0 A°C and hypersaline sediments of a high Arctic permafrost spring</t>
  </si>
  <si>
    <t>Cryophile; Halophile; Sulfur/sulfate reduction; Microbial ecology; Anaerobic activity; 16S rRNA</t>
  </si>
  <si>
    <t>RALSTONIA-EUTROPHA H16; AXEL-HEIBERG ISLAND; SP NOV.; REDUCING BACTERIUM; HYDROGEN-SULFIDE; ANTARCTIC LAKE; RIBOSOMAL-RNA; HALOPHILIC ARCHAEON; MARINE-SEDIMENTS; GEN. NOV.</t>
  </si>
  <si>
    <t>The lost hammer (LH) spring perennially discharges subzero hypersaline reducing brines through thick layers of permafrost and is the only known terrestrial methane seep in frozen settings on Earth. The present study aimed to identify active microbial communities that populate the sediments of the spring outlet, and verify whether such communities vary seasonally and spatially. Microcosm experiments revealed that the biological reduction of sulfur compounds (SR) with hydrogen (e.g., sulfate reduction) was potentially carried out under combined hypersaline and subzero conditions, down to -20 A degrees C, the coldest temperature ever recorded for SR. Pyrosequencing analyses of both 16S rRNA (i.e., cDNA) and 16S rRNA genes (i.e., DNA) of sediments retrieved in late winter and summer indicated fairly stable bacterial and archaeal communities at the phylum level. Potentially active bacterial and archaeal communities were dominated by clades related to the T78 Chloroflexi group and Halobacteria species, respectively. The present study indicated that SR, hydrogenotrophy (possibly coupled to autotrophy), and short-chain alkane degradation (other than methane), most likely represent important, previously unaccounted for, metabolic processes carried out by LH microbial communities. Overall, the obtained findings provided additional evidence that the LH system hosts active communities of anaerobic, halophilic, and cryophilic microorganisms despite the extreme conditions in situ.</t>
  </si>
  <si>
    <t>[Lamarche-Gagnon, Guillaume; Comery, Raven; Whyte, Lyle G.] McGill Univ, Dept Nat Resource Sci NRS, Montreal, PQ, Canada; [Greer, Charles W.] Natl Res Council Canada, Montreal, PQ, Canada</t>
  </si>
  <si>
    <t>McGill University; National Research Council Canada</t>
  </si>
  <si>
    <t>Whyte, LG (corresponding author), McGill Univ, Dept Nat Resource Sci NRS, Montreal, PQ, Canada.</t>
  </si>
  <si>
    <t>lyle.whyte@mcgill.ca</t>
  </si>
  <si>
    <t>Fond quebecois de recherche nature et technologies (FQRNT); Canadian Astrobiology Training Program (NSERC CREATE CATP); Northern Science Training Program (NSTP)</t>
  </si>
  <si>
    <t>We acknowledge the following funding organizations for financial support: the Fond quebecois de recherche nature et technologies (FQRNT), the Canadian Astrobiology Training Program (NSERC CREATE CATP), the Northern Science Training Program (NSTP), as well as the Polar and Continental Shelf Project (PCSP) for logistical support in the field.</t>
  </si>
  <si>
    <t>10.1007/s00792-014-0703-4</t>
  </si>
  <si>
    <t>WOS:000346657500001</t>
  </si>
  <si>
    <t>Iustman, LJR; Tribelli, PM; Ibarra, JG; Catone, MV; Venero, ECS; López, NI</t>
  </si>
  <si>
    <t>Raiger Iustman, Laura J.; Tribelli, Paula M.; Ibarra, Jose G.; Catone, Mariela V.; Solar Venero, Esmeralda C.; Lopez, Nancy I.</t>
  </si>
  <si>
    <t>Genome sequence analysis of Pseudomonas extremaustralis provides new insights into environmental adaptability and extreme conditions resistance</t>
  </si>
  <si>
    <t>Microaerobic metabolism; Exopolysaccharides; Genome analysis; Environmental adaptability; Horizontal transfer; Pseudomonas</t>
  </si>
  <si>
    <t>ALGINATE PRODUCTION; BIOFILM FORMATION; AERUGINOSA PAO1; GENE-CLUSTER; STRESS; FLUORESCENS; PUTIDA; IDENTIFICATION; POLY(3-HYDROXYBUTYRATE); EXOPOLYSACCHARIDES</t>
  </si>
  <si>
    <t>The genome of the Antarctic bacterium Pseudomonas extremaustralis was analyzed searching for genes involved in environmental adaptability focusing on anaerobic metabolism, osmoregulation, cold adaptation, exopolysaccharide production and degradation of complex compounds. Experimental evidences demonstrated the functionality of several of these pathways, including arginine and pyruvate fermentation, alginate production and growth under cold conditions. Phylogenetic analysis along with genomic island prediction allowed the detection of genes with probable foreign origin such as those coding for acetate kinase, osmotic resistance and colanic acid biosynthesis. These findings suggest that in P. extremaustralis the horizontal transfer events and/or gene redundancy could play a key role in the survival under unfavorable conditions. Comparative genome analysis of these traits in other representative Pseudomonas species highlighted several similarities and differences with this extremophile bacterium.</t>
  </si>
  <si>
    <t>[Raiger Iustman, Laura J.; Tribelli, Paula M.; Ibarra, Jose G.; Catone, Mariela V.; Solar Venero, Esmeralda C.; Lopez, Nancy I.] Univ Buenos Aires, Fac Ciencias Exactas &amp; Nat, Dept Quim Biol, Buenos Aires, DF, Argentina; [Raiger Iustman, Laura J.; Tribelli, Paula M.; Lopez, Nancy I.] Consejo Nacl Invest Cient &amp; Tecn, IQUIBICEN, RA-1033 Buenos Aires, DF, Argentina</t>
  </si>
  <si>
    <t>University of Buenos Aires; Consejo Nacional de Investigaciones Cientificas y Tecnicas (CONICET)</t>
  </si>
  <si>
    <t>López, NI (corresponding author), Univ Buenos Aires, Fac Ciencias Exactas &amp; Nat, Dept Quim Biol, Intendente Guiraldes 2160,C1428EGA, Buenos Aires, DF, Argentina.</t>
  </si>
  <si>
    <t>nan@qb.fcen.uba.ar</t>
  </si>
  <si>
    <t>Solar Venero, Esmeralda/0000-0003-3516-8535; Tribelli, Paula Maria/0000-0001-9558-6275; Lopez, Nancy/0000-0002-2966-3014; Raiger Iustman, Laura J./0000-0002-8541-3204</t>
  </si>
  <si>
    <t>UBA; CONICET; ANPCyT</t>
  </si>
  <si>
    <t>UBA(University of Buenos Aires); CONICET(Consejo Nacional de Investigaciones Cientificas y Tecnicas (CONICET)); ANPCyT(ANPCyT)</t>
  </si>
  <si>
    <t>This work was supported by grants from UBA, CONICET, and ANPCyT. LJRI, PMT and NIL are career investigators from Consejo Nacional de Investigaciones Cientificas y Tecnicas (CONICET, Argentina).</t>
  </si>
  <si>
    <t>10.1007/s00792-014-0700-7</t>
  </si>
  <si>
    <t>WOS:000346657500021</t>
  </si>
  <si>
    <t>Pessi, IS; Osorio-Forero, C; Gálvez, EJC; Simoes, FL; Simoes, JC; Junca, H; Macedo, AJ</t>
  </si>
  <si>
    <t>Pessi, Igor S.; Osorio-Forero, Cesar; Galvez, Eric J. C.; Simoes, Felipe L.; Simoes, Jefferson C.; Junca, Howard; Macedo, Alexandre J.</t>
  </si>
  <si>
    <t>Distinct composition signatures of archaeal and bacterial phylotypes in the Wanda Glacier forefield, Antarctic Peninsula</t>
  </si>
  <si>
    <t>FEMS MICROBIOLOGY ECOLOGY</t>
  </si>
  <si>
    <t>next-generation sequencing; microbial diversity; recently deglaciated environments</t>
  </si>
  <si>
    <t>KING-GEORGE ISLAND; 16S RIBOSOMAL-RNA; CLIMATE-CHANGE; MICROBIAL COMMUNITY; DOMINANT BACTERIA; DEEP-SEA; DIVERSITY; SOIL; SUCCESSION; ABUNDANCE</t>
  </si>
  <si>
    <t>Several studies have shown that microbial communities in Antarctic environments are highly diverse. However, considering that the Antarctic Peninsula is among the regions with the fastest warming rates, and that regional climate change has been linked to an increase in the mean rate of glacier retreat, the microbial diversity in Antarctic soil is still poorly understood. In this study, we analysed more than 40 000 sequences of the V5-V6 hypervariable region of the 16S rRNA gene obtained by 454 pyrosequencing from four soil samples from the Wanda Glacier forefield, King George Island, Antarctic Peninsula. Phylotype diversity and richness were surprisingly high, and taxonomic assignment of sequences revealed that communities are dominated by Proteobacteria, Bacteroidetes and Euryarchaeota, with a high frequency of archaeal and bacterial phylotypes unclassified at the genus level and without cultured representative strains, representing a distinct microbial community signature. Several phylotypes were related to marine microorganisms, indicating the importance of the marine environment as a source of colonizers for this recently deglaciated environment. Finally, dominant phylotypes were related to different microorganisms possessing a large array of metabolic strategies, indicating that early successional communities in Antarctic glacier forefield can be also functionally diverse.</t>
  </si>
  <si>
    <t>[Pessi, Igor S.; Macedo, Alexandre J.] Univ Fed Rio Grande do Sul, Ctr Biotecnol, BR-91501970 Porto Alegre, RS, Brazil; [Osorio-Forero, Cesar; Galvez, Eric J. C.; Junca, Howard] CorpoGen, Res Grp Microbial Ecol Metab Genom &amp; Evolut Commu, Bogota 110231, DC, Colombia; [Simoes, Felipe L.] Univ Fed Rio Grande do Sul, Inst Biociencias, BR-91501970 Porto Alegre, RS, Brazil; [Simoes, Jefferson C.] Univ Fed Rio Grande do Sul, Ctr Polar &amp; Climat, BR-91501970 Porto Alegre, RS, Brazil; [Macedo, Alexandre J.] Univ Fed Rio Grande do Sul, Fac Farm, BR-90610000 Porto Alegre, RS, Brazil</t>
  </si>
  <si>
    <t>Universidade Federal do Rio Grande do Sul; Universidade Federal do Rio Grande do Sul; Universidade Federal do Rio Grande do Sul; Universidade Federal do Rio Grande do Sul</t>
  </si>
  <si>
    <t>Junca, H (corresponding author), CorpoGen, Res Grp Microbial Ecol Metab Genom &amp; Evolut Commu, Carrera 5 66A-34, Bogota 110231, DC, Colombia.</t>
  </si>
  <si>
    <t>info@howardjunca.com</t>
  </si>
  <si>
    <t>Gálvez, Eric J.C./ABA-2950-2021; Simoes, Jefferson Cardia/D-7232-2013; Macedo, Alexandre/C-5178-2013; Junca, PhD, Howard/K-5525-2014</t>
  </si>
  <si>
    <t>Gálvez, Eric J.C./0000-0001-7459-3871; Simoes, Jefferson Cardia/0000-0001-5555-3401; Macedo, Alexandre/0000-0002-8951-4029; Pessi, Igor/0000-0001-5926-7496; Junca, PhD, Howard/0000-0003-4546-6229</t>
  </si>
  <si>
    <t>CNPq; NANOBIOTEC-BRASIL; CNPq-Colciencias; Colciencias-SENA [6570-392-19990]; Colciencias [427-2009, 718-2009]; European Commission MAGIC-PAH research consortium [FP7-KBBE-2009-245226]; FAPERGS</t>
  </si>
  <si>
    <t>CNPq(Conselho Nacional de Desenvolvimento Cientifico e Tecnologico (CNPQ)); NANOBIOTEC-BRASIL; CNPq-Colciencias; Colciencias-SENA(Departamento Administrativo de Ciencia, Tecnologia e Innovacion Colciencias); Colciencias(Departamento Administrativo de Ciencia, Tecnologia e Innovacion Colciencias); European Commission MAGIC-PAH research consortium; FAPERGS(Fundacao de Amparo a Ciencia e Tecnologia do Estado do Rio Grande do Sul (FAPERGS))</t>
  </si>
  <si>
    <t>This research was supported by grants Universal/2009 (CNPq), NANOBIOTEC-BRASIL/2008 (CAPES), CNPq-Colciencias/2008, Colciencias-SENA (project 6570-392-19990), Colciencias (contracts 427-2009 and 718-2009), European Commission MAGIC-PAH research consortium (FP7-KBBE-2009-245226) and FAPERGS. Logistic support was provided by the Brazilian Antarctic Program (PROANTAR) during the 28th Brazilian Antarctic Expedition in the austral summer season.</t>
  </si>
  <si>
    <t>0168-6496</t>
  </si>
  <si>
    <t>1574-6941</t>
  </si>
  <si>
    <t>FEMS MICROBIOL ECOL</t>
  </si>
  <si>
    <t>FEMS Microbiol. Ecol.</t>
  </si>
  <si>
    <t>10.1093/femsec/fiu005</t>
  </si>
  <si>
    <t>Microbiology</t>
  </si>
  <si>
    <t>CF8BT</t>
  </si>
  <si>
    <t>WOS:000352781000003</t>
  </si>
  <si>
    <t>Spiller, J</t>
  </si>
  <si>
    <t>Spiller, James</t>
  </si>
  <si>
    <t>The Space and Antarctic Frontiers</t>
  </si>
  <si>
    <t>FRONTIERS FOR THE AMERICAN CENTURY: OUTER SPACE, ANTARCTICA, AND COLD WAR NATIONALISM</t>
  </si>
  <si>
    <t>Palgrave Studies in the History of Science and Technology</t>
  </si>
  <si>
    <t>PALGRAVE</t>
  </si>
  <si>
    <t>BASINGSTOKE</t>
  </si>
  <si>
    <t>HOUNDMILLS, BASINGSTOKE RG21 6XS, ENGLAND</t>
  </si>
  <si>
    <t>978-1-137-50787-7; 978-1-137-50786-0</t>
  </si>
  <si>
    <t>PALGR STUD HIST SCI</t>
  </si>
  <si>
    <t>History; History &amp; Philosophy Of Science</t>
  </si>
  <si>
    <t>History; History &amp; Philosophy of Science</t>
  </si>
  <si>
    <t>BH8FK</t>
  </si>
  <si>
    <t>WOS:000403261600003</t>
  </si>
  <si>
    <t>Edwards, A</t>
  </si>
  <si>
    <t>Edwards, Arwyn</t>
  </si>
  <si>
    <t>Coming in from the cold: potential microbial threats from the terrestrial cryosphere</t>
  </si>
  <si>
    <t>FRONTIERS IN EARTH SCIENCE</t>
  </si>
  <si>
    <t>Editorial Material</t>
  </si>
  <si>
    <t>cryosphere; emerging infectious diseases; genome recycling; viruses; synthetic biology</t>
  </si>
  <si>
    <t>AUREOBASIDIUM-PULLULANS; GLACIER; ICE; SURVIVAL; VIRUS; RNA; INFECTION; GENES</t>
  </si>
  <si>
    <t>The terrestrial cryosphere includes &gt;198,000 glaciers and three ice sheets (Pfeffer et al., 2014). The paradigm of cryospheric environments as germless continents (Byrd, 1938) has shifted to ecosystems (Kohshima, 1984; Hodson et al., 2008). Indeed, the terrestrial cryosphere constitutes a forgotten biome (Anesio and Laybourn-Parry, 2012) with microbial processes influencing the fundamental dynamics of glacial systems (Edwards et al., 2014). Nevertheless, in terms of genomic diversity, glacial environments are virtual terra incognita. Recent calculations indicate glacial ice harbors ca. 1 x 10(29) cells worldwide, and ca. 4 x 10(21) cells are eluted by ice melt from non-Antarctic glacial systems annually (Irvine-Fynn and Edwards, 2013). Therefore, it is clear that glacial systems are major reservoirs of microbial genomic diversity. If I adopt a colicentric view of microbial genomes by crudely assuming that each bacterial or archaeal cell's genome is in the order of 4.6 x 10(6) base pairs in size, a microbial cell budget of a High Arctic glacier surface (Irvine-Fynn et al., 2012) reveals an aeolian import of 1.9 x 1014 bp m(2) h(-1) coupled with a glaciofluvial export of 4.4 x 10(13) bp m(2) h(-1) which leads to a net storage of 3.5 x 10(14) bp m2 h-1 under typical summer conditions. Yet I am only aware of published high-throughput DNA sequencing datasets from less than 30 of the 198,000 glaciers (Pfeffer et al., 2014). Temporal changes in glacial diversity are even less well studied (excepting Hell et al., 2013; Maccario et al., 2014; Stibal et al., 2014). Since most studies sequence marker genes, metagenomic, and phylogenomic coverage is sparse (excepting Simon et al., 2009; Edwards et al., 2013b), and the potential for lateral gene transfer unexplored. Therefore, while glacial systems are potentially massive repositories of genomic diversity they represent virtually unexplored sequence space. Here I will focus upon the role of glacial systems as reservoirs of genomic diversity in one particular form: the accumulation, storage and release of pathogens. While the notion that mysterious entities inimical to humanity survive in ice is almost cliche in science fiction, the hypothesis that glacial systems act as genome recyclers was stated a decade ago (Rogers et al., 2004; Castello and Rogers, 2005; Priscu et al., 2007) and has garnered tacit empirical support. Nonetheless, the role of glacial systems as reservoirs of pathogens of humans, other animals and plants is the most frequently asked question in the author's experience of engaging with stakeholders, the general public and scientists in other fields, not to mention deskbound reviewers of risk assessments. With the caveat that cryospheric microbial associated morbidity and mortality is hitherto confined to anecdotal reports of snow algae-associated diarrhea (Fiore et al., 1997) and that there are many pressing priorities in the realm of emerging infectious diseases, it appears that changes in the terrestrial cryosphere potentiate a range of fungal, bacterial and viral threats to human, plant and animal health.</t>
  </si>
  <si>
    <t>[Edwards, Arwyn] Aberystwyth Univ, Inst Biol Environm &amp; Rural Sci, Aberystwyth, Dyfed, Wales; [Edwards, Arwyn] Aberystwyth Univ, Interdisciplinary Ctr Environm Microbiol, Aberystwyth, Dyfed, Wales</t>
  </si>
  <si>
    <t>UK Research &amp; Innovation (UKRI); Biotechnology and Biological Sciences Research Council (BBSRC); Institute of Biological, Environmental, Rural &amp; Sciences (IBERS); Aberystwyth University; Aberystwyth University</t>
  </si>
  <si>
    <t>Edwards, A (corresponding author), Aberystwyth Univ, Inst Biol Environm &amp; Rural Sci, Aberystwyth, Dyfed, Wales.</t>
  </si>
  <si>
    <t>aye@aber.ac.uk</t>
  </si>
  <si>
    <t>NERC [NE/K000942/1]; Life Sciences National Research Network of Wales; Higher Education Funding Council for Wales Research Capital Investment; NERC [NE/K000942/1] Funding Source: UKRI; Natural Environment Research Council [NE/K000942/1] Funding Source: researchfish</t>
  </si>
  <si>
    <t>NERC(UK Research &amp; Innovation (UKRI)Natural Environment Research Council (NERC)); Life Sciences National Research Network of Wales; Higher Education Funding Council for Wales Research Capital Investment; NERC(UK Research &amp; Innovation (UKRI)Natural Environment Research Council (NERC)); Natural Environment Research Council(UK Research &amp; Innovation (UKRI)Natural Environment Research Council (NERC))</t>
  </si>
  <si>
    <t>Research into glacier biodiversity in my laboratory is funded by NERC NE/K000942/1 while research into biomedical aspects of glacial systems biology is supported by the Life Sciences National Research Network of Wales and AU iCEM is supported by Higher Education Funding Council for Wales Research Capital Investment. I gratefully acknowledge Dr. Mark O. Martin (https://twitter.com/markowenmartin) for the concept of colicentrism.</t>
  </si>
  <si>
    <t>FRONTIERS MEDIA SA</t>
  </si>
  <si>
    <t>LAUSANNE</t>
  </si>
  <si>
    <t>AVENUE DU TRIBUNAL FEDERAL 34, LAUSANNE, CH-1015, SWITZERLAND</t>
  </si>
  <si>
    <t>2296-6463</t>
  </si>
  <si>
    <t>FRONT EARTH SC-SWITZ</t>
  </si>
  <si>
    <t>Front. Earth Sci.</t>
  </si>
  <si>
    <t>10.3389/feart.2015.00012</t>
  </si>
  <si>
    <t>V8G7A</t>
  </si>
  <si>
    <t>WOS:000421619700004</t>
  </si>
  <si>
    <t>Ballerini, T; Tavecchia, G; Pezzo, F; Jenouvrier, S; Olmastroni, S</t>
  </si>
  <si>
    <t>Ballerini, Tosca; Tavecchia, Giacomo; Pezzo, Francesco; Jenouvrier, Stephanie; Olmastroni, Silvia</t>
  </si>
  <si>
    <t>Predicting responses of the Adelie penguin population of Edmonson Point to future sea ice changes in the Ross Sea</t>
  </si>
  <si>
    <t>FRONTIERS IN ECOLOGY AND EVOLUTION</t>
  </si>
  <si>
    <t>climate change; environmental stochasticity; IPCC; matrix population models; metapopulation dynamics; population growth; seabirds</t>
  </si>
  <si>
    <t>CLIMATE-CHANGE; SOUTHERN-OCEAN; ENVIRONMENTAL-CHANGE; EMPEROR PENGUIN; BREEDING SUCCESS; PACIFIC SECTOR; VICTORIA-LAND; VARIABILITY; ECOSYSTEMS; COLONIES</t>
  </si>
  <si>
    <t>Atmosphere-Ocean General Circulation Models (AOGCMs) predict changes in the sea ice environment and in atmospheric precipitations over larger areas of Antarctica. These changes are expected to affect the population dynamics of seabirds and marine mammals, but the extent of this influence is not clear. We investigated the future population trajectories of the colony of Adelie penguins at Edmonson Point, in the Ross Sea, from 2010 to 2100. To do so, we incorporated the relationship between sea ice and demographic parameters of the studied colony into a matrix population model. Specifically, we used sea ice projections from AOGCMs and a proxy for snowfall precipitation. Simulations of population persistence under future climate change scenarios showed that a reduction in sea ice extent (SIE) and an increase in precipitation events during the breeding season will drive the population to extinction. However, the population growth rate estimated by the model was lower than the population growth rate observed during the last decades, suggesting that recruits from other colonies maintain the observed population dynamics at Edmonson Point. This local rescue effect is consistent with a metapopulation dynamic for Adelie penguins in the Ross Sea, in which neighboring colonies might exhibit contrasting population trends and different density-dependent effects. In the hypothesis that connectivity with larger source colonies or that local recruitment would decrease, the sink colony at Edmonson Point is predicted to disappear.</t>
  </si>
  <si>
    <t>[Ballerini, Tosca; Pezzo, Francesco; Olmastroni, Silvia] Univ Siena, Dipartimento Sci Fis Terra &amp; Ambiente, Siena, Italy; [Ballerini, Tosca] Aix Marseille Univ, Univ Toulon, MIO, CNRS,INSU,IRD,UM 110, F-83957 La Garde, France; [Ballerini, Tosca] Univ Toulon &amp; Var, Aix Marseille Univ, MIO, CNRS,INSU,IRD,UM 110, Marseille, France; [Tavecchia, Giacomo] UIB, CSIC, Populat Ecol Grp, Inst Mediterrani Estudis Avancats MEDEA, Mallorca, Spain; [Pezzo, Francesco] Museo Storia Nat Maremma, Str Corsini, Grosseto, Italy; [Jenouvrier, Stephanie] Woods Hole Oceanog Inst, Dept Biol, Woods Hole, MA 02543 USA; [Jenouvrier, Stephanie] CNRS, UPR1934, Ctr Etud Biol Chize, Villiers En Bois, France; [Olmastroni, Silvia] Museo Nazl Antartide, Siena, Italy</t>
  </si>
  <si>
    <t>University of Siena; Institut de Recherche pour le Developpement (IRD); Aix-Marseille Universite; Centre National de la Recherche Scientifique (CNRS); CNRS - National Institute for Earth Sciences &amp; Astronomy (INSU); Centre National de la Recherche Scientifique (CNRS); CNRS - National Institute for Earth Sciences &amp; Astronomy (INSU); Universite de Toulon; Institut de Recherche pour le Developpement (IRD); Aix-Marseille Universite; Universitat de les Illes Balears; Consejo Superior de Investigaciones Cientificas (CSIC); Woods Hole Oceanographic Institution; Centre National de la Recherche Scientifique (CNRS)</t>
  </si>
  <si>
    <t>Ballerini, T (corresponding author), Aix Marseille Univ, Univ Toulon, MIO, CNRS,INSU,IRD,UM 110, F-83957 La Garde, France.</t>
  </si>
  <si>
    <t>toscaballerini@gmail.com</t>
  </si>
  <si>
    <t>Pezzo, Francesco/JKJ-1816-2023; Ballerini, Tosca/ABE-1656-2020; OLMASTRONI, Silvia/G-6267-2018</t>
  </si>
  <si>
    <t>Pezzo, Francesco/0000-0003-4437-3805; Ballerini, Tosca/0000-0003-4007-4605; jenouvrier, stephanie/0000-0003-3324-2383; OLMASTRONI, Silvia/0000-0002-9319-9914</t>
  </si>
  <si>
    <t>Italian Antarctic Research Program (PNRA); Italian Ministry for University and Research (MIUR); Penzance Endowed Fund in Support of Assistant Scientists [ANT-0944411]; University of Siena; Grayce B. Kerr Fund</t>
  </si>
  <si>
    <t>Italian Antarctic Research Program (PNRA); Italian Ministry for University and Research (MIUR)(Ministry of Education, Universities and Research (MIUR)); Penzance Endowed Fund in Support of Assistant Scientists; University of Siena; Grayce B. Kerr Fund</t>
  </si>
  <si>
    <t>This work was supported by the Italian Antarctic Research Program (PNRA) and by the Italian Ministry for University and Research (MIUR). The Australian Antarctic Division (AAD) provided the Automatic Penguin Monitoring System (APMS) used in the mark-recapture study. We are very grateful to Prof. Silvano Focardi and Dr. Knowles Kerry, former scientific leaders, and to the many people from the Department of Environmental Sciences of the University of Siena and from the AAD who were actively involved in field data collection over many years. We would like to thank Valerio Volpi who produced the map in Figure 1. Tosca Ballerini was supported by a doctoral fellowship in Polar Science 2003-2006, University of Siena. Stephanie Jenouvrier acknowledges support from the Grayce B. Kerr Fund and the Penzance Endowed Fund in Support of Assistant Scientists and Grant ANT-0944411. We acknowledge the modeling groups, the Program for Climate Model Diagnosis and Intercomparison (PCMDI) and the Working Group on Coupled Modeling (WGCM) of the World Climate Research Program (WCRP) for sea ice data. We thank the two reviewers for their input and constructive criticism, which greatly helped to improve the quality of the manuscript. This research was designed and coordinated by Francesco Pezzo, Giacomo Tavecchia and Silvia Olmastroni. Francesco Pezzo conceived the population study and its design, built the research team, collected field data (since 1998), contributed to the interpretation of the results and provided critical revision of the manuscript. Giacomo Tavecchia designed the population analysis, contributed to the interpretation of results and provided critical revision of the ms. Stephanie Jenouvrier performed the sea ice data analysis, provided the computing code and assisted with the sea ice dependent population analysis, helped in the interpretation of the results and provided critical revision of the manuscript. Silvia Olmastroni collected field data since 1996, managed and provided the Edmonson Point dataset, performed analysis and interpretation of breeding population ground census data, and provided critical revision of the manuscript. Tosca Ballerini collected field data in 2004, coordinated and performed the analysis, wrote the manuscript. All authors revised the final manuscript and agreed to be accountable for it.</t>
  </si>
  <si>
    <t>2296-701X</t>
  </si>
  <si>
    <t>FRONT ECOL EVOL</t>
  </si>
  <si>
    <t>Front. Ecol. Evol.</t>
  </si>
  <si>
    <t>10.3389/fevo.2015.00008</t>
  </si>
  <si>
    <t>Ecology</t>
  </si>
  <si>
    <t>VI4JS</t>
  </si>
  <si>
    <t>WOS:000485318800016</t>
  </si>
  <si>
    <t>Sands, CJ; O'Hara, TD; Barnes, DKA; Martín-Ledo, R</t>
  </si>
  <si>
    <t>Sands, Chester J.; O'Hara, Timothy D.; Barnes, David K. A.; Martin-Ledo, Rafael</t>
  </si>
  <si>
    <t>Against the flow: evidence of multiple recent invasions of warmer continental shelf waters by a Southern Ocean brittle star</t>
  </si>
  <si>
    <t>adaptation; climate change; cryptic species; Ophiuroidea; range expansion; radiation; phylogeography; Pleistocene</t>
  </si>
  <si>
    <t>SPECIES DELIMITATION; MITOCHONDRIAL LINEAGES; CLIMATE; INFERENCE; SEA; DISTRIBUTIONS; BIOGEOGRAPHY; DIVERGENCE; SPECIATION; DISPERSAL</t>
  </si>
  <si>
    <t>The Southern Ocean is anomalously rich in benthos. This biodiversity is native, mostly endemic and perceived to be uniquely threatened from climate- and anthropogenically- mediated invasions. Major international scientific effort throughout the last decade has revealed more connectivity than expected between fauna north and south of the worlds strongest marine barrier-the Polar Front (the strongest jet of the Antarctic Circumpolar Current). To date though, no research has demonstrated any radiations of marine taxa out from the Southern Ocean, except at abyssal depths (where conditions differ much less). Our phylogeographic investigation including mitochondrial sequences of 135 specimens of one of the most ubiquitous and abundant clades at high southern latitudes, the ophiuroids (brittlestars), shows that one of them, Ophiura lymani, has gone against the flow. Remarkably our phylogenetic and coalescent analyses suggest that O. lymani has successfully invaded the South American shelf from Antarctica at least three times, in recent (Pleistocene) radiation. Many previous studies have demonstrated links within clades across the Polar Front this is the first in which northwards directional movement of a shelf-restricted species is the only convincing explanation. Rapid, recent, regional warming is likely to facilitate multiple range shift invasions into the Southern Ocean, whereas movement of cold adapted fauna (considered highly stenothermal) out of the Antarctic to warmer shelves has, until now, seemed highly unlikely.</t>
  </si>
  <si>
    <t>[Sands, Chester J.; Barnes, David K. A.] British Antarctic Survey, Biodivers Evolut &amp; Adaptat, Nat Environm Res Council, Cambridge, England; [O'Hara, Timothy D.] Museum Victoria, Melbourne, Vic, Australia; [Martin-Ledo, Rafael] Univ Extremadura, Fac Ciencias, Area Zool, Badajoz, Spain</t>
  </si>
  <si>
    <t>UK Research &amp; Innovation (UKRI); Natural Environment Research Council (NERC); NERC British Antarctic Survey; Museum Victoria; Universidad de Extremadura</t>
  </si>
  <si>
    <t>Sands, CJ (corresponding author), British Antarctic Survey, Madingley Rd, Cambridge CB3 0ET, Cambs, England.</t>
  </si>
  <si>
    <t>cjsan@bas.ac.uk</t>
  </si>
  <si>
    <t>Census of Antarctic Marine Life; Antarctic Science Bursary, a SCAR MarBIN grant; BBSRC; NERC; NERC [bas0100035] Funding Source: UKRI</t>
  </si>
  <si>
    <t>Census of Antarctic Marine Life; Antarctic Science Bursary, a SCAR MarBIN grant; BBSRC(UK Research &amp; Innovation (UKRI)Biotechnology and Biological Sciences Research Council (BBSRC)); NERC(UK Research &amp; Innovation (UKRI)Natural Environment Research Council (NERC)); NERC(UK Research &amp; Innovation (UKRI)Natural Environment Research Council (NERC))</t>
  </si>
  <si>
    <t>We would like to thank the Captains and crews of the RRS James Clarke Ross (JR144) and RV Polarstern (PS77) for their commitment to excellent science discovery, and the science leaders of the cruises that contributed to the collection of this material. Thanks to Elena Zaikina for assisting RL, Rachel Downey, Camille Moreau and Huw Griffiths for assistance in sorting material at BAS. Thanks also to Olivia Martin-Sanchez who assisted with the GIS data. Jennifer Jackson, Elise Biersma, Peter Convey and Will Goodall-Copestake provided useful discussion throughout the analysis and writing process. Funding for the sequencing service was supported by Census of Antarctic Marine Life. CS was supported by an Antarctic Science Bursary, a SCAR MarBIN grant and a SynTax award scheme supported by BBSRC and NERC.</t>
  </si>
  <si>
    <t>10.3389/fevo.2015.00063</t>
  </si>
  <si>
    <t>WOS:000485318800071</t>
  </si>
  <si>
    <t>Gray, R; Wotherspoon, S</t>
  </si>
  <si>
    <t>Gray, Randall; Wotherspoon, Simon</t>
  </si>
  <si>
    <t>Adaptive submodel selection in hybrid models</t>
  </si>
  <si>
    <t>FRONTIERS IN ENVIRONMENTAL SCIENCE</t>
  </si>
  <si>
    <t>hybrid modeling; adaptive models; environmental modeling; cross-paradigm modeling; agent-based modeling; adaptive agents</t>
  </si>
  <si>
    <t>Hybrid modeling seeks to address problems associated with the representation of complex systems using single-paradigm models: where traditional models may represent an entire system as a cellular automaton, for example, the set of submodels within a hybrid model may mix representations as diverse as individual-based models of organisms, Markov chain models, fluid dynamics models of regional ocean currents, and coupled population dynamics models. In this context, hybrid modelers try to choose the best representations for each component of a model in order to maximize the utility of the model as a whole. Even with the flexibility afforded by the hybrid approach, the set of models constituting the whole system and the dynamics associated with interacting models may be most efficient only in parts of the global state space of the system. The immediate consequence of this possibility is that we should consider adaptive hybrid models whose submodels may change their representation based on their own state and the states of the other submodels within the system. This paper uses a simple example model of an artificial ecosystem to explore a hybrid model which may change the form of its component submodels in response to their local conditions and internal state relative to some putative optimization choices. The example demonstrates the assessment and actions of a monitor agent which adjusts the mix of submodels as the model run progresses. A simple mathematical structure is also described and used as the basis for a submodel selection strategy, and alternative approaches are briefly discussed.</t>
  </si>
  <si>
    <t>[Gray, Randall] Univ Tasmania, Math, Sandy Bay Campus,Churchill Ave, Hobart, Tas 7005, Australia; [Wotherspoon, Simon] Univ Tasmania, Inst Marine &amp; Antarctic Studies, Hobart, Tas, Australia</t>
  </si>
  <si>
    <t>Gray, R (corresponding author), Univ Tasmania, Math, Sandy Bay Campus,Churchill Ave, Hobart, Tas 7005, Australia.</t>
  </si>
  <si>
    <t>Randall.Gray@limnal.net</t>
  </si>
  <si>
    <t>Wotherspoon, Simon J/B-2390-2013</t>
  </si>
  <si>
    <t>Wotherspoon, Simon J/0000-0002-6947-4445</t>
  </si>
  <si>
    <t>2296-665X</t>
  </si>
  <si>
    <t>FRONT ENV SCI-SWITZ</t>
  </si>
  <si>
    <t>Front. Environ. Sci.</t>
  </si>
  <si>
    <t>10.3389/fenvs.2015.00058</t>
  </si>
  <si>
    <t>VI0BB</t>
  </si>
  <si>
    <t>WOS:000458082100030</t>
  </si>
  <si>
    <t>Boyd, PW</t>
  </si>
  <si>
    <t>Boyd, Philip W.</t>
  </si>
  <si>
    <t>Toward quantifying the response of the oceans' biological pump to climate change</t>
  </si>
  <si>
    <t>FRONTIERS IN MARINE SCIENCE</t>
  </si>
  <si>
    <t>POC export; biological pump; climate change; ocean microbes; zooplankton</t>
  </si>
  <si>
    <t>DIEL VERTICAL MIGRATION; ORGANIC-MATTER; PARTICLE-FLUX; CARBON EXPORT; SMALL PHYTOPLANKTON; FOOD SOURCE; CO2; ZOOPLANKTON; TEMPERATURE; GROWTH</t>
  </si>
  <si>
    <t>The biological pump makes a major global contribution to the sequestration of carbon-rich particles in the oceans' interior. This pump has many component parts from physics to ecology that together control its efficiency in exporting particles. Hence, the influence of climate change on the functioning and magnitude of the pump is likely to be complex and non-linear. Here, I employ a published 1-D coupled surface-subsurface Particulate Organic Carbon (POC) export flux model to systematically explore the potential influence of changing oceanic conditions on each of the pump's moving parts, in both surface and subsurface waters. These simulations were run for typical high (High Nutrient Low Chlorophyll, HNLC) and low (Low Nutrient Low Chlorophyll, LNLC) latitude sites. Next, I couple pump components that have common drivers, such as temperature, to investigate more complex scenarios involving concurrent climate-change mediated alteration of multiple moving parts of the pump. Model simulations reveal that in the surface ocean, changes to algal community structure (i.e., a shift toward small cells) has the greatest individual influence (decreased flux) on downward POC flux in the coming decades. In subsurface waters, a shift in zooplankton community structure has the greatest single effect on POC flux (decreased) in a future ocean. More complex treatments, in which up to 10 individual factors (across both surface and subsurface processes) were concurrently altered, similar to halved the POC flux at both high and low latitudes. In general climate-mediated changes to surface ocean processes had a greater effect on the magnitude of POC flux than alteration of subsurface processes, some of which negated one another. This relatively simple 1-D model provides initial insights into the most influential processes that may alter the future performance of this pump, and more importantly reveals many knowledge gaps that require urgent attention before we can accurately quantify future changes to the biological pump.</t>
  </si>
  <si>
    <t>[Boyd, Philip W.] Univ Tasmania, Inst Marine &amp; Antarctic Studies, Hobart, Tas 7005, Australia; [Boyd, Philip W.] Univ Tasmania, Antarctic Climate &amp; Ecosyst Cooperat Res Ctr, Hobart, Tas, Australia</t>
  </si>
  <si>
    <t>University of Tasmania; Antarctic Climate &amp; Ecosystems Cooperative Research Centre (ACE CRC); University of Tasmania</t>
  </si>
  <si>
    <t>Boyd, PW (corresponding author), Univ Tasmania, Inst Marine &amp; Antarctic Studies, Hobart, Tas 7005, Australia.</t>
  </si>
  <si>
    <t>philip.boyd@utas.edu.au</t>
  </si>
  <si>
    <t>Boyd, Philip/J-7624-2014</t>
  </si>
  <si>
    <t>Boyd, Philip/0000-0001-7850-1911</t>
  </si>
  <si>
    <t>University of Tasmania (IMAS); Antarctic Climate and Ecosystems Cooperative Research Centre (ACE CRC)</t>
  </si>
  <si>
    <t>University of Tasmania (IMAS); Antarctic Climate and Ecosystems Cooperative Research Centre (ACE CRC)(Australian GovernmentDepartment of Industry, Innovation and ScienceCooperative Research Centres (CRC) Programme)</t>
  </si>
  <si>
    <t>This research was supported by the University of Tasmania (IMAS) and the Antarctic Climate and Ecosystems Cooperative Research Centre (ACE CRC).</t>
  </si>
  <si>
    <t>2296-7745</t>
  </si>
  <si>
    <t>FRONT MAR SCI</t>
  </si>
  <si>
    <t>Front. Mar. Sci.</t>
  </si>
  <si>
    <t>10.3389/fmars.2015.00077</t>
  </si>
  <si>
    <t>VI4JT</t>
  </si>
  <si>
    <t>WOS:000485324300078</t>
  </si>
  <si>
    <t>Boyd, PW; Brown, CJ</t>
  </si>
  <si>
    <t>Boyd, Philip W.; Brown, Christopher J.</t>
  </si>
  <si>
    <t>Modes of interactions between environmental drivers and marine biota</t>
  </si>
  <si>
    <t>global change biology; multiple drivers; modes of interactions; marine ecology; organismal physiology</t>
  </si>
  <si>
    <t>ULTRAVIOLET-B RADIATION; OCEAN ACIDIFICATION; CLIMATE-CHANGE; RESPONSES; CALCIFICATION; TEMPERATURE; MORTALITY; FRAMEWORK; NUTRIENT; IMPACTS</t>
  </si>
  <si>
    <t>The responses of marine biota to global ocean change is characterized by multiple environmental drivers that interact to cause non-linear changes in organismal performance. Characterizing interactions is critical for us to predict whether multiple drivers will accelerate or mitigate future biological responses. There is now a large body of evidence that drivers do not act independently, a common null model, but rather have synergistic or antagonistic effects on organisms. We review the literature on interactions among environmental drivers such as ocean acidification and warming, and identify three common modes of interaction: physicochemical interactions in the seawater media outside organisms, interactions that operate on organisms directly, for example by altering physiological rates; and interactions that occur through changes in ecosystems, like predation. Interactions can also occur across these levels increasing the number of permutations for interaction, and point to a diverse range of modes of interplay. Identifying the appropriate mode will help generalize interaction types to unstudied contexts.</t>
  </si>
  <si>
    <t>[Boyd, Philip W.] Univ Tasmania, Inst Marine &amp; Antarctic Studies, Hobart, Tas, Australia; [Brown, Christopher J.] Univ Queensland, Global Change Inst, St Lucia, Qld, Australia</t>
  </si>
  <si>
    <t>University of Tasmania; University of Queensland</t>
  </si>
  <si>
    <t>Boyd, PW (corresponding author), Univ Tasmania, Inst Marine &amp; Antarctic Studies, IMAS Waterfront Bldg,20 Castray Esplanade, Battery Point, Tas 7004, Australia.</t>
  </si>
  <si>
    <t>Brown, Christopher J/G-4287-2011; /AAL-3738-2021; Boyd, Philip/J-7624-2014</t>
  </si>
  <si>
    <t>Brown, Christopher J/0000-0002-7271-4091; Boyd, Philip/0000-0001-7850-1911</t>
  </si>
  <si>
    <t>10.3389/fmars.2015.00009</t>
  </si>
  <si>
    <t>WOS:000485324300013</t>
  </si>
  <si>
    <t>Celis-Plá, PSM; Hall-Spencer, JM; Horta, PA; Milazzo, M; Korbee, N; Cornwall, CE; Figueroa, FL</t>
  </si>
  <si>
    <t>Celis-Pla, Paula S. M.; Hall-Spencer, Jason M.; Horta, Paulo Antunes; Milazzo, Marco; Korbee, Nathalie; Cornwall, Christopher E.; Figueroa, Felix L.</t>
  </si>
  <si>
    <t>Macroalgal responses to ocean acidification depend on nutrient and light levels</t>
  </si>
  <si>
    <t>ocean acidification; macroalgae; photosynthesis; phenolic compounds; nutrient availability</t>
  </si>
  <si>
    <t>CO2 CONCENTRATING MECHANISMS; CLIMATE-CHANGE; CYSTOSEIRA-TAMARISCIFOLIA; CHLOROPHYLL FLUORESCENCE; INTERTIDAL MACROALGAE; CARBON-DIOXIDE; ELEVATED CO2; WATER; STRESSORS; ALGAE</t>
  </si>
  <si>
    <t>Ocean acidification may benefit algae that are able to capitalize on increased carbon availability for photosynthesis, but it is expected to have adverse effects on calcified algae through dissolution. Shifts in dominance between primary producers will have knock-on effects on marine ecosystems and will likely vary regionally, depending on factors such as irradiance (light vs. shade) and nutrient levels (oligotrophic vs. eutrophic). Thus experiments are needed to evaluate interactive effects of combined stressors in the field. In this study, we investigated the physiological responses of macroalgae near a CO2 seep in oligotrophic waters off Vulcano (Italy). The algae were incubated in situ at 0.2 m depth using a combination of three mean CO2 levels (500, 700-800 and 1200 mu atm CO2), two light levels (100 and 70% of surface irradiance) and two nutrient levels of N, P, and K (enriched vs. non-enriched treatments) in the non-calcified macroalga Cystoseira compressa (Phaeophyceae, Fucales) and calcified Padina pavonica (Phaeophyceae, Dictyotales). A suite of biochemical assays and in vivo chlorophyll a fluorescence parameters showed that elevated CO2 levels benefitted both of these algae, although their responses varied depending on light and nutrient availability. In C. compressa, elevated CO2 treatments resulted in higher carbon content and antioxidant activity in shaded conditions both with and without nutrient enrichment-they had more Chla, phenols and fucoxanthin with nutrient enrichment and higher quantum yield (F-v/F-m) and photosynthetic efficiency (aETR) without nutrient enrichment. In P pavonica, elevated CO2 treatments had higher carbon content, F-v/F-m, alpha(ETR), and Chla regardless of nutrient levels-they had higher concentrations of phenolic compounds in nutrient enriched, fully-lit conditions and more antioxidants in shaded, nutrient enriched conditions. Nitrogen content increased significantly in fertilized treatments, confirming that these algae were nutrient limited in this oligotrophic part of the Mediterranean. Our findings strengthen evidence that brown algae can be expected to proliferate as the oceans acidify where physicochemical conditions, such as nutrient levels and light, permit.</t>
  </si>
  <si>
    <t>[Celis-Pla, Paula S. M.; Korbee, Nathalie; Figueroa, Felix L.] Univ Malaga, Fac Sci, Dept Ecol, Campus Teatinos S-N, Malaga 29016, Spain; [Celis-Pla, Paula S. M.] Univ Barcelona, Fac Pharm, Lab Bot, Barcelona, Spain; [Hall-Spencer, Jason M.] Plymouth Univ, Marine Biol &amp; Ecol Res Ctr, Plymouth, Devon, England; [Horta, Paulo Antunes] Univ Fed Santa Catarina, Dept Bot, Florianopolis, SC, Brazil; [Milazzo, Marco] Univ Palermo, Dipartimento Sci Terra &amp; Mare, Palermo, Italy; [Cornwall, Christopher E.] Univ Tasmania, Inst Marine &amp; Antarctic Studies, Hobart, Tas, Australia; [Cornwall, Christopher E.] Univ Western Australia, Sch Earth &amp; Environm, Crawley, WA, Australia; [Cornwall, Christopher E.] Univ Western Australia, Arc Ctr Excellence Coral Reef Studies, Crawley, WA, Australia</t>
  </si>
  <si>
    <t>Universidad de Malaga; University of Barcelona; University of Plymouth; Universidade Federal de Santa Catarina (UFSC); University of Palermo; University of Tasmania; University of Western Australia; University of Western Australia</t>
  </si>
  <si>
    <t>Celis-Plá, PSM (corresponding author), Univ Malaga, Fac Sci, Dept Ecol, Campus Teatinos S-N, Malaga 29016, Spain.</t>
  </si>
  <si>
    <t>paulacelispla@uma.es</t>
  </si>
  <si>
    <t>Hall-Spencer, Jason M/F-9179-2013; Fapesp, Biota/F-8655-2017; /AAL-3738-2021; Cornwall, Christopher Edward/J-3982-2012; Horta, Paulo A/L-3092-2015; Hall-Spencer, Jason/AFN-7866-2022; Milazzo, Marco/AAY-9990-2021; Lopez Figueroa, Felix Diego/K-7720-2014; Korbee Peinado, Nathalie/K-5995-2014; Celis-Pla, Paula S. M./I-9123-2016</t>
  </si>
  <si>
    <t>Fapesp, Biota/0000-0002-9887-8449; Cornwall, Christopher Edward/0000-0002-6154-4082; Hall-Spencer, Jason/0000-0002-6915-2518; Lopez Figueroa, Felix Diego/0000-0003-3580-4693; Korbee Peinado, Nathalie/0000-0002-9780-4915; Celis-Pla, Paula S. M./0000-0002-2247-3787</t>
  </si>
  <si>
    <t>Junta de Andalucia [RNM-5750]; Becas-Chile (CONICYT) fellowship of doctorate of the Ministry of Education of the Republic of Chile; CNPq grants; CAPES (PNADB/visitant professor fellowship); INCT-MC; [RNM-295]</t>
  </si>
  <si>
    <t>Junta de Andalucia(Junta de Andalucia); Becas-Chile (CONICYT) fellowship of doctorate of the Ministry of Education of the Republic of Chile; CNPq grants(Conselho Nacional de Desenvolvimento Cientifico e Tecnologico (CNPQ)Fundacao de Apoio a Pesquisa do Distrito Federal (FAPDF)); CAPES (PNADB/visitant professor fellowship)(Coordenacao de Aperfeicoamento de Pessoal de Nivel Superior (CAPES)); INCT-MC;</t>
  </si>
  <si>
    <t>This work was supported by the Junta de Andalucia (Project RNM-5750) and by the research group RNM-295. The NERC/Defra/DECC UK Ocean Acidification research programme and Save Our Seas Foundation contributed to fieldwork expenses (this video https://vimeo.com/101795615 shows the field site). PC gratefully acknowledges financial support from Becas-Chile (CONICYT) fellowship of doctorate of the Ministry of Education of the Republic of Chile. P. A. Horta is also grateful to CNPq grants, CAPES (PNADB/visitant professor fellowship) and INCT-MC to additional financial support.</t>
  </si>
  <si>
    <t>10.3389/fmars.2015.00026</t>
  </si>
  <si>
    <t>WOS:000485324300029</t>
  </si>
  <si>
    <t>Harrison, LMK; Cox, MJ; Skaret, G; Harcourt, R</t>
  </si>
  <si>
    <t>Harrison, Lisa-Marie K.; Cox, Martin J.; Skaret, Georg; Harcourt, Robert</t>
  </si>
  <si>
    <t>The R package EchoviewR for automated processing of active acoustic data using Echoview</t>
  </si>
  <si>
    <t>active acoustic; Antarctic krill; data processing; echosounder; Echoview; R package</t>
  </si>
  <si>
    <t>ANTARCTIC KRILL; MULTIBEAM SONAR; DISCRIMINATION</t>
  </si>
  <si>
    <t>Acoustic data is time consuming to process due to the large data size and the requirement to often undertake some data processing steps manually. Manual processing may introduce subjective, irreproducible decisions into the data processing work flow, reducing consistency in processing between surveys. We introduce the R package EchoviewR as an interface between R and Echoview, a commercially available acoustic processing software package. EchoviewR allows for automation of Echoview using scripting which can drastically reduce the manual work required when processing acoustic surveys. This package plays an important role in reducing subjectivity in acoustic data processing by allowing exactly the same process to be applied automatically to multiple surveys and documenting where subjective decisions have been made. Using data from a survey of Antarctic krill, we provide two examples of using EchoviewR: krill biomass estimation and swarm detection.</t>
  </si>
  <si>
    <t>[Harrison, Lisa-Marie K.; Cox, Martin J.; Harcourt, Robert] Macquarie Univ, Fac Sci &amp; Engn, Dept Biol Sci, Marine Predator Res Grp, Balaclava Rd, N Ryde, NSW 2109, Australia; [Cox, Martin J.] Australian Govt, Dept Environm, Australian Antarctic Div, Kingston, Tas, Australia; [Skaret, Georg] Inst Marine Res, Bergen, Norway</t>
  </si>
  <si>
    <t>Macquarie University; Australian Antarctic Division; Institute of Marine Research - Norway</t>
  </si>
  <si>
    <t>Harrison, LMK (corresponding author), Macquarie Univ, Fac Sci &amp; Engn, Dept Biol Sci, Marine Predator Res Grp, Balaclava Rd, N Ryde, NSW 2109, Australia.</t>
  </si>
  <si>
    <t>lisamarie.k.harrison@gmail.com</t>
  </si>
  <si>
    <t>Harcourt, Robert/0000-0003-4666-2934</t>
  </si>
  <si>
    <t>Australian Research Council [4104, 4102]; Macquarie University Research Excellence Scholarship [FS11020005]</t>
  </si>
  <si>
    <t>Australian Research Council(Australian Research Council); Macquarie University Research Excellence Scholarship</t>
  </si>
  <si>
    <t>We would like to thank Echoview for their support of this project. This research is a contribution to Australian Antarctic Division science programme Project 4104 and project 4102. MC is funded by Australian Research Council grant FS11020005. LH is funded by a Macquarie University Research Excellence Scholarship.</t>
  </si>
  <si>
    <t>10.3389/fmars.2015.00015</t>
  </si>
  <si>
    <t>gold, Green Accepted</t>
  </si>
  <si>
    <t>WOS:000485324300019</t>
  </si>
  <si>
    <t>Innes, J; Pascoe, S; Wilcox, C; Jennings, S; Paredes, S</t>
  </si>
  <si>
    <t>Innes, James; Pascoe, Sean; Wilcox, Chris; Jennings, Sarah; Paredes, Samantha</t>
  </si>
  <si>
    <t>Mitigating undesirable impacts in the marine environment: a review of market-based management measures</t>
  </si>
  <si>
    <t>MPAs; marine conservation; quotas; taxes; penalties; bonds; protected species</t>
  </si>
  <si>
    <t>ASSURANCE BONDING SYSTEM; FISHERIES BYCATCH; PROTECTED AREAS; ECONOMIC-ANALYSIS; CARBON TAXES; SEA-TURTLES; QUOTAS; CATCH; NONCOMPLIANCE; INSURANCE</t>
  </si>
  <si>
    <t>Internationally, marine biodiversity conservation objectives are having an increasing influence on the management of commercial fisheries. While this is largely being implemented through Marine Protected Areas (MPAs) other management measures, such as market based instruments (MBIs), have proved to be effective at managing target species catch in fisheries and reducing environmental impacts in industries such as mining and tourism. Market-based management measures aim to mitigate the impacts of activities by better aligning the incentives their participants face with the objectives of management, changing their behavior as a consequence. In this paper, we review the potential of MBIs as management tools to mitigate undesirable environmental impacts associated with commercial fishing. Where they exist, examples of previous applications are described and the factors that influence their applicability and effectiveness are discussed. Several fishing methods and impacts are considered and suggest that whilst no single approach is most appropriate in all circumstances either replacing or complementing existing management arrangements with MBIs has the potential to improve environmental performance. This has a number of implications. From the environmental perspective they should enable levels of undesirable impacts such as damage to sensitive habitat or the bycatch of protected species of turtles, marine mammals, and seabirds to be reduced. The increased flexibility MBIs allow industry when developing solutions also has the potential to reduce costs to both the industry and managers, improving the cost-effectiveness of regulation as a result. Further, in the increasingly relevant case of MPAs the need for publicly funded compensation, often paid to industry when vessels are excluded from grounds, may also be significantly reduced if improved environmental performance makes it possible for some industry members to continue operating.</t>
  </si>
  <si>
    <t>[Innes, James; Pascoe, Sean; Paredes, Samantha] CSIRO, Oceans &amp; Atmosphere Business Unit, 41 Boggo Rd,Dutton Pk, Brisbane, Qld 4102, Australia; [Innes, James] Univ Tasmania, Inst Marine &amp; Antarctic Sci, Taroona, Tas, Australia; [Wilcox, Chris] CSIRO, Oceans &amp; Atmosphere Business Unit, Hobart, Tas, Australia; [Jennings, Sarah] Univ Tasmania, Tasmanian Sch Business &amp; Econ, Hobart, Tas, Australia; [Paredes, Samantha] Queensland Univ Technol, Sch Econ &amp; Finance, Brisbane, Qld, Australia</t>
  </si>
  <si>
    <t>Commonwealth Scientific &amp; Industrial Research Organisation (CSIRO); University of Tasmania; Commonwealth Scientific &amp; Industrial Research Organisation (CSIRO); University of Tasmania; Queensland University of Technology (QUT)</t>
  </si>
  <si>
    <t>Innes, J (corresponding author), CSIRO, Oceans &amp; Atmosphere Business Unit, 41 Boggo Rd,Dutton Pk, Brisbane, Qld 4102, Australia.</t>
  </si>
  <si>
    <t>james.innes@csiro.au</t>
  </si>
  <si>
    <t>Jennings, Sarah M/J-7888-2014; Wilcox, Chris/A-3585-2010; Pascoe, Sean/D-9710-2011; Innes, James/D-9424-2011; Paredes, Samantha/Q-5940-2016</t>
  </si>
  <si>
    <t>Innes, James/0000-0003-1975-6062; Paredes, Samantha/0000-0001-6518-6000; Wilcox, Chris/0000-0002-5983-657X</t>
  </si>
  <si>
    <t>Australian Government Commonwealth Environment Research Facilities (CERF); Australian Government National Environmental Research Program (NERP)</t>
  </si>
  <si>
    <t>Australian Government Commonwealth Environment Research Facilities (CERF)(Australian Government); Australian Government National Environmental Research Program (NERP)(Australian Government)</t>
  </si>
  <si>
    <t>This work was funded under the Australian Government Commonwealth Environment Research Facilities (CERF) and the Australian Government National Environmental Research Program (NERP). The authors gratefully acknowledge feedback from Toni Cannard and Nic Bax on early versions of the manuscript and the constructive comments of Kathryn Bisack and two reviewers.</t>
  </si>
  <si>
    <t>10.3389/fmars.2015.00076</t>
  </si>
  <si>
    <t>WOS:000485324300077</t>
  </si>
  <si>
    <t>Louis, J; Bressac, M; Pedrotti, ML; Guieu, C</t>
  </si>
  <si>
    <t>Louis, Justine; Bressac, Matthieu; Pedrotti, Maria L.; Guieu, Cecile</t>
  </si>
  <si>
    <t>Dissolved inorganic nitrogen and phosphorus dynamics in seawater following an artificial Saharan dust deposition event</t>
  </si>
  <si>
    <t>atmospheric nutrients; dissolution; adsorption; particle size distribution; TEP; dissolved organic matter; Saharan dust; Mediterranean Sea</t>
  </si>
  <si>
    <t>TRANSPARENT EXOPOLYMER PARTICLES; NANOMOLAR CONCENTRATIONS; MEDITERRANEAN SEA; ATMOSPHERIC DEPOSITION; PHOSPHATE ADSORPTION; OLIGOTROPHIC WATER; NATURAL-WATERS; SURFACE WATERS; LOW NUTRIENT; IRON</t>
  </si>
  <si>
    <t>The dynamics of dissolved inorganic nitrogen and phosphorus in seawater after a dust event were followed to better understand the impact of dust deposition in low nutrient waters of the Mediterranean Sea. Three independent abiotic experiments were performed over three seasons (winter, spring, end of summer) characterized by contrasted biogeochemical conditions. Experiments consisted of seeding evapocondensed Saharan dust at the surface of a polyethylene tank filled with filtered surface seawater. Phosphate (PO43-), nitrate (NO3-), size and number of particles and transparent exopolymeric particles production (TEP) were measured over the course of 1 week following seeding. Dust deposition was followed by a transient increase in [PO43-] during the first 3 h with a maximum input of 33, 9, and 39 nM, respectively in May, October and February. The removal of almost all the PO43- initially released suggests a scavenging process of PO43- back onto ferric oxide-rich particles leading to concentrations at the end of the experiment close to the initial values (7 nM in May and October, and 6 nM in February). NO3- released from dust was high especially in May and October (maximum input of 23 and 11 mu M, respectively) and was attributed to nitrogen dissolution from the large amount of small particles (&lt;1 mu m) rich in nitrogen in the evapocondensed dust. [NO3-] remained high until the end of the experiment (16 mu M in May and 11 mu M in October), indicating that NO3- from dust is likely to be bioavailable for a longer period compared to PO43- from dust. The release of PO43- and NO3- was intrinsically linked to particle dynamics, governed by the quality/quantity of dissolved organic matter.</t>
  </si>
  <si>
    <t>[Louis, Justine; Bressac, Matthieu; Pedrotti, Maria L.; Guieu, Cecile] Univ Paris 06, Sorbonne Univ, UMR 7093, Observ Oceanol Villefranche,Lab Oceanog Villefran, Villefranche Sur Mer, France; [Louis, Justine; Bressac, Matthieu; Pedrotti, Maria L.; Guieu, Cecile] CNRS, UMR 7093, Observ Oceanol Villefranche Sur Mer, Lab Oceanog Villefranche Sur Mer, Villefranche Sur Mer, France; [Bressac, Matthieu] Univ Tasmania, Inst Marine &amp; Antarctic Studies, Hobart, Tas, Australia</t>
  </si>
  <si>
    <t>Sorbonne Universite; Centre National de la Recherche Scientifique (CNRS); CNRS - National Institute for Earth Sciences &amp; Astronomy (INSU); Centre National de la Recherche Scientifique (CNRS); CNRS - National Institute for Earth Sciences &amp; Astronomy (INSU); Sorbonne Universite; University of Tasmania</t>
  </si>
  <si>
    <t>Guieu, C (corresponding author), CNRS, UMR 7093, OOV, Lab Oceanog Villefranche Mer, Chemin Lazaret, F-06234 Villefranche Sur Mer, France.</t>
  </si>
  <si>
    <t>guieu@obs-vlfr.fr</t>
  </si>
  <si>
    <t>Guieu, Cecile/AAU-6883-2021</t>
  </si>
  <si>
    <t>Guieu, Cecile/0000-0001-6373-8326; Bressac, Matthieu/0000-0003-3075-3137; Louis, Justine/0000-0002-8589-5768</t>
  </si>
  <si>
    <t>MISTRALS/MERMEX project; CHIPIE-EMERGENCE-UPMC project; University of Paris 6; ACRI-ST company; French National Association for Research and Technology (ANRT)</t>
  </si>
  <si>
    <t>MISTRALS/MERMEX project; CHIPIE-EMERGENCE-UPMC project; University of Paris 6; ACRI-ST company; French National Association for Research and Technology (ANRT)(Agence Nationale de la Recherche (ANR))</t>
  </si>
  <si>
    <t>This work was funded by the MISTRALS/MERMEX project and the CHIPIE-EMERGENCE-UPMC project. A grant provided by the University of Paris 6 supported JL. A grant provided by the ACRI-ST company and the French National Association for Research and Technology (ANRT) supported MB. The authors thank K. Desboeufs and F. Dulac for providing the Saharan dust analog. J.-Y. Carval from the Observatoire d'Oceanologie de Villefranche sur mer is acknowledged for his helpful work at sea. We thank our colleagues from SOMLIT (http://somlit.epoc.u-bordeauxl.fr/fr/) for providing the in situ temperature and Chla data. The authors thank C. Ridame for her constructive comments on a previous version of the manuscript and K. Frischkorn for kindly editing the manuscript.</t>
  </si>
  <si>
    <t>10.3389/fmars.2015.00027</t>
  </si>
  <si>
    <t>WOS:000485324300030</t>
  </si>
  <si>
    <t>O'Toole, MD; Lea, MA; Guinet, C; Schick, R; Hindell, MA</t>
  </si>
  <si>
    <t>O'Toole, Malcolm D.; Lea, Mary-Anne; Guinet, Christophe; Schick, Robert; Hindell, Mark A.</t>
  </si>
  <si>
    <t>Foraging strategy switch of a top marine predator according to seasonal resource differences</t>
  </si>
  <si>
    <t>trophic link; lower-trophic distribution; foraging behavior; Mirounga leonina; Ross Sea; Antarctica; elephant seal</t>
  </si>
  <si>
    <t>SOUTHERN ELEPHANT SEALS; MIROUNGA-LEONINA; ICE-ZONE; OCEAN; CHLOROPHYLL; SUCCESS; PHYTOPLANKTON; MOVEMENTS; BEHAVIOR; ZOOPLANKTON</t>
  </si>
  <si>
    <t>The spatio-temporal variability in marine resources influences the foraging behavior and success of top marine predators. However, little is known about the links between these animals and ocean productivity, specifically, how plankton density influences their foraging behavior. Southern elephant seals (Mirounga leonina) have two annual at-sea foraging trips: a 2 month post-breeding foraging trip (Nov-Jan) that coincides with elevated summer productivity; and an 8 month post-molting foraging trip (Feb-Oct) over winter, when productivity is low. Physical parameters are often used to describe seal habitat, whereas information about important biological parameters is lacking. We used electronic tags deployed on elephant seals during both trips to determine their movement and foraging behavior. The tags also recorded light, which measured the bio-optical properties of the water column, the bulk of which is presumably influenced by phytoplankton. We investigated the relationship between plankton density and seal foraging behavior; comparing trends between summer and winter trips. We found a positive relationship between plankton density and foraging behavior, which did not vary seasonally. We propose that profitable concentrations of seal prey are more likely to coincide with planktonic aggregations, but we also acknowledge that trophic dynamics may shift in response to seasonal trends in productivity. Seal prey (mid-trophic level) and plankton (lower-trophic level) are expected to overlap in space and time during summer trips when peak phytoplankton blooms occur. In contrast, aggregated patches of lower trophic levels are likely to be more dispersed during winter trips when plankton density is considerably lower and heterogeneous. These results show that southern elephant seals are able to exploit prey resources in different ways throughout the year as demonstrated by the variation observed between seal foraging behavior and trophic dynamics.</t>
  </si>
  <si>
    <t>[O'Toole, Malcolm D.; Lea, Mary-Anne; Hindell, Mark A.] Univ Tasmania, Inst Marine &amp; Antarctic Studies, 129 Private Bag, Hobart, Tas 7001, Australia; [Guinet, Christophe] Ctr Etud Biol Chize, Marine Predator Dept, Villiers En Bois, France; [Schick, Robert] Duke Univ, Nicholas Sch Environm, Durham, NC 27708 USA; [Schick, Robert] Univ St Andrews, Ctr Res Ecol &amp; Environm Modelling, The Observ, St Andrews, Fife, Scotland; [Hindell, Mark A.] Univ Tasmania, Antarctic Climate &amp; Ecosyst Cooperat Res Ctr, Hobart, Tas, Australia</t>
  </si>
  <si>
    <t>University of Tasmania; Duke University; University of St Andrews; Antarctic Climate &amp; Ecosystems Cooperative Research Centre (ACE CRC); University of Tasmania</t>
  </si>
  <si>
    <t>O'Toole, MD (corresponding author), Univ Tasmania, Inst Marine &amp; Antarctic Studies, 129 Private Bag, Hobart, Tas 7001, Australia.</t>
  </si>
  <si>
    <t>otoolem@utas.edu.au</t>
  </si>
  <si>
    <t>Hindell, Mark A/K-1131-2013; Guinet, Christophe/AAR-8457-2020; Lea, Mary-Anne/E-9054-2013</t>
  </si>
  <si>
    <t>Lea, Mary-Anne/0000-0001-8318-9299; Hindell, Mark/0000-0002-7823-7185</t>
  </si>
  <si>
    <t>US Office of Naval Research [N00014-10-1-0516, N00014-12-1-0286]; Office of Naval Research [N00014-09-1-0896, N00014-121-0274]; MASTS pooling initiative (The Marine Alliance for Science and Technology for Scotland); Scottish Funding Council [HR09011]</t>
  </si>
  <si>
    <t>US Office of Naval Research(Office of Naval Research); Office of Naval Research(Office of Naval Research); MASTS pooling initiative (The Marine Alliance for Science and Technology for Scotland); Scottish Funding Council</t>
  </si>
  <si>
    <t>This research was supported in part by US Office of Naval Research grants N00014-10-1-0516 and N00014-12-1-0286 to Duke University and to the University of St Andrews. This work benefited from discussions with participants in a working group supported by Office of Naval Research grants N00014-09-1-0896 to the University of California, Santa Barbara and N00014-121-0274 to the University of California, Davis. Funding was also received from the MASTS pooling initiative (The Marine Alliance for Science and Technology for Scotland) and their support is gratefully acknowledged. MASTS is funded by the Scottish Funding Council (grant reference HR09011) and contributing institutions. We thank Michele Thums, Steve Wall and Corey Bradshaw for field assistance. We thank the Australian Antarctic Division for providing logistical support. We also thank Karine Heerah for her useful comments.</t>
  </si>
  <si>
    <t>10.3389/fmars.2015.00021</t>
  </si>
  <si>
    <t>WOS:000485324300025</t>
  </si>
  <si>
    <t>Qiang, Q; Zhou, CX; Liao, MS; Zhao, QY; Wang, Z</t>
  </si>
  <si>
    <t>Qiang, Qiang; Zhou, Chunxia; Liao, Mingsheng; Zhao, Qiuyang; Wang, Zemin</t>
  </si>
  <si>
    <t>Elevation change around Dome A region of Antarctica from EnviSat satellite radar altimetry during 2002-2012</t>
  </si>
  <si>
    <t>GEO-SPATIAL INFORMATION SCIENCE</t>
  </si>
  <si>
    <t>elevation change; satellite radar altimetry; Dome A; Antarctica</t>
  </si>
  <si>
    <t>The expected responses of ice sheets to climate warming are growth in the thickness of the inland ice areas and thinning near the margins. In recent decades, researchers have identified glacier acceleration along Antarctic ice sheet coastal margins. However, the study of ice sheet interiors where seasonal accumulation eventually balances ice wastage at the lower elevation is poorly understood. In this paper, the ice sheet elevation change around Dome A region is analyzed from 2002 to 2012 using two million elevation change measurements from EnviSat satellite radar altimeter data covering an area of about 7000 km(2). A declining trend of 0.572 +/- 1.31 mm/year which means that the Dome A region was in balance during the last decade can be captured. In addition, two obvious changes in accumulation which divide elevation change time series into three independent equilibration stages are also extracted. In order to explain this phenomenon, two speculations related to snowfall and firn compaction are proposed in this paper.</t>
  </si>
  <si>
    <t>[Qiang, Qiang; Zhou, Chunxia; Zhao, Qiuyang; Wang, Zemin] Wuhan Univ, Chinese Antarctic Ctr Surveying &amp; Mapping, Wuhan 430079, Hubei, Peoples R China; [Qiang, Qiang; Zhou, Chunxia; Zhao, Qiuyang; Wang, Zemin] Wuhan Univ, Natl Adm Surveying Mapping &amp; Geoinformat, Key Lab Polar Surveying &amp; Mapping, Wuhan 430079, Hubei, Peoples R China; [Liao, Mingsheng] Wuhan Univ, State Key Lab Informat Engn Surveying Mapping &amp; R, Wuhan 430079, Hubei, Peoples R China</t>
  </si>
  <si>
    <t>Wuhan University; Wuhan University; Wuhan University</t>
  </si>
  <si>
    <t>Zhou, CX (corresponding author), Wuhan Univ, Chinese Antarctic Ctr Surveying &amp; Mapping, Wuhan 430079, Hubei, Peoples R China.</t>
  </si>
  <si>
    <t>zhoucx@whu.edu.cn</t>
  </si>
  <si>
    <t>Liao, Mingsheng/0000-0001-9556-4287</t>
  </si>
  <si>
    <t>Chinese Polar Environment Comprehensive Investigation and Assessment Programmes [CHINARE2015-02-04]; Public Science and Technology Research Fund Project of Surveying, Mapping and Geoinformation [201412009]; National Nature Science Foundation of China [41376187]; Polar Strategic Foundation [20120107]; Advance Research Program of Civil Aerospace Technology [D040103]</t>
  </si>
  <si>
    <t>Chinese Polar Environment Comprehensive Investigation and Assessment Programmes; Public Science and Technology Research Fund Project of Surveying, Mapping and Geoinformation; National Nature Science Foundation of China(National Natural Science Foundation of China (NSFC)); Polar Strategic Foundation; Advance Research Program of Civil Aerospace Technology</t>
  </si>
  <si>
    <t>This work was supported by the Chinese Polar Environment Comprehensive Investigation and Assessment Programmes [grant number CHINARE2015-02-04]; the Public Science and Technology Research Fund Project of Surveying, Mapping and Geoinformation [grant number 201412009]; the National Nature Science Foundation of China [grant number 41376187]; the Polar Strategic Foundation [grant number 20120107]; the Advance Research Program of Civil Aerospace Technology [grant number D040103].</t>
  </si>
  <si>
    <t>1009-5020</t>
  </si>
  <si>
    <t>1993-5153</t>
  </si>
  <si>
    <t>GEO-SPAT INF SCI</t>
  </si>
  <si>
    <t>Geo-Spat. Inf. Sci.</t>
  </si>
  <si>
    <t>10.1080/10095020.2015.1126072</t>
  </si>
  <si>
    <t>Remote Sensing</t>
  </si>
  <si>
    <t>VA6AU</t>
  </si>
  <si>
    <t>WOS:000410140000006</t>
  </si>
  <si>
    <t>Emry, EL; Nyblade, AA; Julià, J; Anandakrishnan, S; Aster, RC; Wiens, DA; Huerta, AD; Wilson, TJ</t>
  </si>
  <si>
    <t>Emry, E. L.; Nyblade, A. A.; Julia, J.; Anandakrishnan, S.; Aster, R. C.; Wiens, D. A.; Huerta, A. D.; Wilson, T. J.</t>
  </si>
  <si>
    <t>The mantle transition zone beneath West Antarctica: Seismic evidence for hydration and thermal upwellings</t>
  </si>
  <si>
    <t>GEOCHEMISTRY GEOPHYSICS GEOSYSTEMS</t>
  </si>
  <si>
    <t>MARIE BYRD LAND; HYDROUS RINGWOODITE; POSTSPINEL TRANSFORMATION; 410-KM DISCONTINUITY; SILICATE MELT; GAMMA-PHASE; WATER; TEMPERATURE; MOUNTAINS; BOUNDARY</t>
  </si>
  <si>
    <t>Although prior work suggests that a mantle plume is associated with Cenozoic rifting and volcanism in West Antarctica, the existence of a plume remains conjectural. Here we use P wave receiver functions (PRFs) from the Antarctic POLENET array to estimate mantle transition zone thickness, which is sensitive to temperature perturbations, throughout previously unstudied parts of West Antarctica. We obtain over 8000 high-quality PRFs using an iterative, time domain deconvolution method filtered with a Gaussian width of 0.5 and 1.0, corresponding to frequencies less than similar to 0.24 and similar to 0.48 Hz, respectively. Single-station and common conversion point stacks, migrated to depth using the AK135 velocity model, indicate that mantle transition zone thickness throughout most of West Antarctica does not differ significantly from the global average, except in two locations; one small region exhibits a vertically thinned (210 +/- 15 km) transition zone beneath the Ruppert Coast of Marie Byrd Land and another laterally broader region shows slight, vertical thinning (225 +/- 25 km) beneath the Bentley Subglacial Trench. We also observe the 520 discontinuity and a prominent negative peak above the mantle transition zone throughout much of West Antarctica. These results suggest that the mantle transition zone may be hotter than average in two places, possibly due to upwelling from the lower mantle, but not broadly across West Antarctica. Furthermore, we propose that the transition zone may be hydrated due to &gt;100 million years of subduction beneath the region during the early Mesozoic.</t>
  </si>
  <si>
    <t>[Emry, E. L.; Nyblade, A. A.; Anandakrishnan, S.] Penn State Univ, Dept Geosci, University Pk, PA 16802 USA; [Julia, J.] Univ Fed Rio Grande do Norte, Dept Geofis, BR-59072970 Natal, RN, Brazil; [Julia, J.] Univ Fed Rio Grande do Norte, Programa Posgrad Geodinam &amp; Geofis, BR-59072970 Natal, RN, Brazil; [Aster, R. C.] Colorado State Univ, Dept Geosci, Ft Collins, CO 80523 USA; [Wiens, D. A.] Washington Univ, St Louis, MO USA; [Huerta, A. D.] Cent Washington Univ, Dept Geosci, Ellensburg, WA USA; [Wilson, T. J.] Ohio State Univ, Sch Earth Sci, Columbus, OH 43210 USA</t>
  </si>
  <si>
    <t>Pennsylvania Commonwealth System of Higher Education (PCSHE); Pennsylvania State University; Pennsylvania State University - University Park; Universidade Federal do Rio Grande do Norte; Universidade Federal do Rio Grande do Norte; Colorado State University; Washington University (WUSTL); Central Washington University; University System of Ohio; Ohio State University</t>
  </si>
  <si>
    <t>Emry, EL (corresponding author), Penn State Univ, Dept Geosci, University Pk, PA 16802 USA.</t>
  </si>
  <si>
    <t>ele11@psu.edu</t>
  </si>
  <si>
    <t>Emry, Erica/AAJ-6040-2020; Huerta, Audrey D/A-8680-2009; Anandakrishnan, Sridhar/JCN-5026-2023; Wiens, Douglas/J-9259-2016; Julia, Jordi/H-1672-2017</t>
  </si>
  <si>
    <t>Emry, Erica/0000-0001-5515-1568; Wiens, Douglas/0000-0002-5169-4386; Huerta, Audrey/0000-0002-0252-8496; Julia, Jordi/0000-0002-9232-0938</t>
  </si>
  <si>
    <t>NSF [0632136, 0632185, 0632209, 0632330, 0632239, 0652322, 0632335, 1246666, 1246712, 1246776, 1247518, 1249513, 1249631, 1419268]; NSF Earth Sciences Postdoctoral Fellowship [1349684]; Directorate For Geosciences; Division Of Earth Sciences [1349684] Funding Source: National Science Foundation; Office of Polar Programs (OPP); Directorate For Geosciences [1249513, 1249631] Funding Source: National Science Foundation; Office of Polar Programs (OPP); Directorate For Geosciences [1247518, 1246666, 0632330, 1246776] Funding Source: National Science Foundation</t>
  </si>
  <si>
    <t>NSF(National Science Foundation (NSF)); NSF Earth Sciences Postdoctoral Fellowship; Directorate For Geosciences; Division Of Earth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</si>
  <si>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Seismic instrumentation was provided and supported by the Incorporated Research Institutions for Seismology (IRIS) through the PASSCAL Instrument Center at New Mexico Tech. We gratefully acknowledge scientific and field support provided by engineers from IRIS/PASSCAL Polar Programs, pilots from Kenn Borek Air Ltd. and PHI, Inc., mountaineers M. Roberts, J. Roberts, M. Whetu, and R. McBrearty, and numerous scientists and students who participated as part of field crews. We thank N. Accardo, R. Brazier, J. Chaput, P. Crotwell, E. Day, S. Hansen, D. Heeszel, M. Kachingwe, A. Lloyd, A. Lough, A. Muto, J. O'Donnell, C. Ramirez, A. Raveloson, A. Reusch, and P. Winberry for scientific discussion and technical assistance that improved this paper. This work has been supported by NSF Polar Programs (grant 0632136, 0632185, 0632209, 0632330, 0632239, 0652322, 0632335, 1246666, 1246712, 1246776, 1247518, 1249513, 1249631, and 1419268) and NSF Earth Sciences Postdoctoral Fellowship (grant 1349684). Seismic data for the Antarctic-POLENET project (network code: YT) are available through the IRIS Data Management Center (http://www.iris.edu/mda) and were accessed using the Standing Order for Data (SOD) request software (http://www.seis.sc.edu/sod/). Data for the figures in the paper are in the supporting information. If you would like access to other results data, contact corresponding author E. L. Emry at ele11@psu.edu. Maps were created using the Generic Mapping Tools (GMT) software (http://www.soest.hawaii.edu/gmt/).</t>
  </si>
  <si>
    <t>1525-2027</t>
  </si>
  <si>
    <t>GEOCHEM GEOPHY GEOSY</t>
  </si>
  <si>
    <t>Geochem. Geophys. Geosyst.</t>
  </si>
  <si>
    <t>10.1002/2014GC005588</t>
  </si>
  <si>
    <t>CB7WJ</t>
  </si>
  <si>
    <t>WOS:000349839000003</t>
  </si>
  <si>
    <t>Christ, AJ; Talaia-Murray, M; Elking, N; Domack, EW; Leventer, A; Lavoie, C; Brachfeld, S; Yoo, KC; Gilbert, R; Jeong, SM; Petrushak, S; Wellner, J</t>
  </si>
  <si>
    <t>Christ, Andrew J.; Talaia-Murray, Manique; Elking, Natalie; Domack, Eugene W.; Leventer, Amy; Lavoie, Caroline; Brachfeld, Stefanie; Yoo, Kyu-Cheul; Gilbert, Robert; Jeong, Sun-Mi; Petrushak, Stephen; Wellner, Julia</t>
  </si>
  <si>
    <t>LARISSA Grp</t>
  </si>
  <si>
    <t>Late Holocene glacial advance and ice shelf growth in Barilari Bay, Graham Land, west Antarctic Peninsula</t>
  </si>
  <si>
    <t>GEOLOGICAL SOCIETY OF AMERICA BULLETIN</t>
  </si>
  <si>
    <t>PALEOENVIRONMENTAL CHANGE; LAKE-SEDIMENTS; SOUTH GEORGIA; PALMER-DEEP; NEW-ZEALAND; FLUCTUATIONS; HISTORY; ISLAND; RADIOCARBON; CLIMATE</t>
  </si>
  <si>
    <t>Three marine sediment cores were collected along the length of the fjord axis of Barilari Bay, Graham Land, west Antarctic Peninsula (65 degrees 55'S, 64 degrees 43'W). Multi-proxy analytical results constrained by high-resolution geochronological methods (Pb-210, radiocarbon, Cs-137) in concert with historical observations capture a record of Holocene paleoenvironmental variability. Our results suggest early and middle Holocene (&gt;7022-2815 cal. [calibrated] yr B.P.) retreated glacial positions and seasonally open marine conditions with increased primary productivity. Climatic cooling increased sea ice coverage and decreased primary productivity during the Neoglacial (2815 to cal. 730 cal. yr B.P.). This climatic cooling culminated with glacial advance to maximum Holocene positions and expansion of a fjord-wide ice shelf during the Little Ice Age (LIA) (ca. 730-82 cal. yr B.P.). Seasonally open marine conditions were achieved and remnant ice shelves decayed within the context of recent rapid regional warming (82 cal. yr B.P. to present). Our findings agree with previously observed late Holocene cooling and glacial advance across the Antarctic Peninsula, suggesting that the LIA was a regionally significant event with few disparities in timing and magnitude. Comparison of the LIA Antarctic Peninsula record to the rest of the Southern Hemisphere demonstrates close synchronicity in the southeast Pacific and southern most Atlantic region but less coherence for the southwest Pacific and Indian Oceans. Comparisons with the Northern Hemisphere demonstrate that the LIA Antarctic Peninsula record was contemporaneous with pre-LIA cooling and sea ice expansion in the North Atlantic-Arctic, suggesting a global reach for these events.</t>
  </si>
  <si>
    <t>[Christ, Andrew J.; Talaia-Murray, Manique; Elking, Natalie; Domack, Eugene W.] Hamilton Coll, Dept Geosci, Clinton, NY 13323 USA; [Leventer, Amy] Colgate Univ, Dept Geol, Hamilton, NY 13346 USA; [Lavoie, Caroline] Ist Nazl Oceanog &amp; Geofis Sperimentale OGS, I-34010 Sgonico, Italy; [Brachfeld, Stefanie] Montclair State Univ, Dept Earth &amp; Environm Studies, Montclair, NJ 07043 USA; [Yoo, Kyu-Cheul; Jeong, Sun-Mi] Korean Polar Res Inst, Inchon 406840, South Korea; [Gilbert, Robert] Queens Univ, Dept Geog, Kingston, ON K7L 3N6, Canada; [Petrushak, Stephen] Florida State Univ, Antarctic Res Facil, Tallahassee, FL 32306 USA; [Wellner, Julia] Univ Houston, Dept Earth &amp; Atmospher Sci, Houston, TX 77204 USA</t>
  </si>
  <si>
    <t>Hamilton College; Colgate University; Istituto Nazionale di Oceanografia e di Geofisica Sperimentale; Montclair State University; Korea Polar Research Institute (KOPRI); Queens University - Canada; State University System of Florida; Florida State University; University of Houston System; University of Houston</t>
  </si>
  <si>
    <t>Christ, AJ (corresponding author), Boston Univ, Dept Earth &amp; Environm, Boston, MA 02215 USA.</t>
  </si>
  <si>
    <t>achrist@bu.edu</t>
  </si>
  <si>
    <t>Christ, Andrew J./AAA-7777-2020; King, Matt/B-4622-2008; De Batist, Marc/F-5722-2012</t>
  </si>
  <si>
    <t>Christ, Andrew J./0000-0003-0989-6491; King, Matt/0000-0001-5611-9498; De Batist, Marc/0000-0002-1625-2080; Pettit, Erin Christine/0000-0002-6765-9841; Yoo, Kyu-Cheul/0000-0002-6186-7535; Leventer, Amy/0000-0001-9401-0987; Brachfeld, Stefanie/0000-0003-4612-2866; Huber, Bruce/0000-0001-6413-1614; McCormick, Michael/0000-0002-7403-7186; SCAMBOS, Ted A./0000-0003-4268-6322</t>
  </si>
  <si>
    <t>National Science Foundation Office of Polar Programs [NSF OPP ANT-0732467, NSF OPP ANT-0732625, NSF OPP ANT-0732614, NSF OPP ANT-0732605]; Korean Polar Research Institute (KOPRI) [PP14010]; Office of Polar Programs (OPP); Directorate For Geosciences [1430002] Funding Source: National Science Foundation</t>
  </si>
  <si>
    <t>National Science Foundation Office of Polar Programs(National Science Foundation (NSF)NSF - Directorate for Geosciences (GEO)); Korean Polar Research Institute (KOPRI); Office of Polar Programs (OPP); Directorate For Geosciences(National Science Foundation (NSF)NSF - Directorate for Geosciences (GEO))</t>
  </si>
  <si>
    <t>The data for this study were collected on the 2010 LARISSA cruise. We acknowledge the NBP10-01 Shipboard Scientific Party for field support and various discussions in and out of the field. We also thank the RV/IB Nathanial B. Palmer crew and Raytheon Polar Services technical personnel for the support during the cruise. We thank the National Ocean Sciences Accelerator Mass Spectrometry Facility (NOSAMS) at Woods Hole Oceanographic Institution for analysis of the radiocarbon samples used in this study. This project was funded by the National Science Foundation Office of Polar Programs awards NSF OPP ANT-0732467 to Hamilton College, NSF OPP ANT-0732625 to Colgate University, NSF OPP ANT-0732614 to University of Houston, and NSF OPP ANT-0732605 to Montclair State University, and the Korean Polar Research Institute (KOPRI) grant PP14010. We thank the students of the LARISSA short course on the Antarctic Peninsula for assisting in generating the dataset for core KC-54. Finally, we thank Joel Pederson and three anonymous reviewers for their constructive comments that greatly improved this manuscript.</t>
  </si>
  <si>
    <t>GEOLOGICAL SOC AMER, INC</t>
  </si>
  <si>
    <t>BOULDER</t>
  </si>
  <si>
    <t>PO BOX 9140, BOULDER, CO 80301-9140 USA</t>
  </si>
  <si>
    <t>0016-7606</t>
  </si>
  <si>
    <t>1943-2674</t>
  </si>
  <si>
    <t>GEOL SOC AM BULL</t>
  </si>
  <si>
    <t>Geol. Soc. Am. Bull.</t>
  </si>
  <si>
    <t>10.1130/B31035.1</t>
  </si>
  <si>
    <t>CF0DF</t>
  </si>
  <si>
    <t>WOS:000352212200018</t>
  </si>
  <si>
    <t>Andrews, SB; Moore, P; King, MA</t>
  </si>
  <si>
    <t>Andrews, Stuart B.; Moore, Philip; King, Matt. A.</t>
  </si>
  <si>
    <t>Mass change from GRACE: a simulated comparison of Level-1B analysis techniques</t>
  </si>
  <si>
    <t>Inverse theory; Satellite geodesy; Gravity anomalies and Earth structure; Time variable gravity; Global change from geodesy; Antarctica</t>
  </si>
  <si>
    <t>TIME-VARIABLE GRAVITY; ICE-SHEET; FIELD; VARIABILITY; GREENLAND; MASCONS; EARTH; GULF</t>
  </si>
  <si>
    <t>Spherical harmonic and mascon parameters have both been successfully applied in the recovery of time-varying gravity fields from Gravity Recovery and Climate Experiment (GRACE). However, direct comparison of any mass flux is difficult with solutions generated by different groups using different codes and algorithms. It is therefore opportune to compare these methodologies, within a common software base, to understand potential limitations associated with each technique. Here we use simulations to recover a known monthly surface mass distribution from GRACE KBRR data. The ability of spherical harmonic and mascon parameters to resolve basin-level mass change is quantified with an assessment of how the noise and errors, inherent in GRACE solutions, are handled. Recovery of a noise and error free GLDAS anomaly revealed no quantifiable difference between spherical harmonic and mascon parameters. Expansion of the GLDAS anomaly to degree and order 120 shows that both spherical harmonic and mascon parameters are affected by comparable omission errors. However, the inclusion of realistic KBRR noise and errors in the simulations reveals the advantage of the mascon parameters over spherical harmonics at reducing noise and errors in the higher degree and order harmonics with an rms (cm of EWH) to the GLDAS anomaly of 10.0 for the spherical harmonic solution and 8.8 (8.6) for the 4 degrees(2 degrees) mascon solutions. The introduction of a constraint matrix in the mascon solution based on parameters that share geophysical similarities is shown to further reduce the signal lost at all degrees. The recovery of a simulated Antarctic mass loss signal shows that the mascon methodology is superior to spherical harmonics for this region with an rms (cm of EWH) of 8.7 for the 2 degrees mascon solution compared to 10.0 for the spherical harmonic solution. Investigating the noise and errors for a month when the satellites were in resonance revealed both the spherical harmonic and mascon methodologies are able to recover the GLDAS and Antarctic mass loss signal with either a comparable (spherical harmonic) or improved (mascon) rms compared to non-resonance periods.</t>
  </si>
  <si>
    <t>[Andrews, Stuart B.; Moore, Philip; King, Matt. A.] Newcastle Univ, Sch Civil Engn &amp; Geosci, Newcastle Upon Tyne NE1 7RU, Tyne &amp; Wear, England; [King, Matt. A.] Univ Tasmania, Sch Land &amp; Food, Hobart, Tas 7001, Australia</t>
  </si>
  <si>
    <t>Newcastle University - UK; University of Tasmania</t>
  </si>
  <si>
    <t>Andrews, SB (corresponding author), Newcastle Univ, Sch Civil Engn &amp; Geosci, Newcastle Upon Tyne NE1 7RU, Tyne &amp; Wear, England.</t>
  </si>
  <si>
    <t>s.b.andrews@newcastle.ac.uk</t>
  </si>
  <si>
    <t>King, Matt/B-4622-2008</t>
  </si>
  <si>
    <t>King, Matt/0000-0001-5611-9498</t>
  </si>
  <si>
    <t>National Centre for Earth Observation (NCEO); COST Action [ES0701]; Australian Research Council Future Fellowship [FT110100207]</t>
  </si>
  <si>
    <t>National Centre for Earth Observation (NCEO); COST Action(European Cooperation in Science and Technology (COST)); Australian Research Council Future Fellowship(Australian Research Council)</t>
  </si>
  <si>
    <t>This work was funded by a National Centre for Earth Observation (NCEO) award in gravimetric geodesy and partially supported by COST Action ES0701 'Improved constraints on models of Glacial Isostatic Adjustment'. We are gratefully for the GRACE Level-1B products produced by the Jet Propulsion Laboratory. MAK is a recipient of an Australian Research Council Future Fellowship (project number FT110100207). The authors would like to thank three anonymous reviewers for comments which helped improve this manuscript.</t>
  </si>
  <si>
    <t>10.1093/gji/ggu402</t>
  </si>
  <si>
    <t>WOS:000350041600036</t>
  </si>
  <si>
    <t>Parrenin, F; Bazin, L; Capron, E; Landais, A; Lemieux-Dudon, B; Masson-Delmotte, V</t>
  </si>
  <si>
    <t>Parrenin, F.; Bazin, L.; Capron, E.; Landais, A.; Lemieux-Dudon, B.; Masson-Delmotte, V.</t>
  </si>
  <si>
    <t>IceChrono1: a probabilistic model to compute a common and optimal chronology for several ice cores</t>
  </si>
  <si>
    <t>GEOSCIENTIFIC MODEL DEVELOPMENT</t>
  </si>
  <si>
    <t>EPICA DOME-C; ANTARCTIC ICE; ATMOSPHERIC CO2; VOLCANIC SYNCHRONIZATION; ACCUMULATION RATE; CLIMATE-CHANGE; AIR CONTENT; AGE SCALE; GREENLAND; TEMPERATURE</t>
  </si>
  <si>
    <t>Polar ice cores provide exceptional archives of past environmental conditions. The dating of ice cores and the estimation of the age-scale uncertainty are essential to interpret the climate and environmental records that they contain. It is, however, a complex problem which involves different methods. Here, we present IceChrono1, a new probabilistic model integrating various sources of chronological information to produce a common and optimized chronology for several ice cores, as well as its uncertainty. IceChrono1 is based on the inversion of three quantities: the surface accumulation rate, the lock-in depth (LID) of air bubbles and the thinning function. The chronological information integrated into the model are models of the sedimentation process (accumulation of snow, densification of snow into ice and air trapping, ice flow), ice-and air-dated horizons, ice and air depth intervals with known durations, Delta depth observations (depth shift between synchronous events recorded in the ice and in the air) and finally air and ice stratigraphic links in between ice cores. The optimization is formulated as a least squares problem, implying that all densities of probabilities are assumed to be Gaussian. It is numerically solved using the Levenberg-Marquardt algorithm and a numerical evaluation of the model's Jacobian. IceChrono follows an approach similar to that of the Datice model which was recently used to produce the AICC2012 (Antarctic ice core chronology) for four Antarctic ice cores and one Greenland ice core. IceChrono1 provides improvements and simplifications with respect to Datice from the mathematical, numerical and programming point of views. The capabilities of IceChrono1 are demonstrated on a case study similar to the AICC2012 dating experiment. We find results similar to those of Datice, within a few centuries, which is a confirmation of both IceChrono1 and Datice codes. We also test new functionalities with respect to the original version of Datice: observations as ice intervals with known durations, correlated observations, observations as air intervals with known durations and observations as mixed ice-air stratigraphic links. IceChrono1 is freely available under the General Public License v3 open source license.</t>
  </si>
  <si>
    <t>[Parrenin, F.] CNRS, LGGE, F-38041 Grenoble, France; [Parrenin, F.] Univ Grenoble Alpes, LGGE, F-38041 Grenoble, France; [Bazin, L.; Landais, A.; Masson-Delmotte, V.] British Antarctic Survey, Cambridge CB3 0ET, England; [Capron, E.] CEA CNRS UVSQ, UMR 8212, Lab Sci Climat &amp; Environm, Inst Pierre Simon Laplace, F-91191 Gif Sur Yvette, France; [Lemieux-Dudon, B.] Lab Jean Kuntzmann, Grenoble, France</t>
  </si>
  <si>
    <t>Centre National de la Recherche Scientifique (CNRS); Communaute Universite Grenoble Alpes; Universite Grenoble Alpes (UGA); Communaute Universite Grenoble Alpes; Universite Grenoble Alpes (UGA); UK Research &amp; Innovation (UKRI); Natural Environment Research Council (NERC); NERC British Antarctic Survey; Centre National de la Recherche Scientifique (CNRS); CNRS - National Institute for Earth Sciences &amp; Astronomy (INSU); Universite Paris Cite; CEA; Universite Paris Saclay; Communaute Universite Grenoble Alpes; Institut National Polytechnique de Grenoble; Universite Grenoble Alpes (UGA); Centre National de la Recherche Scientifique (CNRS); Inria</t>
  </si>
  <si>
    <t>Parrenin, F (corresponding author), CNRS, LGGE, F-38041 Grenoble, France.</t>
  </si>
  <si>
    <t>parrenin@ujf-grenoble.fr</t>
  </si>
  <si>
    <t>Masson-Delmotte, Valerie L/G-1995-2011; Parrenin, Frédéric/H-3054-2014</t>
  </si>
  <si>
    <t>Masson-Delmotte, Valerie L/0000-0001-8296-381X; Parrenin, Frédéric/0000-0002-9489-3991; LANDAIS, Amaelle/0000-0002-5620-5465; Lemieux-Dudon, Benedicte/0000-0002-0718-2420; Bazin, Lucie/0000-0003-4808-4090</t>
  </si>
  <si>
    <t>INSU/LEFE; ANR; Natural Environment Research Council [bas0100034] Funding Source: researchfish; NERC [bas0100034] Funding Source: UKRI</t>
  </si>
  <si>
    <t>INSU/LEFE; ANR(Agence Nationale de la Recherche (ANR)); Natural Environment Research Council(UK Research &amp; Innovation (UKRI)Natural Environment Research Council (NERC)); NERC(UK Research &amp; Innovation (UKRI)Natural Environment Research Council (NERC))</t>
  </si>
  <si>
    <t>This work benefited from helpful comments by E. Wolff, T. Heaton, and two other anonymous reviewers. We also thank Florent Molliex, Delphine Tardif-Becquet, M. Sacchettini, M. Nodet and E. Blayo for helpful exchanges. This work was funded by the INSU/LEFE project IceChrono and by the ANR project ADAGe.</t>
  </si>
  <si>
    <t>1991-959X</t>
  </si>
  <si>
    <t>1991-9603</t>
  </si>
  <si>
    <t>GEOSCI MODEL DEV</t>
  </si>
  <si>
    <t>Geosci. Model Dev.</t>
  </si>
  <si>
    <t>10.5194/gmd-8-1473-2015</t>
  </si>
  <si>
    <t>CJ2BK</t>
  </si>
  <si>
    <t>WOS:000355289000013</t>
  </si>
  <si>
    <t>Marsh, R; Ivchenko, VO; Skliris, N; Alderson, S; Bigg, GR; Madec, G; Blaker, AT; Aksenov, Y; Sinha, B; Coward, AC; Le Sommer, J; Merino, N; Zalesny, VB</t>
  </si>
  <si>
    <t>Marsh, R.; Ivchenko, V. O.; Skliris, N.; Alderson, S.; Bigg, G. R.; Madec, G.; Blaker, A. T.; Aksenov, Y.; Sinha, B.; Coward, A. C.; Le Sommer, J.; Merino, N.; Zalesny, V. B.</t>
  </si>
  <si>
    <t>NEMO-ICB (v1.0): interactive icebergs in the NEMO ocean model globally configured at eddy-permitting resolution</t>
  </si>
  <si>
    <t>CLIMATE; THERMODYNAMICS</t>
  </si>
  <si>
    <t>An established iceberg module, ICB, is used interactively with the Nucleus for European Modelling of the Ocean (NEMO) ocean model in a new implementation, NEMO-ICB (v1.0). A 30-year hindcast (1976-2005) simulation with an eddy-permitting (0.25 degrees) global configuration of NEMO-ICB is undertaken to evaluate the influence of icebergs on sea ice, hydrography, mixed layer depths (MLDs), and ocean currents, through comparison with a control simulation in which the equivalent iceberg mass flux is applied as coastal runoff, a common forcing in ocean models. In the Southern Hemisphere (SH), drift and melting of icebergs are in balance after around 5 years, whereas the equilibration timescale for the Northern Hemisphere (NH) is 15-20 years. Iceberg drift patterns, and Southern Ocean iceberg mass, compare favourably with available observations. Freshwater forcing due to iceberg melting is most pronounced very locally, in the coastal zone around much of Antarctica, where it often exceeds in magnitude and opposes the negative freshwater fluxes associated with sea ice freezing. However, at most locations in the polar Southern Ocean, the annual-mean freshwater flux due to icebergs, if present, is typically an order of magnitude smaller than the contribution of sea ice melting and precipitation. A notable exception is the southwest Atlantic sector of the Southern Ocean, where iceberg melting reaches around 50% of net precipitation over a large area. Including icebergs in place of coastal runoff, sea ice concentration and thickness are notably decreased at most locations around Antarctica, by up to similar to 20% in the eastern Weddell Sea, with more limited increases, of up to similar to 10% in the Bellingshausen Sea. Antarctic sea ice mass decreases by 2.9 %, overall. As a consequence of changes in net freshwater forcing and sea ice, salinity and temperature distributions are also substantially altered. Surface salinity increases by similar to 0.1 psu around much of Antarctica, due to suppressed coastal runoff, with extensive freshening at depth, extending to the greatest depths in the polar Southern Ocean where discernible effects on both salinity and temperature reach 2500 m in the Weddell Sea by the last pentad of the simulation. Substantial physical and dynamical responses to icebergs, throughout the global ocean, are explained by rapid propagation of density anomalies from high-to-low latitudes. Complementary to the baseline model used here, three prototype modifications to NEMO-ICB are also introduced and discussed.</t>
  </si>
  <si>
    <t>[Marsh, R.; Ivchenko, V. O.; Skliris, N.] Univ Southampton, Natl Oceanog Ctr, Southampton, Hants, England; [Alderson, S.; Madec, G.; Blaker, A. T.; Aksenov, Y.; Sinha, B.; Coward, A. C.] Natl Oceanog Ctr, Southampton SO14 3ZH, Hants, England; [Bigg, G. R.] Univ Sheffield, Dept Geog, Sheffield S10 2TN, S Yorkshire, England; [Madec, G.] CNRS IRD UPMC MNHN, LOCEAN IPSL, Paris, France; [Le Sommer, J.; Merino, N.] CNRS UJF, LGGE, UMR5183, Grenoble, France; [Zalesny, V. B.] Russian Acad Sci, Inst Numer Math, Moscow 119333, Russia</t>
  </si>
  <si>
    <t>NERC National Oceanography Centre; University of Southampton; NERC National Oceanography Centre; University of Sheffield; Sorbonne Universite; Institut de Recherche pour le Developpement (IRD); Museum National d'Histoire Naturelle (MNHN); Centre National de la Recherche Scientifique (CNRS); Communaute Universite Grenoble Alpes; Universite Grenoble Alpes (UGA); Russian Academy of Sciences</t>
  </si>
  <si>
    <t>Marsh, R (corresponding author), Univ Southampton, Natl Oceanog Ctr, Southampton, Hants, England.</t>
  </si>
  <si>
    <t>rm12@soton.ac.uk</t>
  </si>
  <si>
    <t>Bigg, Grant/GXW-2219-2022; Marsh, Robert/G-4988-2013; madec, gurvan/E-7825-2010; Blaker, Adam T/I-8861-2012; Le Sommer, Julien/ABG-8801-2021</t>
  </si>
  <si>
    <t>madec, gurvan/0000-0002-6447-4198; Le Sommer, Julien/0000-0002-6882-2938; Skliris, Nikolaos/0000-0002-2473-2586; Marsh, Robert/0000-0002-1051-8749; Blaker, Adam/0000-0001-5454-0131</t>
  </si>
  <si>
    <t>UK Natural Environment Research Council [NE/H021396/1]; NERC [NE/H021396/1, noc010010, NE/K012150/1, NE/K011561/1, NE/H023402/1] Funding Source: UKRI; Natural Environment Research Council [NE/K012150/1, noc010010, NE/H023402/1, NE/H021396/1, NE/K011561/1]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</si>
  <si>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</si>
  <si>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Torge Martin and Alistair Adcroft for providing their code as a basis for the ICB module. Funding to couple NEMO with the icebergs module was provided by the UK Natural Environment Research Council (grant number NE/H021396/1) for the project A century of variability in Greenland melting and iceberg calving. We are grateful to three anonymous reviewers and the topic editor for a wide range of helpful comments and insights.</t>
  </si>
  <si>
    <t>10.5194/gmd-8-1547-2015</t>
  </si>
  <si>
    <t>WOS:000355289000017</t>
  </si>
  <si>
    <t>Rae, JGL; Hewitt, HT; Keen, AB; Ridley, JK; West, AE; Harris, CM; Hunke, EC; Walters, DN</t>
  </si>
  <si>
    <t>Rae, J. G. L.; Hewitt, H. T.; Keen, A. B.; Ridley, J. K.; West, A. E.; Harris, C. M.; Hunke, E. C.; Walters, D. N.</t>
  </si>
  <si>
    <t>Development of the Global Sea Ice 6.0 CICE configuration for the Met Office Global Coupled model</t>
  </si>
  <si>
    <t>THICKNESS DISTRIBUTION; CLIMATE MODEL; OCEAN; SIMULATION; ENERGY</t>
  </si>
  <si>
    <t>The new sea ice configuration GSI6.0, used in the Met Office global coupled configuration GC2.0, is described and the sea ice extent, thickness and volume are compared with the previous configuration and with observationally based data sets. In the Arctic, the sea ice is thicker in all seasons than in the previous configuration, and there is now better agreement of the modelled concentration and extent with the HadISST data set. In the Antarctic, a warm bias in the ocean model has been exacerbated at the higher resolution of GC2.0, leading to a large reduction in ice extent and volume; further work is required to rectify this in future configurations.</t>
  </si>
  <si>
    <t>[Rae, J. G. L.; Hewitt, H. T.; Keen, A. B.; Ridley, J. K.; West, A. E.; Harris, C. M.; Walters, D. N.] Met Off Hadley Ctr, Exeter EX1 3PB, Devon, England; [Hunke, E. C.] Los Alamos Natl Lab, MS B216, Los Alamos, NM 87545 USA</t>
  </si>
  <si>
    <t>Met Office - UK; Hadley Centre; United States Department of Energy (DOE); Los Alamos National Laboratory</t>
  </si>
  <si>
    <t>Rae, JGL (corresponding author), Met Off Hadley Ctr, FitzRoy Rd, Exeter EX1 3PB, Devon, England.</t>
  </si>
  <si>
    <t>jamie.rae@metoffice.gov.uk</t>
  </si>
  <si>
    <t>Hewitt, Helene/0000-0001-7432-6001; Walters, David/0000-0003-0383-7378</t>
  </si>
  <si>
    <t>Joint DECC/Defra Met Office Hadley Centre Climate Programme [GA01101]</t>
  </si>
  <si>
    <t>Joint DECC/Defra Met Office Hadley Centre Climate Programme</t>
  </si>
  <si>
    <t>We are grateful to Alison McLaren and Ed Blockley for useful comments on earlier drafts of the manuscript. This work was supported by the Joint DECC/Defra Met Office Hadley Centre Climate Programme (GA01101). We are grateful to the reviewers for their useful comments, which led to substantial improvements in this manuscript.</t>
  </si>
  <si>
    <t>10.5194/gmd-8-2221-2015</t>
  </si>
  <si>
    <t>CO1LQ</t>
  </si>
  <si>
    <t>WOS:000358917100018</t>
  </si>
  <si>
    <t>Rousset, C; Vancoppenolle, M; Madec, G; Fichefet, T; Flavoni, S; Barthélemy, A; Benshila, R; Chanut, J; Levy, C; Masson, S; Vivier, F</t>
  </si>
  <si>
    <t>Rousset, C.; Vancoppenolle, M.; Madec, G.; Fichefet, T.; Flavoni, S.; Barthelemy, A.; Benshila, R.; Chanut, J.; Levy, C.; Masson, S.; Vivier, F.</t>
  </si>
  <si>
    <t>The Louvain-La-Neuve sea ice model LIM3.6: global and regional capabilities</t>
  </si>
  <si>
    <t>VISCOUS-PLASTIC METHOD; THICKNESS DISTRIBUTION; OCEAN CIRCULATION; MASS-BALANCE; CLIMATE; SENSITIVITY; SIMULATIONS; SALINITY; IMPACT; GROWTH</t>
  </si>
  <si>
    <t>The new 3.6 version of the Louvain-la-Neuve sea ice model (LIM) is presented, as integrated in the most recent stable release of Nucleus for European Modelling of the Ocean (NEMO) (3.6). The release will be used for the next Climate Model Inter-comparison Project (CMIP6). Developments focussed around three axes: improvements of robustness, versatility and sophistication of the code, which involved numerous changes. Robustness was improved by enforcing exact conservation through the inspection of the different processes driving the air-ice-ocean exchanges of heat, mass and salt. Versatility was enhanced by implementing lateral boundary conditions for sea ice and more flexible ice thickness categories. The latter includes a more practical computation of category boundaries, parameterizations to use LIM3.6 with a single ice category and a flux redistributor for coupling with atmospheric models that cannot handle multiple sub-grid fluxes. Sophistication was upgraded by including the effect of ice and snow weight on the sea surface. We illustrate some of the new capabilities of the code in two standard simulations. One is an ORCA2-LIM3 global simulation at a nominal 2 degrees resolution, forced by reference atmospheric climatologies. The other one is a regional simulation at 2 km resolution around the Svalbard Archipelago in the Arctic Ocean, with open boundaries and tides. We show that the LIM3.6 forms a solid and flexible base for future scientific studies and model developments.</t>
  </si>
  <si>
    <t>[Rousset, C.; Vancoppenolle, M.; Madec, G.; Flavoni, S.; Levy, C.; Masson, S.; Vivier, F.] Univ Paris 06, Sorbonne Univ, LOCEAN IPSL, CNRS IRD MNHN, Paris, France; [Fichefet, T.; Barthelemy, A.] Catholic Univ Louvain, Ctr Georges Lemaitre Earth &amp; Climate Res, Louvain La Neuve, Belgium; [Benshila, R.] CNRS LEGOS, Toulouse, France; [Chanut, J.] Mercator Ocean, Ramonville St Agne, France</t>
  </si>
  <si>
    <t>Institut de Recherche pour le Developpement (IRD); Sorbonne Universite; Museum National d'Histoire Naturelle (MNHN); Universite Catholique Louvain; Universite de Toulouse; Universite Toulouse III - Paul Sabatier; Centre National de la Recherche Scientifique (CNRS); Institut de Recherche pour le Developpement (IRD); Laboratoire d'Etudes en Geophysique et oceanographie spatiales</t>
  </si>
  <si>
    <t>Rousset, C (corresponding author), Univ Paris 06, Sorbonne Univ, LOCEAN IPSL, CNRS IRD MNHN, Paris, France.</t>
  </si>
  <si>
    <t>clement.rousset@locean-ipsl.upmc.fr</t>
  </si>
  <si>
    <t>madec, gurvan/E-7825-2010; Benshila, Rachid/GPX-2433-2022; Vancoppenolle, Martin/B-3750-2011; Vancoppenolle, Martin/AAA-7711-2022; masson, sebastien/F-9780-2011</t>
  </si>
  <si>
    <t>madec, gurvan/0000-0002-6447-4198; Benshila, Rachid/0000-0003-0995-0507; Vancoppenolle, Martin/0000-0002-7573-8582; Vancoppenolle, Martin/0000-0002-7573-8582; masson, sebastien/0000-0002-1694-8117; Vivier, Frederic/0000-0003-2539-4133</t>
  </si>
  <si>
    <t>French National Research Agency (ANR) as part of the OPTIMISM project [ANR-09-BLAN-0227-01]; European Community [283367, 312979, 321938]; Agence Nationale de la Recherche (ANR) [ANR-09-BLAN-0227] Funding Source: Agence Nationale de la Recherche (ANR); Natural Environment Research Council [noc010010] Funding Source: researchfish; NERC [noc010010] Funding Source: UKRI</t>
  </si>
  <si>
    <t>French National Research Agency (ANR) as part of the OPTIMISM project(Agence Nationale de la Recherche (ANR)); European Community; Agence Nationale de la Recherche (ANR)(Agence Nationale de la Recherche (ANR)); Natural Environment Research Council(UK Research &amp; Innovation (UKRI)Natural Environment Research Council (NERC)); NERC(UK Research &amp; Innovation (UKRI)Natural Environment Research Council (NERC))</t>
  </si>
  <si>
    <t>We thank the two anonymous reviewers for their thorough reading and constructive comments, which helped improving the manuscript. The present work was supported by the French National Research Agency (ANR) as part of the OPTIMISM project (ANR-09-BLAN-0227-01), the European Community's Seventh Framework Program FP7/SPACE (My-Ocean2, grant 283367), IS-ENES2 (grant 312979) and BISICLO (FP7 CIG 321938). Computational resources have been provided by the French Institut du Developpement et des Ressources en Informatique Scientifique (IDRIS). The Antarctic sea ice concentration reprocessed data set was provided by the Ocean and Sea Ice Satellite Application Facilities (OSISAF) and is available at http://osisaf.met.no. The MODIS image is courtesy of the online Data Pool at the NASA Land Processes Distributed Active Archive Center (LP DAAC), USGS/Earth Resources Observation and Science (EROS) Center, Sioux Falls, South Dakota (https://lpdaac.usgs.gov/data_access).</t>
  </si>
  <si>
    <t>10.5194/gmd-8-2991-2015</t>
  </si>
  <si>
    <t>CV5QO</t>
  </si>
  <si>
    <t>Green Accepted, gold, Green Submitted, Green Published</t>
  </si>
  <si>
    <t>WOS:000364326200001</t>
  </si>
  <si>
    <t>Heuzé, C; Ridley, JK; Calvert, D; Stevens, DP; Heywood, KJ</t>
  </si>
  <si>
    <t>Heuze, C.; Ridley, J. K.; Calvert, D.; Stevens, D. P.; Heywood, K. J.</t>
  </si>
  <si>
    <t>Increasing vertical mixing to reduce Southern Ocean deep convection in NEMO3.4</t>
  </si>
  <si>
    <t>Geoscientific Model Development</t>
  </si>
  <si>
    <t>KIEL CLIMATE MODEL; WEDDELL POLYNYA; NORTH-ATLANTIC; SENSITIVITY; SEA; REPRESENTATION</t>
  </si>
  <si>
    <t>Most CMIP5 (Coupled Model Intercomparison Project Phase 5) models unrealistically form Antarctic Bottom Water by open ocean deep convection in the Weddell and Ross seas. To identify the mechanisms triggering Southern Ocean deep convection in models, we perform sensitivity experiments on the ocean model NEMO3.4 forced by prescribed atmospheric fluxes. We vary the vertical velocity scale of the Langmuir turbulence, the fraction of turbulent kinetic energy transferred below the mixed layer, and the background diffusivity and run short simulations from 1980. All experiments exhibit deep convection in the Riiser-Larsen Sea in 1987; the origin is a positive sea ice anomaly in 1985, causing a shallow anomaly in mixed layer depth, hence anomalously warm surface waters and subsequent polynya opening. Modifying the vertical mixing impacts both the climatological state and the associated surface anomalies. The experiments with enhanced mixing exhibit colder surface waters and reduced deep convection. The experiments with decreased mixing give warmer surface waters, open larger polynyas causing more saline surface waters and have deep convection across the Weddell Sea until the simulations end. Extended experiments reveal an increase in the Drake Passage transport of 4 Sv each year deep convection occurs, leading to an unrealistically large transport at the end of the simulation. North Atlantic deep convection is not significantly affected by the changes in mixing parameters. As new climate model overflow parameterisations are developed to form Antarctic Bottom Water more realistically, we argue that models would benefit from stopping Southern Ocean deep convection, for example by increasing their vertical mixing.</t>
  </si>
  <si>
    <t>[Heuze, C.; Stevens, D. P.; Heywood, K. J.] Univ E Anglia, Ctr Ocean &amp; Atmospher Sci, Norwich NR4 7TJ, Norfolk, England; [Heuze, C.; Ridley, J. K.; Calvert, D.] Hadley Ctr, Met Off, Exeter EX1 3PB, Devon, England</t>
  </si>
  <si>
    <t>University of East Anglia; Met Office - UK; Hadley Centre</t>
  </si>
  <si>
    <t>Heuzé, C (corresponding author), Univ Gothenburg, Dept Marine Sci, S-40530 Gothenburg, Sweden.</t>
  </si>
  <si>
    <t>celine.heuze@gu.se</t>
  </si>
  <si>
    <t>Heuzé, Céline/U-5058-2017; Heywood, Karen/L-1757-2016; Stevens, David/F-2509-2010</t>
  </si>
  <si>
    <t>Heuzé, Céline/0000-0002-8850-5868; Heywood, Karen/0000-0001-9859-0026; Stevens, David/0000-0002-7283-4405</t>
  </si>
  <si>
    <t>NERC Open CASE PhD studentship award; Met Office [NE/I018239/1]; Joint DECC/Defra Met Office Hadley Centre Climate Programme [GA01101]; Research and Specialist Computing Support service at the University of East Anglia, UK; Natural Environment Research Council [1093171] Funding Source: researchfish</t>
  </si>
  <si>
    <t>NERC Open CASE PhD studentship award; Met Office; Joint DECC/Defra Met Office Hadley Centre Climate Programme; Research and Specialist Computing Support service at the University of East Anglia, UK; Natural Environment Research Council(UK Research &amp; Innovation (UKRI)Natural Environment Research Council (NERC))</t>
  </si>
  <si>
    <t>This work is funded by a NERC Open CASE PhD studentship award to UEA and the Met Office (NE/I018239/1). Jeff Ridley was supported by the Joint DECC/Defra Met Office Hadley Centre Climate Programme (GA01101). The research presented in this paper was carried out on the High Performance Computing Cluster supported by the Research and Specialist Computing Support service at the University of East Anglia, UK. We acknowledge use of the MONSooN system, a collaborative facility supplied under the Joint Weather and Climate Research Programme, which is a strategic partnership between the Met Office and the Natural Environment Research Council. The authors would like to thank the two anonymous reviewers whose comments notably improved the quality of this paper.</t>
  </si>
  <si>
    <t>10.5194/gmd-8-3119-2015</t>
  </si>
  <si>
    <t>WOS:000364326200008</t>
  </si>
  <si>
    <t>Paulsen, TS; Encarnación, J; Grunow, AM; Valencia, VA; Layer, PW; Pecha, M; Stump, E; Roeske, S; Thao, S; Rasoazanamparany, C</t>
  </si>
  <si>
    <t>Paulsen, T. S.; Encarnacion, J.; Grunow, A. M.; Valencia, V. A.; Layer, P. W.; Pecha, M.; Stump, E.; Roeske, S.; Thao, S.; Rasoazanamparany, C.</t>
  </si>
  <si>
    <t>Detrital mineral ages from the Ross Supergroup, Antarctica: Implications for the Queen Maud terrane and outboard sediment provenance on the Gondwana margin</t>
  </si>
  <si>
    <t>GONDWANA RESEARCH</t>
  </si>
  <si>
    <t>Ross orogen; Detrital; Terrane; Gondwana; Antarctica</t>
  </si>
  <si>
    <t>CENTRAL TRANSANTARCTIC MOUNTAINS; SOUTHERN VICTORIA-LAND; PALEO-PACIFIC MARGIN; GLACIER AREA; PENSACOLA MOUNTAINS; DELAMERIAN OROGENY; BEARDMORE GROUP; POLAR WANDER; DEFORMATION; CONSTRAINTS</t>
  </si>
  <si>
    <t>We present new U-Pb zircon and 40Ar/39Ar muscovite isotopic data for detrital minerals from deformed sand-stones of the Ross Supergroup in the Queen Maud Mountains, Antarctica. Zircon U-Pb analyses of three samples previously assigned to the Proterozoic Beardmore Group have yielded 1230-549 Ma zircon age populations with 563 + 15/-10 Ma (Duncan Formation), 558 + 17/-15 Ma (Starshot Formation), and 550 + 11/-7 Ma (Starshot Formation) maximum depositional ages. Single-step single-grain 40Ar/39Ar ages for detrital muscovite from the &lt;= 550 Ma Starshot sample yield a strong similar to 550 Ma mode comparable to the youngest zircon age population. Detrital zircon U-Pb analyses of four early Paleozoic Liv Group samples yielded 1725-488 Ma zircon age populations, with 559 + 8/-7 Ma (Taylor Formation), 509 + 9/-8 Ma (Henson Marble Member, Fairweather Formation), 504 + 6/-6 Ma (Fairweather Formation), and 502 + 16/-16 Ma (Greenlee Formation) maximum depositional ages. The younger suite of these maximum depositional ages provides new evidence for Cambrian deposition and subsequent deformation along this sector of the orogen. The age populations are consistent with the erosion and transport of sediment primarily derived from late Mesoproterozoic-early Neoproterozoic and middle Neoproterozoic-Early Ordovician-aged Gondwana sources, with zircon U/Th ratios primarily pointing to magmatic parent rocks. A regional comparative analysis of detrital zircon data indicates that inboard stratigraphic successions and those located outboard of the East Antarctic craton margin have similar age populations, an observation that challenges the notion that the outboard successions form part of an exotic terrane (the Queen Maud terrane) that docked with Gondwana during the Ross orogeny. The similar provenance signatures of sandstones from these areas and their affinity to Gondwanan sources provide important new evidence that places these areas in relative proximity to each other and within the peri-Gondwana realm during the latest Neoproterozoic to Cambrian. (C) 2014 International Association for Gondwana Research. Published by Elsevier B.V. All rights reserved.</t>
  </si>
  <si>
    <t>[Paulsen, T. S.; Thao, S.] Univ Wisconsin, Dept Geol, 800 Algoma Blvd, Oshkosh, WI 54901 USA; [Encarnacion, J.; Rasoazanamparany, C.] St Louis Univ, Dept Earth &amp; Atmospher Sci, St Louis, MO 63108 USA; [Grunow, A. M.] Ohio State Univ, Byrd Polar Res Ctr, Columbus, OH 43210 USA; [Valencia, V. A.] Washington State Univ, Sch Environm, Pullman, WA 99164 USA; [Layer, P. W.] Univ Alaska Fairbanks, Inst Geophys, Coll Nat Sci &amp; Math, Fairbanks, AK 99775 USA; [Pecha, M.] Univ Arizona, Dept Geosci, Tucson, AZ 85721 USA; [Stump, E.] Arizona State Univ, Sch Earth &amp; Space Explorat, Tempe, AZ 85287 USA; [Roeske, S.] Univ Calif Davis, Dept Geol, Davis, CA 95616 USA</t>
  </si>
  <si>
    <t>University of Wisconsin System; Saint Louis University; University System of Ohio; Ohio State University; Washington State University; University of Alaska System; University of Alaska Fairbanks; University of Arizona; Arizona State University; Arizona State University-Tempe; University of California System; University of California Davis</t>
  </si>
  <si>
    <t>Paulsen, TS (corresponding author), Univ Wisconsin, Dept Geol, 800 Algoma Blvd, Oshkosh, WI 54901 USA.</t>
  </si>
  <si>
    <t>paulsen@uwosh.edu</t>
  </si>
  <si>
    <t>Layer, Paul W/F-5465-2010; Grunow, Anne/F-7844-2017</t>
  </si>
  <si>
    <t>Grunow, Anne/0000-0002-1655-0424</t>
  </si>
  <si>
    <t>NSF [OPP-9317673, OPP-0835480, OPP-9726104]; EAA/CR Meyer Endowed Professorship; UW Oshkosh FDP small grant; UW Oshkosh under-graduate/faculty small grant; National Science Foundation [EAR-0443387, EAR-1032156]; United States National Science Foundation, Office of Polar Programs; Division Of Earth Sciences; Directorate For Geosciences [1338583] Funding Source: National Science Foundation</t>
  </si>
  <si>
    <t>NSF(National Science Foundation (NSF)); EAA/CR Meyer Endowed Professorship; UW Oshkosh FDP small grant; UW Oshkosh under-graduate/faculty small grant; National Science Foundation(National Science Foundation (NSF)); United States National Science Foundation, Office of Polar Programs(National Science Foundation (NSF)); Division Of Earth Sciences; Directorate For Geosciences(National Science Foundation (NSF)NSF - Directorate for Geosciences (GEO))</t>
  </si>
  <si>
    <t>This work was funded by NSF grant OPP-9317673 to A. Grunow, NSF grant OPP-0835480 to T. Paulsen, NSF grant OPP-9726104 to J. Encarnacion, the EAA/CR Meyer Endowed Professorship to T. Paulsen, a UW Oshkosh FDP small grant T. Paulsen, and a UW Oshkosh under-graduate/faculty small grant to T. Paulsen and C. LeNoble. We thank Alan Cooper, John Veevers, and Alan Collins for helpful reviews that improved this manuscript. Christie Demosthenous provided reviews that clarified drafts of this manuscript and Jeff Benowitz assisted with the 40Ar/39Ar data interpretation. We thank Mike Roberts for his assistance in the field. The Arizona LaserChron Center is supported by National Science Foundation Grant EAR-0443387 and EAR-1032156. This research used five rock samples and/or data provided by the Polar Rock Repository, which is sponsored by the United States National Science Foundation, Office of Polar Programs.</t>
  </si>
  <si>
    <t>1342-937X</t>
  </si>
  <si>
    <t>1878-0571</t>
  </si>
  <si>
    <t>GONDWANA RES</t>
  </si>
  <si>
    <t>Gondwana Res.</t>
  </si>
  <si>
    <t>10.1016/j.gr.2013.10.006</t>
  </si>
  <si>
    <t>AU7UF</t>
  </si>
  <si>
    <t>WOS:000345805800018</t>
  </si>
  <si>
    <t>Yokoyama, Y; Esat, TM</t>
  </si>
  <si>
    <t>Shennan, I; Long, AJ; Horton, BP</t>
  </si>
  <si>
    <t>Yokoyama, Yusuke; Esat, Tezer M.</t>
  </si>
  <si>
    <t>Coral reefs</t>
  </si>
  <si>
    <t>HANDBOOK OF SEA-LEVEL RESEARCH</t>
  </si>
  <si>
    <t>SEA-LEVEL CHANGES; LAST GLACIAL MAXIMUM; GREAT-BARRIER-REEF; MID-PACIFIC ISLAND; ANTARCTIC ICE-SHEET; IODP EXPEDITION 310; PAPUA-NEW-GUINEA; HUON-PENINSULA; ENVIRONMENTAL-CHANGES; CONTINUOUS RECORD</t>
  </si>
  <si>
    <t>[Yokoyama, Yusuke] Univ Tokyo, Atmosphere &amp; Ocean Res Inst, Chiba, Japan; [Yokoyama, Yusuke] Univ Tokyo, Dept Earth &amp; Planetary Sci, Tokyo, Japan; [Yokoyama, Yusuke] Japan Agcy Marine Earth Sci &amp; Technol Org, Dept Biogeosci, Yokosuka, Kanagawa, Japan; [Esat, Tezer M.] Australian Nucl Sci &amp; Technol Org, Inst Environm Res, Kirrawee, Australia; [Esat, Tezer M.] Australian Natl Univ, Res Sch Earth Sci, Canberra, ACT, Australia; [Esat, Tezer M.] Australian Natl Univ, Res Sch Phys Sci &amp; Engn, Canberra, ACT, Australia</t>
  </si>
  <si>
    <t>University of Tokyo; University of Tokyo; Australian Nuclear Science &amp; Technology Organisation; Australian National University; Australian National University</t>
  </si>
  <si>
    <t>Yokoyama, Y (corresponding author), Univ Tokyo, Atmosphere &amp; Ocean Res Inst, Chiba, Japan.</t>
  </si>
  <si>
    <t>yokoyama@aori.u-tokyo.ac.jp; tezer.esat@anu.edu.au</t>
  </si>
  <si>
    <t>Yokoyama, Yusuke/0000-0001-7869-5891</t>
  </si>
  <si>
    <t>JOHN WILEY &amp; SONS LTD</t>
  </si>
  <si>
    <t>CHICHESTER</t>
  </si>
  <si>
    <t>THE ATRIUM, SOUTHERN GATE, CHICHESTER PO19 8SQ, WEST SUSSEX, ENGLAND</t>
  </si>
  <si>
    <t>978-1-118-45254-7; 978-1-118-45258-5</t>
  </si>
  <si>
    <t>10.1002/9781118452547</t>
  </si>
  <si>
    <t>Environmental Sciences; Oceanography</t>
  </si>
  <si>
    <t>Environmental Sciences &amp; Ecology; Oceanography</t>
  </si>
  <si>
    <t>BN0OJ</t>
  </si>
  <si>
    <t>WOS:000473288300008</t>
  </si>
  <si>
    <t>Moura, AE; Kenny, JG; Chaudhuri, RR; Hughes, MA; Reisinger, RR; de Bruyn, PJN; Dahlheim, ME; Hall, N; Hoelzel, AR</t>
  </si>
  <si>
    <t>Moura, A. E.; Kenny, J. G.; Chaudhuri, R. R.; Hughes, M. A.; Reisinger, R. R.; de Bruyn, P. J. N.; Dahlheim, M. E.; Hall, N.; Hoelzel, A. R.</t>
  </si>
  <si>
    <t>Phylogenomics of the killer whale indicates ecotype divergence in sympatry</t>
  </si>
  <si>
    <t>HEREDITY</t>
  </si>
  <si>
    <t>DISPERSAL-VICARIANCE ANALYSIS; EASTERN NORTH PACIFIC; ORCINUS-ORCA; GENETIC DIFFERENTIATION; POPULATION-STRUCTURE; HABITAT PREFERENCE; GENOME; SUBSTITUTION; SPECIATION; DISCOVERY</t>
  </si>
  <si>
    <t>For many highly mobile species, the marine environment presents few obvious barriers to gene flow. Even so, there is considerable diversity within and among species, referred to by some as the 'marine speciation paradox'. The recent and diverse radiation of delphinid cetaceans (dolphins) represents a good example of this. Delphinids are capable of extensive dispersion and yet many show fine-scale genetic differentiation among populations. Proposed mechanisms include the division and isolation of populations based on habitat dependence and resource specializations, and habitat release or changing dispersal corridors during glacial cycles. Here we use a phylogenomic approach to investigate the origin of differentiated sympatric populations of killer whales (Orcinus orca). Killer whales show strong specialization on prey choice in populations of stable matrifocal social groups (ecotypes), associated with genetic and phenotypic differentiation. Our data suggest evolution in sympatry among populations of resource specialists.</t>
  </si>
  <si>
    <t>[Moura, A. E.; Hoelzel, A. R.] Univ Durham, Sch Biol &amp; Biomed Sci, Durham DH1 3LE, England; [Kenny, J. G.; Chaudhuri, R. R.; Hughes, M. A.; Hall, N.] Univ Liverpool, Inst Integrat Biol, Dept Funct &amp; Comparat Genom, Liverpool L69 3BX, Merseyside, England; [Reisinger, R. R.; de Bruyn, P. J. N.] Univ Pretoria, Mammal Res Inst, Dept Zool &amp; Entomol, ZA-0002 Pretoria, South Africa; [Dahlheim, M. E.] NOAA, Natl Marine Fisheries Serv, Natl Marine Mammal Lab, Seattle, WA 98115 USA</t>
  </si>
  <si>
    <t>Durham University; University of Liverpool; University of Pretoria; National Oceanic Atmospheric Admin (NOAA) - USA</t>
  </si>
  <si>
    <t>Hoelzel, AR (corresponding author), Univ Durham, Sch Biol &amp; Biomed Sci, South Rd, Durham DH1 3LE, England.</t>
  </si>
  <si>
    <t>a.r.hoelzel@dur.ac.uk</t>
  </si>
  <si>
    <t>Reisinger, Ryan R/D-6151-2014; Kenny, John/HCI-1952-2022; de Bruyn, P. J. Nico/E-4176-2010; Chaudhuri, Roy/E-3774-2014; Moura, Andre/AAQ-8377-2020; Hall, Neil/A-8717-2013; Moura, Andre/B-2673-2019</t>
  </si>
  <si>
    <t>Reisinger, Ryan R/0000-0002-8933-6875; Kenny, John/0000-0003-2994-6169; de Bruyn, P. J. Nico/0000-0002-9114-9569; Chaudhuri, Roy/0000-0001-5037-2695; Moura, Andre/0000-0003-2140-0196; Hall, Neil/0000-0003-2808-0009</t>
  </si>
  <si>
    <t>Natural Environment Research Council UK [NE/014443/1]; Department of Science and Technology; MRC [MR/K002279/1] Funding Source: UKRI; NERC [NBAF010002, NE/J014443/1] Funding Source: UKRI; Medical Research Council [MR/K002279/1] Funding Source: researchfish; Natural Environment Research Council [NBAF010002, NE/J014443/1] Funding Source: researchfish</t>
  </si>
  <si>
    <t>Natural Environment Research Council UK(UK Research &amp; Innovation (UKRI)Natural Environment Research Council (NERC)); Department of Science and Technology(Department of Science &amp; Technology (India)); MRC(UK Research &amp; Innovation (UKRI)Medical Research Council UK (MRC)); NERC(UK Research &amp; Innovation (UKRI)Natural Environment Research Council (NERC)); Medical Research Council(UK Research &amp; Innovation (UKRI)Medical Research Council UK (MRC)); Natural Environment Research Council(UK Research &amp; Innovation (UKRI)Natural Environment Research Council (NERC))</t>
  </si>
  <si>
    <t>We thank Howard Gray for providing primer sequences for the amplification of mitochondrial DNA, and Charlene Janse van Rensburg and Colin Nicholson for labwork associated with DNA extraction and archiving. This study was funded by the Natural Environment Research Council UK (grant number NE/014443/1). We thank the South African Department of Environmental Affairs for providing logistical support within the South African National Antarctic Programme and the Department of Science and Technology (administered through the South African National Research Foundation) for funding the marine mammal monitoring programme at Marion Island.</t>
  </si>
  <si>
    <t>SPRINGERNATURE</t>
  </si>
  <si>
    <t>CAMPUS, 4 CRINAN ST, LONDON, N1 9XW, ENGLAND</t>
  </si>
  <si>
    <t>0018-067X</t>
  </si>
  <si>
    <t>1365-2540</t>
  </si>
  <si>
    <t>Heredity</t>
  </si>
  <si>
    <t>10.1038/hdy.2014.67</t>
  </si>
  <si>
    <t>Ecology; Evolutionary Biology; Genetics &amp; Heredity</t>
  </si>
  <si>
    <t>Environmental Sciences &amp; Ecology; Evolutionary Biology; Genetics &amp; Heredity</t>
  </si>
  <si>
    <t>AW2XM</t>
  </si>
  <si>
    <t>Green Published, Green Accepted, Green Submitted, Bronze</t>
  </si>
  <si>
    <t>WOS:000346150000006</t>
  </si>
  <si>
    <t>Schillings, P</t>
  </si>
  <si>
    <t>Schillings, Pascal</t>
  </si>
  <si>
    <t>First at the South Pole. The Production of Geographical 'Matters of Fact' during the Norwegian Antarctic Expedition, 1910-12</t>
  </si>
  <si>
    <t>Antarctic exploration; epistemic strategies; geography in the making; 'matters of fact'; Roald Amundsen</t>
  </si>
  <si>
    <t>Als erste am Sudpol. Die Produktion geographischer Fakten wahrend der norwegischen Antarktisexpedition, 1910-12. This article seeks to open a so-called black box. It asks how the information that Roald Amundsen reached the South Pole in December 1911 became accepted as a 'matter of fact' that found its way into most overviews of the 19th century. To open this black box, the article examines the techniques and strategies that the Norwegian Antarctic expedition of 1910 to 1912 applied to produce its data. It argues that the Norwegian expedition applied at least three different techniques: Optical instruments were used to come as close to the pole as possible and encircle it; landmarks were left around the pole to turn the British expedition that followed the Norwegians at the pole into eye-witnesses; in Europe, the tables of geographical data that Amundsen had noted in his journal were recalculated to affirm its accuracy. Two observations follow from the focus on the expedition's practices: Firstly, the Antarctic landscape and its climate were vital actors in the production of geographical data in the Antarctic. Secondly, the Norwegian strategy was markedly more defensive than the black-boxed sentence about its presence at the pole suggests: It relied on a combination of techniques to ascertain, and aimed at proximity rather than a claim to have been at the pole.</t>
  </si>
  <si>
    <t>Univ Cologne, Dept Hist, D-50923 Cologne, Germany</t>
  </si>
  <si>
    <t>University of Cologne</t>
  </si>
  <si>
    <t>Schillings, P (corresponding author), Univ Cologne, Dept Hist, Albertus Magnus Pl, D-50923 Cologne, Germany.</t>
  </si>
  <si>
    <t>pascal.schillings@uni-koeln.de</t>
  </si>
  <si>
    <t>10.12759/hsr.40.2015.1.219-238</t>
  </si>
  <si>
    <t>CB7LL</t>
  </si>
  <si>
    <t>WOS:000349808800013</t>
  </si>
  <si>
    <t>Pabis, K; Kedra, M; Gromisz, S</t>
  </si>
  <si>
    <t>Pabis, Krzysztof; Kedra, Monika; Gromisz, Slawomira</t>
  </si>
  <si>
    <t>Distinct or similar? Soft bottom polychaete diversity in Arctic and Antarctic glacial fjords</t>
  </si>
  <si>
    <t>HYDROBIOLOGIA</t>
  </si>
  <si>
    <t>Polychaeta; Fjords; Polar regions; Diversity; Svalbard; South Shetland Islands</t>
  </si>
  <si>
    <t>LOWER TAXONOMIC RESOLUTION; SOUTH SHETLAND ISLANDS; SPECIES-DIVERSITY; DISTRIBUTION PATTERNS; BENTHIC COMMUNITIES; DEEP-SEA; MARINE; SHELF; BIODIVERSITY; ABUNDANCE</t>
  </si>
  <si>
    <t>The main aim of this study was to compare the polychaete communities in two similar polar areas: an Arctic fjord, Hornsund (Svalbard) and an Antarctic fjord, Ezcurra Inlet (South Shetlands). This is the first attempt to compare Arctic and Antarctic diversity based on fully comparable datasets. Forty van Veen grab samples were collected in each fjord: twenty replicates were taken in each of two fjord areas characterized by a different level of glacial disturbance-in the inner (glacial bay) and outer (fjord mouth) region of both fjords, from depths of about 100 m in 2005 (Hornsund) and in 2007 (Ezcurra Inlet). In the glacial bays, species richness and diversity were significantly higher in Ezcurra Inlet than in Hornsund due to higher rate of glacial disturbance in the latter one. In the outer areas, species richness was similar in both fjords, although diversity values were higher in Ezcurra Inlet. Polychaete species richness in the habitats characterized by similar level of disturbance (outer areas of the fjords) was the same in both polar regions. At this small scale, where community drivers are very similar, the species richness seems to be independent from the local or regional species pool.</t>
  </si>
  <si>
    <t>[Pabis, Krzysztof] Univ Lodz, Lab Polar Biol &amp; Oceanobiol, PL-90237 Lodz, Poland; [Kedra, Monika] Inst Oceanol Polish Acad Sci IOPAN, PL-81712 Sopot, Poland; [Gromisz, Slawomira] Natl Marine Fisheries Res Inst, PL-81332 Gdynia, Poland</t>
  </si>
  <si>
    <t>University of Lodz; Polish Academy of Sciences; Institute of Oceanology of the Polish Academy of Sciences; National Marine Fisheries Research Institute</t>
  </si>
  <si>
    <t>Pabis, K (corresponding author), Univ Lodz, Lab Polar Biol &amp; Oceanobiol, Ul Banacha 12-16, PL-90237 Lodz, Poland.</t>
  </si>
  <si>
    <t>cataclysta@wp.pl</t>
  </si>
  <si>
    <t>Pabis, Krzysztof/O-8628-2017</t>
  </si>
  <si>
    <t>Pabis, Krzysztof/0000-0002-9625-3453; Kedra, Monika/0000-0002-2223-5850</t>
  </si>
  <si>
    <t>International Polar Year related project [PBZ-KBN-108/PO4/2004]; University of Lodz; Polish Ministry of Science and Higher Education [540/N-AODP/2009/0]</t>
  </si>
  <si>
    <t>International Polar Year related project; University of Lodz; Polish Ministry of Science and Higher Education(Ministry of Science and Higher Education, Poland)</t>
  </si>
  <si>
    <t>This study was supported by an International Polar Year related project (Structure, evolution, and dynamics of lithosphere, cryosphere and biosphere in European Sector of Arctic and in Antarctic No. PBZ-KBN-108/PO4/2004) to Jan Marcin Weslawski and Jacek Sicinski. K. Pabis was also partially supported from the University of Lodz internal funds, M. Kedra received financial support from the Polish Ministry of Science and Higher Education (540/N-AODP/2009/0). Many thanks to captains and crews of r/v Oceania and m/v Polar Pioneer. We also want to thank Witold Szczucinski from Adam Mickiewicz University in Poznan and Georg Schettler from Geo Forschungs-Zentrum in Potsdam for providing their unpublished data and Katarzyna Huzarska for help with sediments analysis. We would like to thank two anonymous reviewers for all comments and suggestions that helped us to improve this article.</t>
  </si>
  <si>
    <t>DORDRECHT</t>
  </si>
  <si>
    <t>VAN GODEWIJCKSTRAAT 30, 3311 GZ DORDRECHT, NETHERLANDS</t>
  </si>
  <si>
    <t>0018-8158</t>
  </si>
  <si>
    <t>1573-5117</t>
  </si>
  <si>
    <t>Hydrobiologia</t>
  </si>
  <si>
    <t>10.1007/s10750-014-1991-5</t>
  </si>
  <si>
    <t>AT0DE</t>
  </si>
  <si>
    <t>WOS:000344606400020</t>
  </si>
  <si>
    <t>Madden, RH</t>
  </si>
  <si>
    <t>Madden, R. H.</t>
  </si>
  <si>
    <t>Hypsodonty in Mammals: Evolution, Geomorphology, and the Role of Earth Surface Processes</t>
  </si>
  <si>
    <t>HYPSODONTY IN MAMMALS: EVOLUTION, GEOMORPHOLOGY, AND THE ROLE OF EARTH SURFACE PROCESSES</t>
  </si>
  <si>
    <t>Book</t>
  </si>
  <si>
    <t>MYOTRAGUS-BALEARICUS BATE; SHEEP OVIS-ARIES; LAST GLACIAL MAXIMUM; MAIN ETHIOPIAN RIFT; GOATS CAPRA-HIRCUS; NEW-SOUTH-WALES; RABBITS ORYCTOLAGUS-CUNICULUS; NORTHEAST AFRICAN VEGETATION; EOCENE-OLIGOCENE TRANSITION; ANTARCTIC MACQUARIE ISLAND</t>
  </si>
  <si>
    <t>Madden, Rob/AAC-2116-2021</t>
  </si>
  <si>
    <t>978-1-107-01293-6</t>
  </si>
  <si>
    <t>Evolutionary Biology</t>
  </si>
  <si>
    <t>BD5LZ</t>
  </si>
  <si>
    <t>WOS:000361598300012</t>
  </si>
  <si>
    <t>Gow, EA; Wiebe, KL; Fox, JW</t>
  </si>
  <si>
    <t>Gow, Elizabeth A.; Wiebe, Karen L.; Fox, James W.</t>
  </si>
  <si>
    <t>Cavity use throughout the annual cycle of a migratory woodpecker revealed by geolocators</t>
  </si>
  <si>
    <t>IBIS</t>
  </si>
  <si>
    <t>migration; roosting; tree cavities</t>
  </si>
  <si>
    <t>HOME-RANGE; SONGBIRD; HABITAT; BIRDS; SEX</t>
  </si>
  <si>
    <t>The importance of cavities as roost sites in migratory species is often unknown because it is challenging to monitor cavity use during the non-breeding period. We documented cavity use throughout the annual cycle of a woodpecker using light-level geolocators. Northern Flickers Colaptes auratus spent 63-90% of nights roosting in a cavity throughout the year, including during migration. The high frequency of year-round cavity use by Flickers suggests that cavities provide benefits beyond nest-sites. Our work highlights the potential use of geolocators to examine cavity use.</t>
  </si>
  <si>
    <t>[Gow, Elizabeth A.; Wiebe, Karen L.] Univ Saskatchewan, Dept Biol, Saskatoon, SK S7N 5E2, Canada; [Fox, James W.] British Antarctic Survey, Cambridge CB3 0ET, England</t>
  </si>
  <si>
    <t>University of Saskatchewan; UK Research &amp; Innovation (UKRI); Natural Environment Research Council (NERC); NERC British Antarctic Survey</t>
  </si>
  <si>
    <t>Gow, EA (corresponding author), Univ Saskatchewan, Dept Biol, 112 Sci Pl, Saskatoon, SK S7N 5E2, Canada.</t>
  </si>
  <si>
    <t>eliz.gow@usask.ca</t>
  </si>
  <si>
    <t>Fox, James W./0000-0002-3107-696X</t>
  </si>
  <si>
    <t>Kenneth Molson Foundation; National Sciences and Engineering Research Council of Canada; University of Saskatchewan; NERC [bas010011] Funding Source: UKRI; Natural Environment Research Council [bas010011] Funding Source: researchfish</t>
  </si>
  <si>
    <t>Kenneth Molson Foundation; National Sciences and Engineering Research Council of Canada(Natural Sciences and Engineering Research Council of Canada (NSERC)); University of Saskatchewan; NERC(UK Research &amp; Innovation (UKRI)Natural Environment Research Council (NERC)); Natural Environment Research Council(UK Research &amp; Innovation (UKRI)Natural Environment Research Council (NERC))</t>
  </si>
  <si>
    <t>We thank numerous field assistants, two anonymous reviewers, and funding from the Kenneth Molson Foundation, National Sciences and Engineering Research Council of Canada and the University of Saskatchewan.</t>
  </si>
  <si>
    <t>0019-1019</t>
  </si>
  <si>
    <t>1474-919X</t>
  </si>
  <si>
    <t>Ibis</t>
  </si>
  <si>
    <t>10.1111/ibi.12206</t>
  </si>
  <si>
    <t>AW5YU</t>
  </si>
  <si>
    <t>WOS:000346347700016</t>
  </si>
  <si>
    <t>Norman, RJ; Le Marshall, J; Rohm, W; Carter, BA; Kirchengast, G; Alexander, S; Liu, C; Zhang, K</t>
  </si>
  <si>
    <t>Norman, R. J.; Le Marshall, J.; Rohm, W.; Carter, B. A.; Kirchengast, G.; Alexander, S.; Liu, C.; Zhang, K.</t>
  </si>
  <si>
    <t>Simulating the Impact of Refractive Transverse Gradients Resulting From a Severe Troposphere Weather Event on GPS Signal Propagation</t>
  </si>
  <si>
    <t>IEEE JOURNAL OF SELECTED TOPICS IN APPLIED EARTH OBSERVATIONS AND REMOTE SENSING</t>
  </si>
  <si>
    <t>Global Positioning System; radiowave propagation; ray tracing; refractivity; severe weather</t>
  </si>
  <si>
    <t>RADIO OCCULTATION OBSERVATIONS; WATER-VAPOR; IONOSPHERE; SYSTEM; DELAYS; INDEX</t>
  </si>
  <si>
    <t>In this study, the effects of transverse refractive gradients in the ionosphere and in the lower atmosphere on GPS signal paths for both ground-based receivers and receivers on board low Earth orbital satellites are examined. A three-dimensional numerical ray tracing technique, based on geometrical optics, together with the models of the ionosphere, lower atmosphere, and magnetic field, are used to simulate GPS signal propagation. The average transverse refractive gradients were determined from a tropospheric storm event over Melbourne, Australia, on 6th of March, 2010. The traditional GPS ionospheric and atmospheric retrieval methods assume spherical stratification of the refractivity in the atmosphere and typically do not take into consideration the transverse refractivity gradients acting on the GPS signals. The transverse displacements of the GPS signal paths are calculated for both ground-based stations and for low Earth orbit radio occultation paths.</t>
  </si>
  <si>
    <t>[Norman, R. J.; Carter, B. A.; Liu, C.; Zhang, K.] RMIT Univ, Space Res Ctr, Melbourne, Vic 3001, Australia; [Le Marshall, J.] Australian Bur Meteorol, Melbourne, Vic 3001, Australia; [Rohm, W.] Wroclaw Univ Environm &amp; Life Sci, PL-50375 Wroclaw, Poland; [Kirchengast, G.] Graz Univ, Wegener Ctr Climate &amp; Global Change, A-8010 Graz, Austria; [Alexander, S.] Australian Antarctic Div, Kingston, Tas 7050, Australia</t>
  </si>
  <si>
    <t>Royal Melbourne Institute of Technology (RMIT); Melbourne Genomics Health Alliance; Bureau of Meteorology - Australia; Wroclaw University of Environmental &amp; Life Sciences; University of Graz; Australian Antarctic Division</t>
  </si>
  <si>
    <t>Zhang, K (corresponding author), RMIT Univ, Space Res Ctr, Melbourne, Vic 3001, Australia.</t>
  </si>
  <si>
    <t>robert.norman7@gmail.com; jlm@bom.gov.au; witold.rohm@igig.up.wroc.pl; brett.carter@rmit.edu.au; gottfried.kirchengast@uni-graz.at; simon.alexander@aad.gov.au; congliang.liu@rmit.edu.au; kefei.zhang@rmit.edu.au</t>
  </si>
  <si>
    <t>zhang, ke/AAH-8217-2019; Rohm, Witold/E-6233-2013; Kirchengast, Gottfried/D-4990-2016; Rohm, Witold/AAV-1648-2020; Zhang, Kefei/R-5239-2019; Carter, Brett/J-2224-2012</t>
  </si>
  <si>
    <t>Rohm, Witold/0000-0002-2082-6366; Kirchengast, Gottfried/0000-0001-9187-937X; Rohm, Witold/0000-0002-2082-6366; Carter, Brett/0000-0003-4881-3345; Alexander, Simon/0000-0001-6823-8857; Norman, Robert/0000-0001-8306-9588</t>
  </si>
  <si>
    <t>Australian Space Research Program (ASRP) project: Platform Technologies for Space, Atmosphere and Climate; Australian Antarctic Service (AAS) program [4159]; Australian Government-Victorian Natural Disaster Resilience Grant Scheme (NDRGS) project Strengthening Severe Weather Prediction Using the Advanced Victorian Regional Global Navigation Satellite Systems; [ARC-LP0883228]</t>
  </si>
  <si>
    <t>Australian Space Research Program (ASRP) project: Platform Technologies for Space, Atmosphere and Climate; Australian Antarctic Service (AAS) program; Australian Government-Victorian Natural Disaster Resilience Grant Scheme (NDRGS) project Strengthening Severe Weather Prediction Using the Advanced Victorian Regional Global Navigation Satellite Systems;</t>
  </si>
  <si>
    <t>Manuscript received June 18, 2014; accepted July 13, 2014. Date of publication September 03, 2014; date of current version February 04, 2015. This work was supported in part by the Australian Space Research Program (ASRP) project: Platform Technologies for Space, Atmosphere and Climate; in part by the ARC-LP0883228: Satellite-Based Radio Occultation for Atmospheric Sounding, Weather Forecasting and climate monitoring in the Australian Region; in part by the Australian Antarctic Service (AAS) program under project no. 4159: GPS Radio Occultation for studying the Antarctic Atmosphere and Climate Analysis; and in part by the Australian Government-Victorian Natural Disaster Resilience Grant Scheme (NDRGS) project Strengthening Severe Weather Prediction Using the Advanced Victorian Regional Global Navigation Satellite Systems. (Corresponding author: Kefei Zhang.)</t>
  </si>
  <si>
    <t>IEEE-INST ELECTRICAL ELECTRONICS ENGINEERS INC</t>
  </si>
  <si>
    <t>PISCATAWAY</t>
  </si>
  <si>
    <t>445 HOES LANE, PISCATAWAY, NJ 08855-4141 USA</t>
  </si>
  <si>
    <t>1939-1404</t>
  </si>
  <si>
    <t>2151-1535</t>
  </si>
  <si>
    <t>IEEE J-STARS</t>
  </si>
  <si>
    <t>IEEE J. Sel. Top. Appl. Earth Observ. Remote Sens.</t>
  </si>
  <si>
    <t>10.1109/JSTARS.2014.2344091</t>
  </si>
  <si>
    <t>Engineering, Electrical &amp; Electronic; Geography, Physical; Remote Sensing; Imaging Science &amp; Photographic Technology</t>
  </si>
  <si>
    <t>Engineering; Physical Geography; Remote Sensing; Imaging Science &amp; Photographic Technology</t>
  </si>
  <si>
    <t>CB3TB</t>
  </si>
  <si>
    <t>WOS:000349550400039</t>
  </si>
  <si>
    <t>Giuliani, M; Parrilli, E; Sannino, F; Apuzzo, G; Marino, G; Tutino, ML</t>
  </si>
  <si>
    <t>GarciaFruitos, E</t>
  </si>
  <si>
    <t>Giuliani, Maria; Parrilli, Ermenegilda; Sannino, Filomena; Apuzzo, Gennaro; Marino, Gennaro; Tutino, Maria Luisa</t>
  </si>
  <si>
    <t>Soluble Recombinant Protein Production in Pseudoalteromonas haloplanktis TAC125</t>
  </si>
  <si>
    <t>INSOLUBLE PROTEINS: METHODS AND PROTOCOLS</t>
  </si>
  <si>
    <t>Methods in Molecular Biology</t>
  </si>
  <si>
    <t>Pseudoalteromonas haloplanktis TAC125; VHHD6.1; Psychrophilic gene expression system; LIV medium; Batch fermentation</t>
  </si>
  <si>
    <t>ANTARCTIC BACTERIUM; ANTIBODY FRAGMENTS; EXPRESSION; COLD; CONSTRUCTION; CLONING; SYSTEM</t>
  </si>
  <si>
    <t>Solubility/activity issues are often experienced when immunoglobulin fragments are produced in conventional microbial cell factories. Although several experimental approaches have been followed to solve, or at least minimize, the accumulation of the recombinant proteins into insoluble aggregates, sometimes the only alternative strategy is changing the protein production platform. In this chapter we describe the use of Antarctic bacterium Pseudoalteromonas haloplanktis TAC125 as host of choice for the production of the heavy-chain antibody fragment VHHD6.1. Combining the use of a regulated psychrophilic gene expression system with an optimized fermentation process in defined growth medium, we obtained the recombinant VHHD6.1 in fully soluble form and correctly translocated into host periplasmic space.</t>
  </si>
  <si>
    <t>[Giuliani, Maria; Parrilli, Ermenegilda; Sannino, Filomena; Apuzzo, Gennaro; Marino, Gennaro; Tutino, Maria Luisa] Univ Naples Federico II, Dept Chem Sci, Naples, Italy; [Giuliani, Maria] Novartis Vaccines &amp; Diagnost, Siena, Italy; [Parrilli, Ermenegilda; Sannino, Filomena; Apuzzo, Gennaro; Marino, Gennaro; Tutino, Maria Luisa] CNR, Inst Prot Biochem, Naples, Italy</t>
  </si>
  <si>
    <t>University of Naples Federico II; Novartis; Consiglio Nazionale delle Ricerche (CNR); Istituto di Biochimica delle Proteine (IBP-CNR)</t>
  </si>
  <si>
    <t>Giuliani, M (corresponding author), Univ Naples Federico II, Dept Chem Sci, Naples, Italy.</t>
  </si>
  <si>
    <t>parrilli, ermenegilda/K-4616-2016; parrilli, ermenegilda/JAZ-0586-2023; TUTINO, MARIA LUISA/L-1834-2013</t>
  </si>
  <si>
    <t>parrilli, ermenegilda/0000-0002-9002-5409; Sannino, Filomena/0000-0002-3013-8321; Tutino, Maria Luisa/0000-0002-4978-6839</t>
  </si>
  <si>
    <t>HUMANA PRESS INC</t>
  </si>
  <si>
    <t>TOTOWA</t>
  </si>
  <si>
    <t>999 RIVERVIEW DR, STE 208, TOTOWA, NJ 07512-1165 USA</t>
  </si>
  <si>
    <t>1064-3745</t>
  </si>
  <si>
    <t>1940-6029</t>
  </si>
  <si>
    <t>978-1-4939-2205-5; 978-1-4939-2204-8</t>
  </si>
  <si>
    <t>METHODS MOL BIOL</t>
  </si>
  <si>
    <t>Methods Mol. Biol.</t>
  </si>
  <si>
    <t>10.1007/978-1-4939-2205-5_13</t>
  </si>
  <si>
    <t>10.1007/978-1-4939-2205-5</t>
  </si>
  <si>
    <t>Biochemical Research Methods; Biochemistry &amp; Molecular Biology</t>
  </si>
  <si>
    <t>Biochemistry &amp; Molecular Biology</t>
  </si>
  <si>
    <t>BC1TD</t>
  </si>
  <si>
    <t>WOS:000350415600014</t>
  </si>
  <si>
    <t>Mohanty, S</t>
  </si>
  <si>
    <t>Mohanty, S.</t>
  </si>
  <si>
    <t>Precambrian continent assembly and dispersal events of South Indian and East Antarctic Shields</t>
  </si>
  <si>
    <t>INTERNATIONAL GEOLOGY REVIEW</t>
  </si>
  <si>
    <t>Precambrian geology; tectonics; continental reconstructions; palaeomagnetism; dike swarms; Rodinia; Eastern Ghats; Rayner orogeny; Napier Complex; Vestfold Hills; Yilgarn craton</t>
  </si>
  <si>
    <t>PRINCE-CHARLES-MOUNTAINS; U-PB GEOCHRONOLOGY; HIGH-TEMPERATURE METAMORPHISM; GHATS GRANULITE BELT; AUSTRALIA-LAURENTIA CONNECTION; FACIES KIMBERLITE SYSTEM; KOLAR SCHIST BELT; MT. RIISER-LARSEN; MAFIC DYKE SWARM; PRYDZ BAY AREA</t>
  </si>
  <si>
    <t>An Archaean continent 'SIWA', an acronym for South India-Western Australia, comprising the Bastar-Dharwar craton, the Yilgarn craton, the Napier Complex, and the Vestfold Hills has been identified from palaeomagnetic and spatio-temporal data. This assembly was dispersed in three phases with the development of the proto-Indian ocean. The first and second events similar to 2350 and similar to 2000 Ma were related to the separation of the Yilgarn craton and the Napier Complex, respectively, to form a proto-Indo-Antarctic ocean and the Cuddapah basin. The proto-ocean was closed similar to 1650 Ma by the collision of the Lambert Terrane of East Antarctica and the Bastar-Dharwar craton. This collision, associated with ultra-high temperature (UHT) granulite facies metamorphism, is identified in the southern domain of the Eastern Ghats and the Oygardens domain of East Antarctica. The third extensional event between 1500 and 1200 Ma was associated with the separation of the Vestfold Hills block and a second phase of opening of the proto-Indian ocean, and the development of a series of basins on the western side of the Eastern Ghats (the Chhatisgarh, Khariar, Ampani, Indravati, and Sabari basins). The closing of this ocean basin during the Eastern Ghats-Rayner orogeny at similar to 950 Ma was related to the amalgamation of India and East Antarctica to form the supercontinent Rodinia. During the Neoproterozoic, this part of Rodinia was involved in orogenic collapse/extension and deposition of the Sodruzhesvo Group. The Pan-African Prydz Bay orogeny at similar to 550 Ma caused the closing of the basin to form East Gondwanaland.</t>
  </si>
  <si>
    <t>[Mohanty, S.] Indian Sch Mines, Dept Appl Geol, Dhanbad 826004, Bihar, India</t>
  </si>
  <si>
    <t>Indian Institute of Technology System (IIT System); Indian Institute of Technology (Indian School of Mines) Dhanbad</t>
  </si>
  <si>
    <t>Mohanty, S (corresponding author), Indian Sch Mines, Dept Appl Geol, Dhanbad 826004, Bihar, India.</t>
  </si>
  <si>
    <t>mohantysp@yahoo.com</t>
  </si>
  <si>
    <t>Mohanty, Sarada Prasad/E-5734-2019</t>
  </si>
  <si>
    <t>Mohanty, Sarada Prasad/0000-0003-0397-8744</t>
  </si>
  <si>
    <t>ISM, Dhanbad</t>
  </si>
  <si>
    <t>The author acknowledges receiving funds from ISM, Dhanbad, for partial expenses to attend the 11th International Symposium on Antarctic Earth Sciences, Edinburgh. The palaeomagnetic reconstructions were carried out using GMAP 2005 and the age spectra were prepared using Isoplot 3 software. Critical reviews by S. Boger and an anonymous reviewer helped in updating some of the data and improving the content of the paper.</t>
  </si>
  <si>
    <t>TAYLOR &amp; FRANCIS INC</t>
  </si>
  <si>
    <t>PHILADELPHIA</t>
  </si>
  <si>
    <t>530 WALNUT STREET, STE 850, PHILADELPHIA, PA 19106 USA</t>
  </si>
  <si>
    <t>0020-6814</t>
  </si>
  <si>
    <t>1938-2839</t>
  </si>
  <si>
    <t>INT GEOL REV</t>
  </si>
  <si>
    <t>Int. Geol. Rev.</t>
  </si>
  <si>
    <t>10.1080/00206814.2015.1048751</t>
  </si>
  <si>
    <t>DM8JR</t>
  </si>
  <si>
    <t>WOS:000376608800002</t>
  </si>
  <si>
    <t>Baek, K; Lee, YM; Hwang, CY; Park, H; Jung, YJ; Kim, MK; Hong, SG; Kim, JH; Lee, HK</t>
  </si>
  <si>
    <t>Baek, Kiwoon; Lee, Yung Mi; Hwang, Chung Yeon; Park, Hyun; Jung, You-Jung; Kim, Mi-Kyeong; Hong, Soon Gyu; Kim, Ji Hee; Lee, Hong Kum</t>
  </si>
  <si>
    <t>Psychroserpens jangbogonensis sp nov., a psychrophilic bacterium isolated from Antarctic marine sediment</t>
  </si>
  <si>
    <t>INTERNATIONAL JOURNAL OF SYSTEMATIC AND EVOLUTIONARY MICROBIOLOGY</t>
  </si>
  <si>
    <t>DNA-DNA HYBRIDIZATION; FLAVOBACTERIACEAE; FAMILY; POLAR</t>
  </si>
  <si>
    <t>A Gram-staining-negative, yellow-pigmented, aerobic, rod-shaped and non-motile bacterium, PAMC 27130(T), was isolated from the marine sediment of the Ross Sea, Antarctica. The temperature, pH and NaCl tolerance ranges for growth were 4-20 degrees C, pH 6.0-9.0 and 0.5-5.0% (w/v) NaCl, respectively. Phylogenetic analysis based on 16S rRNA gene sequences showed that strain PAMC 27130(T) belonged to the genus Psychroserpens and was closely related to Psychroserpens mesophilus, Psychroserpens damuponensis and Psychroserp ens burtonensis with 97.2, 94.7 and 94.2% sequence similarities, respectively. Genomic relatedness analyses based on average nucleotide identity and genome-to-genome distance showed that strain PAMC 27130(T) could be clearly distinguished from other species of the genus Psychroserpens. The genomic DNA G+C content was 32.7 mol%. The major fatty acids (&gt;10%) were C-20:4 omega 6c (13.2%), iso-C-15:0 (12.3%), iso-C-15:1 G (11.7%) and iso-C-15:0 3-OH (10.0%). The major respiratory isoprenoid quinone was menaquinone-6 (MK-6) and the polar lipids were phosphatidylethanolamine, two unidentified aminolipids, an unidentified phospholipid, an unidentified aminophospholipid and three unidentified lipids. On the basis of genotypic and phenotypic data collected in this study, it is proposed that strain PAMC 27130(T) represents a novel species of the genus Psychroserpens, for which the name Psychroserpens jangbogonensis sp. nov. is proposed. The type strain is PAMC 27130(T) (=KCTC 42128(T)=JCM 30228(T)).</t>
  </si>
  <si>
    <t>[Baek, Kiwoon; Lee, Yung Mi; Hwang, Chung Yeon; Park, Hyun; Jung, You-Jung; Kim, Mi-Kyeong; Hong, Soon Gyu; Kim, Ji Hee; Lee, Hong Kum] Korea Polar Res Inst, Div Polar Life Sci, Inchon 406840, South Korea; [Lee, Yung Mi] Seoul Natl Univ, Sch Biol Sci, Coll Nat Sci, Seoul 151747, South Korea</t>
  </si>
  <si>
    <t>Korea Polar Research Institute (KOPRI); Korea Institute of Ocean Science &amp; Technology (KIOST); Seoul National University (SNU)</t>
  </si>
  <si>
    <t>Lee, HK (corresponding author), Korea Polar Res Inst, Div Polar Life Sci, 26 Songdomirae Ro, Inchon 406840, South Korea.</t>
  </si>
  <si>
    <t>hklee@kopri.re.kr</t>
  </si>
  <si>
    <t>Park, Hyun/0000-0002-8055-2010; Hwang, Chung/0000-0001-9861-0197</t>
  </si>
  <si>
    <t>Korea Polar Research Institute [PM11030, PE14080]</t>
  </si>
  <si>
    <t>Korea Polar Research Institute(Korea Polar Research Institute of Marine Research Placement (KOPRI))</t>
  </si>
  <si>
    <t>We thank the crew of the R/V ARAON for their support at sea and Professor Jang-Cheon Cho (Inha University) for his help on the fatty acid analysis. This work was supported by Korea Polar Research Institute (grants PM11030 and PE14080).</t>
  </si>
  <si>
    <t>MICROBIOLOGY SOC</t>
  </si>
  <si>
    <t>14-16 MEREDITH ST, LONDON, ENGLAND</t>
  </si>
  <si>
    <t>1466-5026</t>
  </si>
  <si>
    <t>1466-5034</t>
  </si>
  <si>
    <t>INT J SYST EVOL MICR</t>
  </si>
  <si>
    <t>Int. J. Syst. Evol. Microbiol.</t>
  </si>
  <si>
    <t>10.1099/ijs.0.069740-0</t>
  </si>
  <si>
    <t>CJ3CC</t>
  </si>
  <si>
    <t>WOS:000355360000029</t>
  </si>
  <si>
    <t>Valman, M; Österblom, H; Olsson, P</t>
  </si>
  <si>
    <t>Valman, Matilda; Osterblom, Henrik; Olsson, Per</t>
  </si>
  <si>
    <t>Adaptive governance of the Baltic Sea - lessons from elsewhere</t>
  </si>
  <si>
    <t>INTERNATIONAL JOURNAL OF THE COMMONS</t>
  </si>
  <si>
    <t>Adaptive governance; Baltic Sea; ecosystem approach; HELCOM</t>
  </si>
  <si>
    <t>ECOSYSTEM-BASED MANAGEMENT; GREAT-BARRIER-REEF; MARINE ECOSYSTEM; KNOWLEDGE; COMMONS; SUSTAINABILITY; CONSERVATION; RESOURCES; EMERGENCE; FISHERIES</t>
  </si>
  <si>
    <t>Governance of marine resources is increasingly characterized by integrated, cross sectoral and ecosystem based approaches. Such approaches require that existing governing bodies have an ability to adapt to ecosystem dynamics, while also providing transparent and legitimate outcomes. Here, we investigate how the Baltic Marine Environment Protection Commission (HELCOM), the international governing body for the Baltic Sea, could improve its prospects for working with the ecosystem approach, drawing from the literature on adaptive governance. We construct an ideal type of adaptive governance to which we compare the way in which HELCOM is operating and relate these dynamics to two other international marine environment governance organizations, the Coral Triangle Initiative on Coral Reefs, Fisheries and Food Security (CTI-CFF) and the Commission for the Conservation of Antarctic Marine Living Resources (CCAMLR). We conclude that HELCOM deviates from an ideal type of adaptive governance in several ways but also that the other two case studies provide empirical support for potential ways in which HELCOM could improve its adaptive capacity. Key aspects where HELCOM could improve include increasing stakeholder participation - both in information sharing and decision making. Further, HELCOM need to develop evaluation mechanisms, secure compliance to improve adaptive capacity and organizational effectiveness, which entails the development of structures for conflict resolution. Finally, HELCOM need to increase communication and harmonization between different levels of authority.</t>
  </si>
  <si>
    <t>[Valman, Matilda; Osterblom, Henrik; Olsson, Per] Stockholm Univ, Stockholm Resilience Ctr, Stockholm, Sweden</t>
  </si>
  <si>
    <t>Stockholm University</t>
  </si>
  <si>
    <t>Valman, M (corresponding author), Stockholm Univ, Stockholm Resilience Ctr, Stockholm, Sweden.</t>
  </si>
  <si>
    <t>matilda.valman@stockholmresilience.su.se; henrik.osterblom@stockholmresilience.su.se; per.olsson@stockholmresilience.su.se</t>
  </si>
  <si>
    <t>Osterblom, Henrik G/D-4249-2012; Olsson, Per/AAE-9104-2019</t>
  </si>
  <si>
    <t>Valman, Matilda/0000-0002-7279-0123; Osterblom, Henrik/0000-0002-1913-5197; Olsson, Per/0000-0002-9038-4786</t>
  </si>
  <si>
    <t>Nippon Foundation-University of British Columbia Nereus program; Mistra; Swedish Agency for Water and Marine Management through the Baltic Nest Institute; Stockholm University strategic Baltic Ecosystem Adaptive Management Program</t>
  </si>
  <si>
    <t>This study was supported by the Nippon Foundation-University of British Columbia Nereus program, as well as by Mistra, through a core grant to the Stockholm Resilience Centre, and the Swedish Agency for Water and Marine Management through the Baltic Nest Institute. The study is also supported by the Stockholm University strategic Baltic Ecosystem Adaptive Management Program. Comments on earlier drafts by three anonymous reviewers, Ulrika Morth, Andreas Duit, Rebecca Lawrence, and Ulf Morkenstam are greatly appreciated.</t>
  </si>
  <si>
    <t>IGITUR, UTRECHT PUBLISHING &amp; ARCHIVING SERVICES</t>
  </si>
  <si>
    <t>URTRECHT</t>
  </si>
  <si>
    <t>POSTBUS 80124, URTRECHT, 3508 TC, NETHERLANDS</t>
  </si>
  <si>
    <t>1875-0281</t>
  </si>
  <si>
    <t>INT J COMMONS</t>
  </si>
  <si>
    <t>Int. J. Commons</t>
  </si>
  <si>
    <t>CE3ZE</t>
  </si>
  <si>
    <t>WOS:000351768000020</t>
  </si>
  <si>
    <t>Jabour, J</t>
  </si>
  <si>
    <t>Lalonde, S; McDorman, TL</t>
  </si>
  <si>
    <t>Jabour, Julia</t>
  </si>
  <si>
    <t>Pharand's Arctic Treaty Would an Antarctic Treaty-Style Model Work in the Arctic?</t>
  </si>
  <si>
    <t>INTERNATIONAL LAW AND POLITICS OF THE ARCTIC OCEAN: ESSAYS IN HONOR OF DONAT PHARAND</t>
  </si>
  <si>
    <t>[Jabour, Julia] Univ Tasmania, Inst Marine &amp; Antarctic Studies, Ocean &amp; Antarctic Governance Res Program, Hobart, Tas, Australia</t>
  </si>
  <si>
    <t>Jabour, J (corresponding author), Univ Tasmania, Inst Marine &amp; Antarctic Studies, Ocean &amp; Antarctic Governance Res Program, Hobart, Tas, Australia.</t>
  </si>
  <si>
    <t>BRILL NIJHOFF</t>
  </si>
  <si>
    <t>978-90-04-28459-3; 978-90-04-28458-6</t>
  </si>
  <si>
    <t>10.1163/9789004284593_005</t>
  </si>
  <si>
    <t>International Relations; Law; Political Science</t>
  </si>
  <si>
    <t>International Relations; Government &amp; Law</t>
  </si>
  <si>
    <t>BP6JS</t>
  </si>
  <si>
    <t>WOS:000559781100006</t>
  </si>
  <si>
    <t>Bittmanova, B; Vlkova, E</t>
  </si>
  <si>
    <t>ANTARTIC TREATY SYSTEM IN RELATION TO THE ENVIRONMENTAL PROTECTION LAW</t>
  </si>
  <si>
    <t>INTERNATIONAL RELATIONS 2015: CURRENT ISSUES OF WORLD ECONOMY AND POLITICS</t>
  </si>
  <si>
    <t>16th International Scientific Conference on International Relations - Current Issues of World Economy and Politics</t>
  </si>
  <si>
    <t>DEC 03-04, 2015</t>
  </si>
  <si>
    <t>Smolenice, SLOVAKIA</t>
  </si>
  <si>
    <t>Antarctica; environmental protection; CCAS; CCAMLR</t>
  </si>
  <si>
    <t>At the time of conclusion of the Antarctic Treaty, the Parties focused more on the use of Antarctic resources; the Treaty itself does not place emphasis on environmental protection. Therefore other instruments had to be adopted, which focused on the protection of individual components of the environment and not on the environmental protection as a whole - Agreed Measures for the Conservation of Antarctic Fauna and Flora (1964), the Convention on the Conservation of Antarctic Seals (1972) and the Convention on the Conservation of Antarctic Marine Living Resources (1980). The article analyzes above mentioned international conventions as part of the Antarctic Treaty system.</t>
  </si>
  <si>
    <t>[Harakal'ova, Dorota] Ekon Univ Bratislave, Fak Medzinarodnych Vztahov, Dolnozemska Cesta 1-B, Bratislava 85235, Slovakia</t>
  </si>
  <si>
    <t>Harakal'ová, D (corresponding author), Ekon Univ Bratislave, Fak Medzinarodnych Vztahov, Dolnozemska Cesta 1-B, Bratislava 85235, Slovakia.</t>
  </si>
  <si>
    <t>dorota.harakalova@gmail.com</t>
  </si>
  <si>
    <t>978-80-225-4219-7</t>
  </si>
  <si>
    <t>BI3DZ</t>
  </si>
  <si>
    <t>WOS:000410788000036</t>
  </si>
  <si>
    <t>Velasco-Castrillón, A; McInnes, SJ; Schultz, MB; Arróniz-Crespo, M; D'Haese, CA; Gibson, JAE; Adams, BJ; Page, TJ; Austin, AD; Cooper, SJB; Stevens, MI</t>
  </si>
  <si>
    <t>Velasco-Castrillon, Alejandro; McInnes, Sandra J.; Schultz, Mark B.; Arroniz-Crespo, Maria; D'Haese, Cyrille A.; Gibson, John A. E.; Adams, Byron J.; Page, Timothy J.; Austin, Andrew D.; Cooper, Steven J. B.; Stevens, Mark I.</t>
  </si>
  <si>
    <t>Mitochondrial DNA analyses reveal widespread tardigrade diversity in Antarctica</t>
  </si>
  <si>
    <t>INVERTEBRATE SYSTEMATICS</t>
  </si>
  <si>
    <t>biodiversity; biogeography; COI gene; cosmopolitan; endemic; OTUs; refugia; species delimitation; Tardigrada</t>
  </si>
  <si>
    <t>BIOLOGICAL IDENTIFICATIONS; SPECIES DELIMITATION; PHYLUM TARDIGRADA; MOLECULAR-DATA; VICTORIA LAND; EUTARDIGRADA; BIOGEOGRAPHY; MICROFAUNA; NEMATODES; ROTIFERS</t>
  </si>
  <si>
    <t>Antarctica contains some of the most challenging environmental conditions on the planet due to freezing temperatures, prolonged winters and lack of liquid water. Whereas 99.7% of Antarctica is permanently covered by ice and snow, some coastal areas and mountain ridges have remained ice-free and are able to sustain populations of microinvertebrates. Tardigrades are one of the more dominant groups of microfauna in soil and limno-terrestrial habitats, but little is known of their diversity and distribution across Antarctica. Here, we examine tardigrades sampled from across an extensive region of continental Antarctica, and analyse and compare their partial mitochondrial cytochrome c oxidase subunit 1 (COI) gene sequences with those from the Antarctic Peninsula, maritime and sub-Antarctica, Tierra del Fuego and other worldwide locations in order to recognise operational taxonomic units (OTUs). From 439 new tardigrade COI sequences, we identified 98 unique haplotypes (85 from Antarctica) belonging to Acutuncus, Diphascon, Echiniscus, Macrobiotus, Milnesium and unidentified Parachela. Operational taxonomic units were delimited by Poisson tree processes and general mixed Yule coalescent methods, resulting in 58 and 55 putative species, respectively. Most tardigrades appear to be locally endemic (i.e. restricted to a single geographic region), but some (e.g. Acutuncus antarcticus (Richters, 1904)) are widespread across continental Antarctica. Our molecular results reveal: (i) greater diversity than has previously been appreciated with distinct OTUs that potentially represent undescribed species, and (ii) a lack of connectivity between most OTUs from continental Antarctica and those from other Antarctic geographical zones.</t>
  </si>
  <si>
    <t>[Velasco-Castrillon, Alejandro; Austin, Andrew D.; Cooper, Steven J. B.] Univ Adelaide, Australian Ctr Evolutionary Biol &amp; Biodivers, Sch Biol Sci, Adelaide, SA 5005, Australia; [McInnes, Sandra J.] British Antarctic Survey, Cambridge CB3 0ET, Cambs, England; [Schultz, Mark B.] Univ Melbourne, Mol Sci &amp; Biotechnol Inst Bio21, Dept Biochem &amp; Mol Biol, Parkville, Vic 3010, Australia; [Arroniz-Crespo, Maria] Bangor Univ, Sch Environm Nat Resources &amp; Geog, Bangor LL57 2UW, Gwynedd, Wales; [D'Haese, Cyrille A.] Museum Natl Hist Nat, UMR CNRS 7205, Origine Struct &amp; Evolut Biodiversite, Dept Systemat &amp; Evolut,Entomol, F-75231 Paris 05, France; [Gibson, John A. E.] Univ Tasmania, Inst Marine &amp; Antarctic Studies, Hobart, Tas 7001, Australia; [Adams, Byron J.] Brigham Young Univ, Dept Biol &amp; Evolutionary Ecol Labs, Provo, UT 84602 USA; [Page, Timothy J.] Griffith Univ, Australian Rivers Inst, Nathan, Qld 4111, Australia; [Cooper, Steven J. B.; Stevens, Mark I.] S Australian Museum, Adelaide, SA 5000, Australia; [Stevens, Mark I.] Univ S Australia, Sch Pharm &amp; Med Sci, Adelaide, SA 5000, Australia</t>
  </si>
  <si>
    <t>University of Adelaide; UK Research &amp; Innovation (UKRI); Natural Environment Research Council (NERC); NERC British Antarctic Survey; University of Melbourne; Bangor University; Museum National d'Histoire Naturelle (MNHN); University of Tasmania; Brigham Young University; Griffith University; University of South Australia</t>
  </si>
  <si>
    <t>Velasco-Castrillón, A (corresponding author), Univ Adelaide, Australian Ctr Evolutionary Biol &amp; Biodivers, Sch Biol Sci, Adelaide, SA 5005, Australia.</t>
  </si>
  <si>
    <t>a.velascocastrillon@gmail.com</t>
  </si>
  <si>
    <t>Arróniz-Crespo, María/O-1198-2018; Cooper, Steven JB/I-6291-2012; D'HAESE, Cyrille A./D-4896-2012; Schultz, Mark B/R-1179-2019; McInnes, Sandra/AAN-4773-2020; Adams, Byron/C-3808-2009; Page, Timothy/B-9000-2008</t>
  </si>
  <si>
    <t>Arróniz-Crespo, María/0000-0003-0246-7432; Schultz, Mark B/0000-0002-7689-6531; McInnes, Sandra/0000-0003-3403-9379; Adams, Byron/0000-0002-7815-3352; Page, Timothy/0000-0002-3521-3503</t>
  </si>
  <si>
    <t>Australian Antarctic Division (ASAC) [2355]; University of Adelaide; South Australian Museum Mawson Trust; NERC [bas010011] Funding Source: UKRI; Office of Polar Programs (OPP); Directorate For Geosciences [1115245] Funding Source: National Science Foundation; Natural Environment Research Council [bas010011] Funding Source: researchfish</t>
  </si>
  <si>
    <t>Australian Antarctic Division (ASAC); University of Adelaide; South Australian Museum Mawson Trust; NERC(UK Research &amp; Innovation (UKRI)Natural Environment Research Council (NERC)); Office of Polar Programs (OPP); Directorate For Geosciences(National Science Foundation (NSF)NSF - Directorate for Geosciences (GEO)); Natural Environment Research Council(UK Research &amp; Innovation (UKRI)Natural Environment Research Council (NERC))</t>
  </si>
  <si>
    <t>We would like to thank three anonymous reviewers and Lukasz Kaczmarek for their valued feedback for improving the manuscript. This research was partly funded and supported by the Australian Antarctic Division (http://www.antarctica.gov.au/) Project (ASAC Project 2355 to MIS). We would like to thank The University of Adelaide (http://www.sciences.adelaide.edu.au/) for a PhD scholarship to AVC and the South Australian Museum Mawson Trust for providing funding for the Sir Douglas Mawson Doctoral Scholarship (http://www.samuseum.sa.gov.au/). We deeply thank the Australian Antarctic Stations' leaders and personnel who contributed to logistics and support of our field work in Antarctica. We also thank Rebecca Stonor, Maria Manjarrez, Pauline Glocke, Tanya Matic (The University of Adelaide) and Federica Colombo for their ongoing laboratory support. We also appreciate the assistance with phylogenetic packages given by Mohammad Javidkar. We are grateful to the DNA sequencing agencies BOLD and the CCDB. We would like to thank Peter Convey, Paul Geissler (British Antarctic Survey) for collecting and providing soil samples from Antarctic Peninsula, and to Allan Green, Leopoldo Sancho and Ana Pintado (Complutense University of Madrid) for supplying soil samples from TF and laboratory facilities. We are extremely grateful to Chester Sands for reviewing the paper and providing feedback, for facilitating soil samples from AP and Dronning Maud Land and for providing sequences from Ronne sector, maritime and sub-Antarctica. All samples were collected under appropriate collection permits and approved ethics guidelines.</t>
  </si>
  <si>
    <t>1445-5226</t>
  </si>
  <si>
    <t>1447-2600</t>
  </si>
  <si>
    <t>INVERTEBR SYST</t>
  </si>
  <si>
    <t>Invertebr. Syst.</t>
  </si>
  <si>
    <t>10.1071/IS14019</t>
  </si>
  <si>
    <t>Evolutionary Biology; Zoology</t>
  </si>
  <si>
    <t>CZ9WU</t>
  </si>
  <si>
    <t>WOS:000367448900003</t>
  </si>
  <si>
    <t>Mesko, MF; Picoloto, RS; Ferreira, LR; Costa, VC; Pereira, CMP; Colepicolo, P; Muller, EI; Flores, EMM</t>
  </si>
  <si>
    <t>Mesko, Marcia F.; Picoloto, Rochele S.; Ferreira, Lizangela R.; Costa, Vanize C.; Pereira, Claudio M. P.; Colepicolo, Pio; Muller, Edson I.; Flores, Erico M. M.</t>
  </si>
  <si>
    <t>Ultraviolet radiation combined with microwave-assisted wet digestion of Antarctic seaweeds for further determination of toxic elements by ICP-MS</t>
  </si>
  <si>
    <t>JOURNAL OF ANALYTICAL ATOMIC SPECTROMETRY</t>
  </si>
  <si>
    <t>PLASMA-MASS SPECTROMETRY; DILUTED NITRIC-ACID; TRACE-ELEMENTS; UV-DIGESTION; MILK POWDER; ATOMIC SPECTROMETRY; SAMPLE PREPARATION; METALS; OXYGEN; BIOAVAILABILITY</t>
  </si>
  <si>
    <t>In this work, the use of ultraviolet radiation combined with microwave-assisted wet digestion (MW-UV) was applied for digestion of seaweed samples and further determination of As, Cd and Pb by inductively coupled plasma mass spectrometry (ICP-MS). In the proposed method, UV radiation was generated in situ by electrodeless Cd discharge lamps inserted into digestion quartz vessels. This approach increased the digestion efficiency allowing lower consumption of acids. The feasibility of using diluted acid solution (0.5 to 7 mol L-1 HNO3) was evaluated for relatively higher sample masses (up to 800 mg). The efficiency of digestion was evaluated taking into account the residual carbon content and residual acidity in digests. Under the selected conditions, it was possible to digest up to 700 mg of sample using a nitric acid solution as diluted as 2 mol L-1 HNO3 allowing an efficiency of digestion higher than 77% (considering the total C content in the sample) and acidity as low as 0.19 mol L-1 that is convenient for ICP-MS measurements. The accuracy of the proposed MW-UV method was evaluated by the digestion of two certified reference materials of aquatic plant (BCR 060 and BCR 670) and by comparison with the results obtained after digestion by microwave-assisted wet digestion in a high pressure system using concentrated HNO3 (MW-AD). The results obtained by the proposed method did not present difference (t-test, 95% confidence level) with the certified values and with results obtained after seaweed sample digestion using the MW-AD method. Using 700 mg of sample, the limit of detection was 0.005, 0.001, and 0.012 mu g g(-1) for As, Cd, and Pb, respectively. A clear advantage of the proposed method over classical approaches is that only diluted solution was necessary and it is possible to digest a relatively high sample mass, that is important to minimize the generation of laboratory residues and to improve the limits of detection, respectively.</t>
  </si>
  <si>
    <t>[Mesko, Marcia F.; Ferreira, Lizangela R.; Costa, Vanize C.; Pereira, Claudio M. P.] Univ Fed Pelotas, Ctr Ciencias Quim Farmaceut &amp; Alimentos, BR-96010610 Pelotas, RS, Brazil; [Picoloto, Rochele S.; Muller, Edson I.; Flores, Erico M. M.] Univ Fed Santa Maria, Dept Quim, BR-9710590 Santa Maria, RS, Brazil; [Colepicolo, Pio] Univ Sao Paulo, Inst Quim, Dept Bioquim, BR-05508000 Sao Paulo, Brazil</t>
  </si>
  <si>
    <t>Universidade Federal de Pelotas; Universidade Federal de Santa Maria (UFSM); Universidade de Sao Paulo</t>
  </si>
  <si>
    <t>Mesko, MF (corresponding author), Univ Fed Pelotas, Ctr Ciencias Quim Farmaceut &amp; Alimentos, BR-96010610 Pelotas, RS, Brazil.</t>
  </si>
  <si>
    <t>marciamesko@yahoo.com.br</t>
  </si>
  <si>
    <t>Mesko, Marcia Foster/Q-3199-2019; Muller, Edson/AAL-1536-2021; MESKO, MARCIA FOSTER/L-3245-2018; Flores, Erico/J-6038-2012; de Pereira, Claudio Pereira/T-7512-2019; Fapesp, Biota/F-8655-2017; Picoloto, Rochele/O-2117-2017</t>
  </si>
  <si>
    <t>Mesko, Marcia Foster/0000-0002-7399-446X; MESKO, MARCIA FOSTER/0000-0002-7399-446X; Flores, Erico/0000-0001-9785-2477; de Pereira, Claudio Pereira/0000-0002-2818-4281; Fapesp, Biota/0000-0002-9887-8449; Picoloto, Rochele/0000-0003-3214-6269; Muller, Edson Irineu/0000-0002-0884-1774</t>
  </si>
  <si>
    <t>Coordenacao de Aperfeicoamento de Pessoal de Nivel Superior (CAPES); Conselho Nacional de Desenvolvimento Cientifico e Tecnologico (CNPq); Fundacao de Amparo a Pesquisa do Estado do Rio Grande do Sul (FAPERGS)</t>
  </si>
  <si>
    <t>Coordenacao de Aperfeicoamento de Pessoal de Nivel Superior (CAPES)(Coordenacao de Aperfeicoamento de Pessoal de Nivel Superior (CAPES)); Conselho Nacional de Desenvolvimento Cientifico e Tecnologico (CNPq)(Conselho Nacional de Desenvolvimento Cientifico e Tecnologico (CNPQ)); Fundacao de Amparo a Pesquisa do Estado do Rio Grande do Sul (FAPERGS)(Fundacao de Amparo a Ciencia e Tecnologia do Estado do Rio Grande do Sul (FAPERGS))</t>
  </si>
  <si>
    <t>The authors are grateful to Coordenacao de Aperfeicoamento de Pessoal de Nivel Superior (CAPES), Conselho Nacional de Desenvolvimento Cientifico e Tecnologico (CNPq) and Fundacao de Amparo a Pesquisa do Estado do Rio Grande do Sul (FAPERGS) for supporting this study. We are also grateful to Programa Antartico Brasileiro (PROANTAR) for supplying seaweed samples.</t>
  </si>
  <si>
    <t>0267-9477</t>
  </si>
  <si>
    <t>1364-5544</t>
  </si>
  <si>
    <t>J ANAL ATOM SPECTROM</t>
  </si>
  <si>
    <t>J. Anal. At. Spectrom.</t>
  </si>
  <si>
    <t>10.1039/c4ja00264d</t>
  </si>
  <si>
    <t>Chemistry, Analytical; Spectroscopy</t>
  </si>
  <si>
    <t>Chemistry; Spectroscopy</t>
  </si>
  <si>
    <t>AW4LE</t>
  </si>
  <si>
    <t>WOS:000346251800021</t>
  </si>
  <si>
    <t>Bazzano, A; Latruwe, K; Grotti, M; Vanhaecke, F</t>
  </si>
  <si>
    <t>Bazzano, Andrea; Latruwe, Kris; Grotti, Marco; Vanhaecke, Frank</t>
  </si>
  <si>
    <t>Lead isotopic analysis of Antarctic snow using multi-collector ICP-mass spectrometry</t>
  </si>
  <si>
    <t>MU-L MIN(-1); SAMPLE-INTRODUCTION; RATIO MEASUREMENTS; EXPONENTIAL MODEL; SHEATHING GAS; DOUBLE SPIKE; PB ISOTOPES; DOME-C; CHAMBER; MS</t>
  </si>
  <si>
    <t>Reliable determination of Pb isotope ratios in Antarctic snow is challenging because of the low analyte concentration and the low volume of sample typically available. In this work, a combination of a total sample consumption introduction system (the torch-integrated sample introduction system, TISIS) with multi-collector ICP-mass spectrometry (MC-ICP-MS) was used for this purpose. With this instrumental setup, accurate and precise determination of Pb isotope ratios was possible at concentrations as low as 0.5 ng mL(-1), while using 0.2 mL of solution only (total amount of Pb: 100 pg). At 10 ng mL(-1), the repeatability for the Pb-207/Pb-206 ratio was 0.16 parts per thousand RSD. The concentration range was further extended downwards by using 100-fold analyte element preconcentration via freeze-drying of 20 g of snow. The Pb concentration in procedural blanks was 0.5 +/- 0.3 pg g(-1), enabling the determination of Pb isotope ratios in snow samples containing down to 5 pg g(-1) of Pb. After development and validation, the procedure was applied to snow samples collected at Dome C (East Antarctic Plateau) on a monthly basis during the 2006 and 2010 campaigns. The method developed was able to reveal a seasonal variation in the Pb isotope ratios occurring during 2006 and strong inter-annual variation between the two campaigns.</t>
  </si>
  <si>
    <t>[Bazzano, Andrea; Grotti, Marco] Univ Genoa, Dept Chem &amp; Ind Chem, I-16146 Genoa, Italy; [Bazzano, Andrea; Latruwe, Kris; Vanhaecke, Frank] Univ Ghent, Dept Analyt Chem, B-9000 Ghent, Belgium</t>
  </si>
  <si>
    <t>University of Genoa; Ghent University</t>
  </si>
  <si>
    <t>Vanhaecke, F (corresponding author), Univ Ghent, Dept Analyt Chem, Krijgslaan 281-S12, B-9000 Ghent, Belgium.</t>
  </si>
  <si>
    <t>Frank.Vanhaecke@UGent.be</t>
  </si>
  <si>
    <t>Vanhaecke, Frank/AAO-4582-2020; Grotti, Marco/HGU-3949-2022; Bazzano, Andrea/O-2879-2019; Bazzano, Andrea/B-9574-2016</t>
  </si>
  <si>
    <t>Vanhaecke, Frank/0000-0002-1884-3853; Grotti, Marco/0000-0001-6956-5761; Bazzano, Andrea/0000-0002-9353-3919; Bazzano, Andrea/0000-0002-9353-3919</t>
  </si>
  <si>
    <t>Italian National Program for Research in Antarctica [2013/AZ3.04]</t>
  </si>
  <si>
    <t>This study was partially founded by the Italian National Program for Research in Antarctica (Project 2013/AZ3.04). Thanks to Harry Vandeput for his assistance with the hardware and Dr Paolo Grigioni for the help with meteorological data.</t>
  </si>
  <si>
    <t>10.1039/c4ja00484a</t>
  </si>
  <si>
    <t>CJ5VF</t>
  </si>
  <si>
    <t>WOS:000355559500010</t>
  </si>
  <si>
    <t>Aronson, RB; Frederich, M; Price, R; Thatje, S</t>
  </si>
  <si>
    <t>Aronson, Richard B.; Frederich, Markus; Price, Rick; Thatje, Sven</t>
  </si>
  <si>
    <t>Prospects for the return of shell-crushing crabs to Antarctica</t>
  </si>
  <si>
    <t>JOURNAL OF BIOGEOGRAPHY</t>
  </si>
  <si>
    <t>Antarctica; biological invasion; biotic homogenization; Brachyura; Carcinus maenas; climate change; crabs; Halicarcinus planatus; Lithodidae; range expansion</t>
  </si>
  <si>
    <t>EUROPEAN GREEN CRAB; HALICARCINUS-PLANATUS BRACHYURA; HIGH SOUTHERN LATITUDES; CARCINUS-MAENAS; MARINE ECOSYSTEMS; MAGNESIUM REGULATION; DECAPOD CRUSTACEANS; BEAGLE CHANNEL; CLIMATE-CHANGE; POLAR AREAS</t>
  </si>
  <si>
    <t>Rapidly rising sea temperatures off the western Antarctic Peninsula (WAP) are placing the Antarctic benthos at risk of increasing predation from durophagous (shell-breaking) brachyuran and anomuran crabs. Crabs are at present excluded from Antarctic-shelf environments by their limited capacity to down-regulate magnesium ions in their blood, a constraint that paralyses and kills them under cold conditions. Interspecific variation in the ability of Subantarctic crabs to flush out magnesium ions predicts which species should be capable of extending their ranges to shelf environments along the Antarctic Peninsula. In agreement with those predictions, the brachyuran Halicarcinus planatus was recently found in the shallow subtidal zone at Deception Island, an emergent volcanic cone located off the WAP. Geothermal activity at Deception Island provides a warm-water opportunity for persistence in a cold ocean, and heavy ship-traffic there could accelerate the delivery of non-native species. Large populations of anomuran king crabs (Lithodidae) have recently been discovered on the continental slope off the WAP, at ambient sea temperatures slightly warmer than the waters over the shelf. The lithodids are generalized, durophagous predators that could expand to shelf habitats as the overlying waters warm rapidly. Another brachyuran, the globally invasive, durophagous European green crab Carcinus maenas, also appears poised to expand to nearshore habitats in Antarctica. Successful expansion of predators and other benthic species to the Antarctic shelf would accelerate the global trend towards functional homogenization of the marine biota. Long-term monitoring programmes should be established immediately to assess the extent of the problem in Antarctica.</t>
  </si>
  <si>
    <t>[Aronson, Richard B.] Florida Inst Technol, Dept Biol Sci, Melbourne, FL 32901 USA; [Frederich, Markus] Univ New England, Dept Marine Sci, Biddeford, ME 04005 USA; [Thatje, Sven] Univ Southampton, Natl Oceanog Ctr Southampton, Southampton SO14 3ZH, Hants, England</t>
  </si>
  <si>
    <t>Florida Institute of Technology; University of New England - Maine; NERC National Oceanography Centre; University of Southampton</t>
  </si>
  <si>
    <t>Aronson, RB (corresponding author), Florida Inst Technol, Dept Biol Sci, 150 West Univ Blvd, Melbourne, FL 32901 USA.</t>
  </si>
  <si>
    <t>raronson@fit.edu</t>
  </si>
  <si>
    <t>Aronson, Richard/0000-0003-0383-3844; Frederich, Markus/0000-0002-5199-9788</t>
  </si>
  <si>
    <t>Office of Polar Programs (OPP); Directorate For Geosciences [1141877] Funding Source: National Science Foundation</t>
  </si>
  <si>
    <t>Office of Polar Programs (OPP); Directorate For Geosciences(National Science Foundation (NSF)NSF - Directorate for Geosciences (GEO))</t>
  </si>
  <si>
    <t>0305-0270</t>
  </si>
  <si>
    <t>1365-2699</t>
  </si>
  <si>
    <t>J BIOGEOGR</t>
  </si>
  <si>
    <t>J. Biogeogr.</t>
  </si>
  <si>
    <t>10.1111/jbi.12414</t>
  </si>
  <si>
    <t>Ecology; Geography, Physical</t>
  </si>
  <si>
    <t>Environmental Sciences &amp; Ecology; Physical Geography</t>
  </si>
  <si>
    <t>AW1SH</t>
  </si>
  <si>
    <t>WOS:000346069700001</t>
  </si>
  <si>
    <t>Mellish, JA; Hindle, A; Skinner, J; Horning, M</t>
  </si>
  <si>
    <t>Mellish, Jo-Ann; Hindle, Allyson; Skinner, John; Horning, Markus</t>
  </si>
  <si>
    <t>Heat loss in air of an Antarctic marine mammal, the Weddell seal</t>
  </si>
  <si>
    <t>JOURNAL OF COMPARATIVE PHYSIOLOGY B-BIOCHEMICAL SYSTEMS AND ENVIRONMENTAL PHYSIOLOGY</t>
  </si>
  <si>
    <t>Weddell seal; Surface temperature; Heat loss; Infrared imaging; Body condition</t>
  </si>
  <si>
    <t>SURFACE-TEMPERATURE; HALICHOERUS-GRYPUS; SKIN TEMPERATURE; PHOCA-VITULINA; METABOLIC-RATE; BLUBBER DEPTH; MCMURDO SOUND; PUPS; HARP; EXCHANGE</t>
  </si>
  <si>
    <t>The conflicting needs of homeostasis in air versus water complicate our understanding of thermoregulation in marine mammals. Large-scale modeling efforts directed at predicting the energetic impact of changing sea ice conditions on polar ecosystems require a better understanding of thermoregulation in air of free-ranging animals. We utilized infrared imaging as an indirect approach to determine surface temperatures of dry, hauled-out Weddell seals (Leptonychotes weddellii, n = 35) of varying age and body condition during the Antarctic summer. The study groups provided a fivefold range in body mass and a threefold range in blubber depth. Surface temperature (T (s)) did not vary by body region (head, shoulder, axilla, torso, hip, flippers). Average seal T (s) (mean 13.9 +/- A 11.2 A degrees C) was best described through a combination of the physical traits of body mass and environmental variables of ambient temperature T (air), and wind speed. Additional factors of ice temperature (T (ice)), relative humidity and cloud cover did not improve the model. Heat transfer model estimates suggested that radiation contributed 56.6 +/- A 7.7 % of total heat loss. Convection and conduction accounted for the remaining 15.7 +/- A 12.3 and 27.7 +/- A 9.3 %, respectively. Heat loss by radiation was primarily influenced by body mass and wind speed, whereas convective heat loss was influenced primarily by blubber depth and wind speed. Conductive heat loss was modeled largely as a function of physical traits of mass and blubber depth rather than any environmental covariates, and therefore was substantially higher in animals in leaner condition.</t>
  </si>
  <si>
    <t>[Mellish, Jo-Ann] Univ Alaska Fairbanks, Sch Fisheries &amp; Ocean Sci, Fairbanks, AK 99775 USA; [Mellish, Jo-Ann; Hindle, Allyson; Skinner, John] Alaska SeaLife Ctr, Seward, AK 99664 USA; [Hindle, Allyson] Harvard Univ, Sch Med, Massachusetts Gen Hosp, Anesthesia Ctr Crit Care Res, Boston, MA 02114 USA; [Horning, Markus] Oregon State Univ, Dept Fisheries &amp; Wildlife, Newport, OR 97365 USA; [Horning, Markus] Oregon State Univ, Marine Mammal Inst, Newport, OR 97365 USA</t>
  </si>
  <si>
    <t>University of Alaska System; University of Alaska Fairbanks; Harvard University; Harvard Medical School; Massachusetts General Hospital; Oregon State University; Oregon State University</t>
  </si>
  <si>
    <t>Mellish, JA (corresponding author), Alaska SeaLife Ctr, 301 Railway Ave,POB 1329, Seward, AK 99664 USA.</t>
  </si>
  <si>
    <t>joannm@alaskasealife.org</t>
  </si>
  <si>
    <t>Skinner, John/I-2485-2019; Skinner, John P/AAJ-4850-2021; Horning, Markus/I-3019-2015</t>
  </si>
  <si>
    <t>Skinner, John/0000-0002-8449-6386; Skinner, John P/0000-0002-8449-6386; Horning, Markus/0000-0001-6178-4935</t>
  </si>
  <si>
    <t>National Science Foundation Office of Polar Programs Antarctic Organisms and Ecosystems [1043779]; Directorate For Geosciences; Office of Polar Programs (OPP) [1043497, 1043779] Funding Source: National Science Foundation</t>
  </si>
  <si>
    <t>National Science Foundation Office of Polar Programs Antarctic Organisms and Ecosystems(National Science Foundation (NSF)NSF - Directorate for Geosciences (GEO)); Directorate For Geosciences; Office of Polar Programs (OPP)(National Science Foundation (NSF)NSF - Directorate for Geosciences (GEO))</t>
  </si>
  <si>
    <t>We would like to recognize the field efforts of R. Berngartt, R. Hill, H. Kaiser and M. Monnin, as well as the members of B-009 field team under J. Rotella and R. Garrott at the University of Montana. All work was conducted under Marine Mammal Protection Act 15748 and Antarctic Conservation Act 2012-003. This work was supported by the National Science Foundation Office of Polar Programs Antarctic Organisms and Ecosystems (Award 1043779).</t>
  </si>
  <si>
    <t>0174-1578</t>
  </si>
  <si>
    <t>1432-136X</t>
  </si>
  <si>
    <t>J COMP PHYSIOL B</t>
  </si>
  <si>
    <t>J. Comp. Physiol. B-Biochem. Syst. Environ. Physiol.</t>
  </si>
  <si>
    <t>10.1007/s00360-014-0868-2</t>
  </si>
  <si>
    <t>Physiology; Zoology</t>
  </si>
  <si>
    <t>AX9WE</t>
  </si>
  <si>
    <t>WOS:000347249200013</t>
  </si>
  <si>
    <t>Cross, EL; Peck, LS; Harper, EM</t>
  </si>
  <si>
    <t>Cross, Emma L.; Peck, Lloyd S.; Harper, Elizabeth M.</t>
  </si>
  <si>
    <t>Ocean acidification does not impact shell growth or repair of the Antarctic brachiopod Liothyrella uva (Broderip, 1833)</t>
  </si>
  <si>
    <t>JOURNAL OF EXPERIMENTAL MARINE BIOLOGY AND ECOLOGY</t>
  </si>
  <si>
    <t>Calcification; Carbonate saturation; Climate change; CO2; pH</t>
  </si>
  <si>
    <t>ARTICULATE BRACHIOPODS; MARINE-INVERTEBRATES; CLIMATE-CHANGE; TEMPERATURE; CALCIFICATION; CO2; CORAL; SIZE; DISSOLUTION; METABOLISM</t>
  </si>
  <si>
    <t>Marine calcifiers are amongst the most vulnerable organisms to ocean acidification due to reduction in the availability of carbonate ions for skeletal/shell deposition. However, there are limited long-term studies on the possible impacts of increased pCO(2) on these taxa. A 7 month CO2 perturbation experiment was performed on one of the most calcium carbonate dependent species, the Antarctic brachiopod Liothyrella uva, which inhabits the Southern Ocean where carbonate ion saturation levels are amongst the lowest on Earth. The effects of the predicted environmental conditions in 2050 and 2100 on the growth rate and ability to repair shell in L. uva were tested with four treatments; a low temperature control (0 degrees C, pH 7.98), a pH control (2 degrees C, pH 8.05), mid-century scenario (2 degrees C, pH 7.75) and end-century scenario (2 degrees C, pH 7.54). Environmental change impacts on shell repair are rarely studied, but here repair was not affected by either acidified conditions or temperature. Growth rate was also not impacted by low pH. Elevated temperature did, however, increase growth rates. The ability of L. uva to continue, and even increase shell production in warmer and acidified seawater suggests that this species can acclimate to these combined stressors and generate suitable conditions for shell growth at the site of calcification. (C) 2014 Elsevier B.V. All rights reserved.</t>
  </si>
  <si>
    <t>[Cross, Emma L.; Peck, Lloyd S.] British Antarctic Survey, Nat Environm Res Council, Cambridge CB3 0ET, England; [Cross, Emma L.; Harper, Elizabeth M.] Univ Cambridge, Dept Earth Sci, Cambridge CB2 3EQ, England</t>
  </si>
  <si>
    <t>UK Research &amp; Innovation (UKRI); Natural Environment Research Council (NERC); NERC British Antarctic Survey; University of Cambridge</t>
  </si>
  <si>
    <t>Cross, EL (corresponding author), British Antarctic Survey, Nat Environm Res Council, Madingley Rd, Cambridge CB3 0ET, England.</t>
  </si>
  <si>
    <t>emmoss@bas.ac.uk</t>
  </si>
  <si>
    <t>Harper, Elizabeth M/B-3890-2008; /AAL-3738-2021</t>
  </si>
  <si>
    <t>Cross, Emma/0000-0002-5855-2145</t>
  </si>
  <si>
    <t>NERC PhD Studentship [NE/T/A/2011]; Natural Environment Research Council [dml011000, bas0100025, bas0100036, 1251280] Funding Source: researchfish; NERC [bas0100036, dml011000, bas0100025] Funding Source: UKRI</t>
  </si>
  <si>
    <t>NERC PhD Studentship(UK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</si>
  <si>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thank the scientific dive team at the British Antarctic Survey Rothera Research Station for collecting specimens and also to Coleen Suckling, Simon Morley and Rebecca Smith for their help in the set-up and maintenance of the ocean acidification experimental system. Emma Cross is supported by the NERC PhD Studentship (NE/T/A/2011).</t>
  </si>
  <si>
    <t>0022-0981</t>
  </si>
  <si>
    <t>1879-1697</t>
  </si>
  <si>
    <t>J EXP MAR BIOL ECOL</t>
  </si>
  <si>
    <t>J. Exp. Mar. Biol. Ecol.</t>
  </si>
  <si>
    <t>10.1016/j.jembe.2014.10.013</t>
  </si>
  <si>
    <t>AX5CD</t>
  </si>
  <si>
    <t>WOS:000346943800005</t>
  </si>
  <si>
    <t>Wilson, C; Hughes, CW; Blundell, JR</t>
  </si>
  <si>
    <t>Wilson, Chris; Hughes, Chris W.; Blundell, Jeffrey R.</t>
  </si>
  <si>
    <t>Forced and intrinsic variability in the response to increased wind stress of an idealized Southern Ocean</t>
  </si>
  <si>
    <t>Southern Ocean; intrinsic variability; nonlinear dynamics; wind stress; eddy saturation; decadal</t>
  </si>
  <si>
    <t>ANTARCTIC CIRCUMPOLAR CURRENT; OVERTURNING CIRCULATION; OPTIMAL EXCITATION; MESOSCALE EDDIES; BETA-PLANE; TRANSPORT; MODEL; TOPOGRAPHY; SEPARATION; CHANNEL</t>
  </si>
  <si>
    <t>We use ensemble runs of a three layer, quasi-geostrophic idealized Southern Ocean model to explore the roles of forced and intrinsic variability in response to a linear increase of wind stress imposed over a 30 year period. We find no increase of eastward circumpolar volume transport in response to the increased wind stress. A large part of the resulting time series can be explained by a response in which the eddy kinetic energy is linearly proportional to the wind stress with a possible time lag, but no statistically significant lag is found. However, this simple relationship is not the whole story: several intrinsic time scales also influence the response. We find an e-folding time scale for growth of small perturbations of 1-2 weeks. The energy budget for intrinsic variability at periods shorter than a year is dominated by exchange between kinetic and potential energy. At longer time scales, we find an intrinsic mode with period in the region of 15 years, which is dominated by changes in potential energy and frictional dissipation in a manner consistent with that seen by Hogg and Blundell (2006). A similar mode influences the response to changing wind stress. This influence, robust to perturbations, is different from the supposed linear relationship between wind stress and eddy kinetic energy, and persists for 5-10 years in this model, suggestive of a forced oscillatory mode with period of around 15 years. If present in the real ocean, such a mode would imply a degree of predictability of Southern Ocean dynamics on multiyear time scales.</t>
  </si>
  <si>
    <t>[Wilson, Chris; Hughes, Chris W.] Natl Oceanog Ctr, Liverpool, Merseyside, England; [Hughes, Chris W.] Univ Liverpool, Sch Environm Sci, Liverpool L69 3BX, Merseyside, England; [Blundell, Jeffrey R.] Univ Southampton, Natl Oceanog Ctr, Southampton, Hants, England</t>
  </si>
  <si>
    <t>NERC National Oceanography Centre; University of Liverpool; NERC National Oceanography Centre; University of Southampton</t>
  </si>
  <si>
    <t>Wilson, C (corresponding author), Natl Oceanog Ctr, Liverpool, Merseyside, England.</t>
  </si>
  <si>
    <t>cwi@noc.ac.uk</t>
  </si>
  <si>
    <t>Hughes, Chris/GQP-7479-2022; Wilson, Chris/B-5742-2012; Hughes, Chris W/A-3791-2010</t>
  </si>
  <si>
    <t>Wilson, Chris/0000-0003-0891-2912; Hughes, Chris W/0000-0002-9355-0233</t>
  </si>
  <si>
    <t>Natural Environment Research Council [NE/l001794/1, NE/K005928/1]; NERC [NE/K005928/1, NE/I001794/1] Funding Source: UKRI; Natural Environment Research Council [NE/I001794/1, NE/K005928/1, noc010012] Funding Source: researchfish</t>
  </si>
  <si>
    <t>We benefited from discussions with Alberto Naveira Garabato, Andy Hogg, Joel Hirschi, Arnaud Czaja, and Dave Berry. We thank David Marshall and two anonymous reviewers for their insightful comments. C.W. is grateful for support received from the Natural Environment Research Council (NE/l001794/1 and NE/K005928/1) and for significant computing support at the National Oceanography Centre. Please contact the corresponding author, Chris Wilson (cwi@noc.ac.uk), for access to the data used in this paper.</t>
  </si>
  <si>
    <t>10.1002/2014JC010315</t>
  </si>
  <si>
    <t>Green Accepted, hybrid</t>
  </si>
  <si>
    <t>WOS:000349890000008</t>
  </si>
  <si>
    <t>Hogg, AM; Meredith, MP; Chambers, DP; Abrahamsen, EP; Hughes, CW; Morrison, AK</t>
  </si>
  <si>
    <t>Hogg, Andrew McC.; Meredith, Michael P.; Chambers, Don P.; Abrahamsen, E. Povl; Hughes, Chris W.; Morrison, Adele K.</t>
  </si>
  <si>
    <t>Recent trends in the Southern Ocean eddy field</t>
  </si>
  <si>
    <t>Antarctic Circumpolar Current; Southern Ocean Eddies</t>
  </si>
  <si>
    <t>ANTARCTIC CIRCUMPOLAR CURRENT; OVERTURNING CIRCULATION; DRAKE PASSAGE; ANNULAR MODE; CLIMATE-CHANGE; WIND STRESS; TRANSPORT; EDDIES; SENSITIVITY; VARIABILITY</t>
  </si>
  <si>
    <t>Eddies in the Southern Ocean act to moderate the response of the Antarctic Circumpolar Current (ACC) to changes in forcing. An updated analysis of the Southern Ocean satellite altimetry record indicates an increase in eddy kinetic energy (EKE) in recent decades, contemporaneous with a probable decrease in ACC transport. The EKE trend is largest in the Pacific (14.94.1 cm(2) s(-2) per decade) and Indian (18.35.1 cm(2) s(-2) per decade) sectors of the Southern Ocean. We test the hypothesis that variations in wind stress can account for the observed EKE trends using perturbation experiments conducted with idealized high-resolution ocean models. The decadal increase in EKE is most likely due to continuing increases in the wind stress over the Southern Ocean, albeit with considerable interannual variability superposed. ACC transport correlates well with wind stress on these interannual time scales, but is weakly affected by wind forcing at longer periods. The increasing intensity of the Southern Ocean eddy field has implications for overturning circulation, carbon cycling, and climate.</t>
  </si>
  <si>
    <t>[Hogg, Andrew McC.; Morrison, Adele K.] Australian Natl Univ, Res Sch Earth Sci, Canberra, ACT, Australia; [Hogg, Andrew McC.; Morrison, Adele K.] Australian Natl Univ, ARC Ctr Excellence Climate Syst Sci, Canberra, ACT, Australia; [Meredith, Michael P.; Abrahamsen, E. Povl] British Antarctic Survey, Cambridge CB3 0ET, England; [Chambers, Don P.] Univ S Florida, Coll Marine Sci, St Petersburg, FL 33701 USA; [Hughes, Chris W.] Univ Liverpool, Sch Environm Sci, Liverpool L69 3BX, Merseyside, England; [Hughes, Chris W.] Natl Oceanog Ctr, Liverpool, Merseyside, England; [Morrison, Adele K.] Princeton Univ, Program Atmospher &amp; Ocean Sci, Princeton, NJ 08544 USA</t>
  </si>
  <si>
    <t>Australian National University; Australian National University; ARC Centre of Excellence for Climate System Science; UK Research &amp; Innovation (UKRI); Natural Environment Research Council (NERC); NERC British Antarctic Survey; State University System of Florida; University of South Florida; University of Liverpool; NERC National Oceanography Centre; National Oceanic Atmospheric Admin (NOAA) - USA; Princeton University</t>
  </si>
  <si>
    <t>Hogg, AM (corresponding author), Australian Natl Univ, Res Sch Earth Sci, Canberra, ACT, Australia.</t>
  </si>
  <si>
    <t>Andy.Hogg@anu.edu.au</t>
  </si>
  <si>
    <t>Hughes, Chris/GQP-7479-2022; Hughes, Chris W/A-3791-2010; Hogg, Andy/AAZ-8733-2021; Hogg, Andy McC./A-7553-2011; Abrahamsen, Povl/B-2140-2008; Morrison, Adele/C-1774-2012</t>
  </si>
  <si>
    <t>Hughes, Chris W/0000-0002-9355-0233; Hogg, Andy/0000-0001-5898-7635; Hogg, Andy McC./0000-0001-5898-7635; Abrahamsen, Povl/0000-0001-5924-5350; Meredith, Michael/0000-0002-7342-7756; Morrison, Adele/0000-0002-9904-4980; Chambers, Don/0000-0002-5439-0257</t>
  </si>
  <si>
    <t>Australian Research Council Future Fellowship [FT120100842]; NERC via the BAS Polar Oceans strategic research programme; NASA [NNX13AG98G]; NERC National Capability funding via NOC; Carbon Mitigation Initiative - BP; Australian Commonwealth Government; NASA [473868, NNX13AG98G] Funding Source: Federal RePORTER; Natural Environment Research Council [bas0100028, noc010012, bas0100033] Funding Source: researchfish; NERC [bas0100033, bas0100028] Funding Source: UKRI</t>
  </si>
  <si>
    <t>Australian Research Council Future Fellowship(Australian Research Council); NERC via the BAS Polar Oceans strategic research programme; NASA(National Aeronautics &amp; Space Administration (NASA)); NERC National Capability funding via NOC; Carbon Mitigation Initiative - BP; Australian Commonwealth Government(Australian Government); NASA(National Aeronautics &amp; Space Administration (NASA)); Natural Environment Research Council(UK Research &amp; Innovation (UKRI)Natural Environment Research Council (NERC)); NERC(UK Research &amp; Innovation (UKRI)Natural Environment Research Council (NERC))</t>
  </si>
  <si>
    <t>We thank Gareth Marshall for providing the observed SAM data for this paper (see http://www.nerc-bas.ac.uk/public/icd/gjma/sam.html). The altimeter products were produced by Ssalto/Duacs and distributed by AVISO, with support from CNES (http://www.aviso.oceanobs.com/duacs/). Andy Thompson, Stephanie Downes, and two anonymous reviewers provided constructive criticism of the first draft of this manuscript. A.M.H. was supported by an Australian Research Council Future Fellowship (FT120100842). M.M. and E.P.A. were supported by NERC funding via the BAS Polar Oceans strategic research programme. D.P.C. was supported by NASA grant NNX13AG98G for the Ocean Surface Topography Science Team. C.W.H. was supported by NERC National Capability funding via NOC. A.K.M. was supported by the Carbon Mitigation Initiative, sponsored by BP. This research was undertaken on the NCI National Facility in Canberra, Australia, which is supported by the Australian Commonwealth Government.</t>
  </si>
  <si>
    <t>10.1002/2014JC010470</t>
  </si>
  <si>
    <t>Green Published, Green Accepted, Bronze</t>
  </si>
  <si>
    <t>WOS:000349890000016</t>
  </si>
  <si>
    <t>Meredith, MP; Meijers, AS; Garabato, ACN; Brown, PJ; Venables, HJ; Abrahamsen, EP; Jullion, L; Messias, MJ</t>
  </si>
  <si>
    <t>Meredith, Michael P.; Meijers, Andrew S.; Garabato, Alberto C. Naveira; Brown, Peter J.; Venables, Hugh J.; Abrahamsen, E. Povl; Jullion, Loic; Messias, Marie-Jose</t>
  </si>
  <si>
    <t>Circulation, retention, and mixing of waters within the Weddell-Scotia Confluence, Southern Ocean: The role of stratified Taylor columns</t>
  </si>
  <si>
    <t>Weddell-Scotia Confluence; Taylor columns; Scotia Sea; Antarctic circumpolar current; Southern Ocean; mixing</t>
  </si>
  <si>
    <t>MAUD-RISE; SEA; TRANSPORT; MOTION; KRILL; GYRE; ICE</t>
  </si>
  <si>
    <t>The waters of the Weddell-Scotia Confluence (WSC) lie above the rugged topography of the South Scotia Ridge in the Southern Ocean. Meridional exchanges across the WSC transfer water and tracers between the Antarctic Circumpolar Current (ACC) to the north and the subpolar Weddell Gyre to the south. Here, we examine the role of topographic interactions in mediating these exchanges, and in modifying the waters transferred. A case study is presented using data from a free-drifting, intermediate-depth float, which circulated anticyclonically over Discovery Bank on the South Scotia Ridge for close to 4 years. Dimensional analysis indicates that the local conditions are conducive to the formation of Taylor columns. Contemporaneous ship-derived transient tracer data enable estimation of the rate of isopycnal mixing associated with this column, with values of O(1000 m(2)/s) obtained. Although necessarily coarse, this is of the same order as the rate of isopycnal mixing induced by transient mesoscale eddies within the ACC. A picture emerges of the Taylor column acting as a slow, steady blender, retaining the waters in the vicinity of the WSC for lengthy periods during which they can be subject to significant modification. A full regional float data set, bathymetric data, and a Southern Ocean state estimate are used to identify other potential sites for Taylor column formation. We find that they are likely to be sufficiently widespread to exert a significant influence on water mass modification and meridional fluxes across the southern edge of the ACC in this sector of the Southern Ocean.</t>
  </si>
  <si>
    <t>[Meredith, Michael P.; Meijers, Andrew S.; Brown, Peter J.; Venables, Hugh J.; Abrahamsen, E. Povl] British Antarctic Survey, Cambridge CB3 0ET, England; [Garabato, Alberto C. Naveira; Jullion, Loic] Univ Southampton, Natl Oceanog Ctr, Southampton, Hants, England; [Brown, Peter J.; Messias, Marie-Jose] Univ E Anglia, Sch Environm Sci, Norwich NR4 7TJ, Norfolk, England; [Jullion, Loic] Univ Toulon &amp; Var, CNRS INSU, MIO, IRD,UM 110, La Garde, France</t>
  </si>
  <si>
    <t>UK Research &amp; Innovation (UKRI); Natural Environment Research Council (NERC); NERC British Antarctic Survey; University of Southampton; NERC National Oceanography Centre; University of East Anglia; Centre National de la Recherche Scientifique (CNRS); CNRS - National Institute for Earth Sciences &amp; Astronomy (INSU); Institut de Recherche pour le Developpement (IRD); Aix-Marseille Universite; Universite de Toulon</t>
  </si>
  <si>
    <t>Meredith, MP (corresponding author), British Antarctic Survey, Cambridge CB3 0ET, England.</t>
  </si>
  <si>
    <t>mmm@bas.ac.uk</t>
  </si>
  <si>
    <t>Garabato, Alberto Naveira/AAQ-1114-2020; Abrahamsen, Povl/B-2140-2008; Brown, Peter/AAN-4372-2020; Jullion, Loic/B-3304-2011</t>
  </si>
  <si>
    <t>Garabato, Alberto Naveira/0000-0001-6071-605X; Abrahamsen, Povl/0000-0001-5924-5350; Brown, Peter/0000-0002-1152-1114; Messias, Marie-Jose/0000-0002-3852-2854; Jullion, Loic/0000-0001-6269-6750; Meredith, Michael/0000-0002-7342-7756</t>
  </si>
  <si>
    <t>Natural Environment Research Council [NE/E013368/1]; NERC [NE/E013538/1, bas0100033, NE/K013181/1, NE/E005667/1, NE/E006663/1, NE/E005985/1, NE/E01366X/1, NE/E013341/1, NE/E013368/1, NE/K012843/1, bas0100028, NE/E007058/1] Funding Source: UKRI; Natural Environment Research Council [noc010012, NE/E013538/1, NE/E007058/1, NE/E006663/1, NE/E005985/1, NE/E005667/1, bas0100033, NE/E013341/1, NE/E01366X/1, NE/K013181/1, NE/K012843/1, NE/E013368/1, bas0100028] Funding Source: researchfish</t>
  </si>
  <si>
    <t>We thank the officers, crew, and scientific party of RRS James Clark Ross cruise JR235/6/9 (ANDREX) for assistance in acquiring the data used here. The ANDREX project was supported by the Natural Environment Research Council via award NE/E013368/1. ANDREX cruise data are available from the CLIVAR and Carbon Hydrographic Data Office (CCHDO; http://cchdo.ucsd.edu/). Southern Ocean Argo float data are available from the British Oceanographic Data Centre (BODC; http://www.bodc.ac.uk/projects/international/argo/southern_ocean/). Dr. Angelika Renner is thanked for work with the VM-ADCP data. Dr. Sally Thorpe is thanked for advice concerning surface drifters. We are grateful to Dr. Sebastiaan Swart and an anonymous reviewer for insightful comments that helped improve this paper. This paper is a contribution of the British Antarctic Survey (BAS) Polar Oceans programme.</t>
  </si>
  <si>
    <t>10.1002/2014JC010462</t>
  </si>
  <si>
    <t>Green Accepted, Green Published</t>
  </si>
  <si>
    <t>WOS:000349890000032</t>
  </si>
  <si>
    <t>An, MJ; Wiens, DA; Zhao, Y; Feng, M; Nyblade, AA; Kanao, M; Li, YS; Maggi, A; Lévêque, JJ</t>
  </si>
  <si>
    <t>An, Meijian; Wiens, Douglas A.; Zhao, Yue; Feng, Mei; Nyblade, Andrew A.; Kanao, Masaki; Li, Yuansheng; Maggi, Alessia; Leveque, Jean-Jacques</t>
  </si>
  <si>
    <t>S-velocity model and inferred Moho topography beneath the Antarctic Plate from Rayleigh waves</t>
  </si>
  <si>
    <t>JOURNAL OF GEOPHYSICAL RESEARCH-SOLID EARTH</t>
  </si>
  <si>
    <t>crust; lithosphere; tomography; Gondwana; International Polar Year</t>
  </si>
  <si>
    <t>UPPER-MANTLE STRUCTURE; GAMBURTSEV SUBGLACIAL MOUNTAINS; OCEANIC CRUSTAL THICKNESS; SPARSE LINEAR-EQUATIONS; EAST ANTARCTICA; TRANSANTARCTIC MOUNTAINS; PRYDZ BAY; PRECAMBRIAN LITHOSPHERE; RECEIVER FUNCTIONS; CONTINENTAL-CRUST</t>
  </si>
  <si>
    <t>Since 2007/2008, seismographs were deployed in many new locations across much of Antarctica. Using the records from 122 broadband seismic stations, over 10,000 Rayleigh wave fundamental-mode dispersion curves have been retrieved from earthquake waveforms and from ambient noise. Using the processed data set, a 3-D S-velocity model for the Antarctic lithosphere was constructed using a single-step surface wave tomographic method, and a Moho depth map was estimated from the model. Using the derived crustal thicknesses, the average ratio of lithospheric mantle and crustal densities of Antarctica was calculated. The calculated density ratio indicates that the average crustal density for Antarctica is much higher than the average values for continental crust or the average density of lithospheric mantle is so low as to be equal to low-density bound of Archean lithosphere. The latter implies that the lithospheric mantle in much of Antarctica should be old and of Archean age. The East Antarctic Mountain Ranges (EAMOR) represent a thick crustal belt, with the thickest crust (similar to 60km) located close to Dome A. Very high velocities can be found at depths greater than 200km beneath parts of East Antarctica, demonstrating that the continental lithosphere extends deeper than 200km. The very thick crust beneath the EAMOR may represent the collision suture of East Gondwana with Indo-Antarctica and West Gondwana during the Pan-African orogeny.</t>
  </si>
  <si>
    <t>[An, Meijian; Zhao, Yue; Feng, Mei] Chinese Acad Geol Sci, Inst Geomech, Beijing, Peoples R China; [Wiens, Douglas A.] Washington Univ, Dept Earth &amp; Planetary Sci, St Louis, MO 63130 USA; [Nyblade, Andrew A.] Penn State Univ, Dept Geosci, University Pk, PA 16802 USA; [Kanao, Masaki] Natl Inst Polar Res, Tokyo, Japan; [Li, Yuansheng] Polar Res Inst China, Shanghai, Peoples R China; [Maggi, Alessia; Leveque, Jean-Jacques] Univ Strasbourg, EOST, CNRS, Inst Phys Globe Strasbourg, Strasbourg, France</t>
  </si>
  <si>
    <t>China Geological Survey; Institute of Geomechanics, Chinese Academy of Geological Sciences; Chinese Academy of Geological Sciences; Washington University (WUSTL); Pennsylvania Commonwealth System of Higher Education (PCSHE); Pennsylvania State University; Pennsylvania State University - University Park; Research Organization of Information &amp; Systems (ROIS); National Institute of Polar Research (NIPR) - Japan; Polar Research Institute of China; Centre National de la Recherche Scientifique (CNRS); Universites de Strasbourg Etablissements Associes; Universite de Strasbourg</t>
  </si>
  <si>
    <t>An, MJ (corresponding author), Chinese Acad Geol Sci, Inst Geomech, Beijing, Peoples R China.</t>
  </si>
  <si>
    <t>meijianan@live.com; doug@seismo.wustl.edu</t>
  </si>
  <si>
    <t>Maggi, Alessia/P-5041-2016; Wiens, Douglas/J-9259-2016</t>
  </si>
  <si>
    <t>Maggi, Alessia/0000-0001-8859-8948; Wiens, Douglas/0000-0002-5169-4386; An, Meijian/0000-0002-9727-0984; Feng, Mei/0000-0002-8673-4763</t>
  </si>
  <si>
    <t>National Natural Science Foundation of China [40874021]; Chinese Polar Environment Comprehensive Investigation and Assessment Programmes [CHINARE2013-04-02]; Chinese IPY projects; U.S. National Science Foundation [ANT-0537597, ANT-0632209]; Grants-in-Aid for Scientific Research [26241010] Funding Source: KAKEN; Office of Polar Programs (OPP); Directorate For Geosciences [1246776] Funding Source: National Science Foundation</t>
  </si>
  <si>
    <t>National Natural Science Foundation of China(National Natural Science Foundation of China (NSFC)); Chinese Polar Environment Comprehensive Investigation and Assessment Programmes; Chinese IPY projects; U.S. National Science Foundation(National Science Foundation (NSF)); Grants-in-Aid for Scientific Research(Ministry of Education, Culture, Sports, Science and Technology, Japan (MEXT)Japan Society for the Promotion of ScienceGrants-in-Aid for Scientific Research (KAKENHI)); Office of Polar Programs (OPP); Directorate For Geosciences(National Science Foundation (NSF)NSF - Directorate for Geosciences (GEO))</t>
  </si>
  <si>
    <t>All Chinese fieldwork was conducted by the 24th-29th Chinese National Antarctic Research Expeditions during 2007-2013. We are grateful for the logistical support of the Antarctic Administration of China and all members of the Chinese inland ice cap expeditions. The U.S. GAMSEIS-AGAP and ANET-POLENET stations were deployed with the assistance of the IRIS/PASSCAL instrument center. Seismic waveforms of the networks of AU, ER, G, GE, II, IM, IU, PS, XD, XP, XZ, YE, YT, and ZM were used here. We are grateful to everyone involved in the collection and distribution of data from these networks. The facilities of the IRIS Data Management System and specifically the IRIS Data Management Center were used for access to the waveform and metadata required in this study. Most of the figures were generated using Generic Mapping Tools [Wessel and Smith, 1991]. This work was funded by the National Natural Science Foundation of China (grant 40874021), Chinese Polar Environment Comprehensive Investigation and Assessment Programmes (CHINARE2013-04-02), Chinese IPY projects, and U.S. National Science Foundation (grants ANT-0537597 and ANT-0632209).</t>
  </si>
  <si>
    <t>2169-9313</t>
  </si>
  <si>
    <t>2169-9356</t>
  </si>
  <si>
    <t>J GEOPHYS RES-SOL EA</t>
  </si>
  <si>
    <t>J. Geophys. Res.-Solid Earth</t>
  </si>
  <si>
    <t>10.1002/2014JB011332</t>
  </si>
  <si>
    <t>CC2CH</t>
  </si>
  <si>
    <t>WOS:000350152000021</t>
  </si>
  <si>
    <t>Peltier, WR; Argus, DF; Drummond, R</t>
  </si>
  <si>
    <t>Peltier, W. R.; Argus, D. F.; Drummond, R.</t>
  </si>
  <si>
    <t>Space geodesy constrains ice age terminal deglaciation: The global ICE-6G_C (VM5a) model</t>
  </si>
  <si>
    <t>glacial isostasy; space geodesy; mantle dynamics</t>
  </si>
  <si>
    <t>GLACIAL-ISOSTATIC-ADJUSTMENT; RELATIVE SEA-LEVEL; BASE-LINE INTERFEROMETRY; DEEP MANTLE VISCOSITY; ANTARCTIC PENINSULA; MAPPING FUNCTIONS; REEF TRACTS; VM2 MODEL; GPS DATA; CLIMATE</t>
  </si>
  <si>
    <t>A new model of the last deglaciation event of the Late Quaternary ice age is here described and denoted as ICE-6G_C (VM5a). It differs from previously published models in this sequence in that it has been explicitly refined by applying all of the available Global Positioning System (GPS) measurements of vertical motion of the crust that may be brought to bear to constrain the thickness of local ice cover as well as the timing of its removal. Additional space geodetic constraints have also been applied to specify the reference frame within which the GPS data are described. The focus of the paper is upon the three main regions of Last Glacial Maximum ice cover, namely, North America, Northwestern Europe/Eurasia, and Antarctica, although Greenland and the British Isles will also be included, if peripherally, in the discussion. In each of the three major regions, the model predictions of the time rate of change of the gravitational field are also compared to that being measured by the Gravity Recovery and Climate Experiment satellites as an independent means of verifying the improvement of the model achieved by applying the GPS constraints. Several aspects of the global characteristics of this new model are also discussed, including the nature of relative sea level history predictions at far-field locations, in particular the Caribbean island of Barbados, from which especially high-quality records of postglacial sea level change are available but which records were not employed in the development of the model. Although ICE-6G_C (VM5a) is a significant improvement insofar as the most recently available GPS observations are concerned, comparison of model predictions with such far-field relative sea level histories enables us to identify a series of additional improvements that should follow from a further stage of model iteration.</t>
  </si>
  <si>
    <t>[Peltier, W. R.; Drummond, R.] Univ Toronto, Dept Phys, Toronto, ON, Canada; [Argus, D. F.] CALTECH, Pasadena, CA 91125 USA</t>
  </si>
  <si>
    <t>University of Toronto; California Institute of Technology</t>
  </si>
  <si>
    <t>Peltier, WR (corresponding author), Univ Toronto, Dept Phys, Toronto, ON, Canada.</t>
  </si>
  <si>
    <t>peltier@atmosp.physics.utoronto.ca</t>
  </si>
  <si>
    <t>Argus, Donald F/F-7704-2011; Peltier, William R./A-1102-2008</t>
  </si>
  <si>
    <t>Natural Sciences and Engineering Research Council of Canada under NSERC [A9627]; NOAA [NA110AR4310101]; NASA</t>
  </si>
  <si>
    <t>Natural Sciences and Engineering Research Council of Canada under NSERC(Natural Sciences and Engineering Research Council of Canada (NSERC)); NOAA(National Oceanic Atmospheric Admin (NOAA) - USA); NASA(National Aeronautics &amp; Space Administration (NASA))</t>
  </si>
  <si>
    <t>The component of this work at the University of Toronto has been supported by the Natural Sciences and Engineering Research Council of Canada under NSERC Discovery grant A9627 to W.R.P. and by NOAA grant NA110AR4310101. The work of D.F. Argus at JPL is supported by NASA. All of the computations performed in the construction of the newICE-6G_C (VM5a) model were performed on the SciNet facility for high-performance computation at the University of Toronto which is a component of the national Compute Canada HPC platform. In conformity with the AGU Data Policy, the data on the basis of which the results described in this paper have been obtained have been provided in the form of supporting information contained in two additional files. The first of these, entitled Figures S1-S4 and Tables S1, SS1, S2, and SS2 in the supporting information paper contains the observed and model-predicted results for all of the GPS receiver locations from which data are available for both North America and Greenland (Table S1) and for Fennoscandia and Northwestern Eurasia (Table S2). The sources of the relative sea level data for these two geographical regions that have been employed to provide additional tests of the quality of the new model are provided in Tables SS1 and SS2, respectively. Finally, a summary of the model from a geodetic perspective is provided by a listing of the Stokes coefficients in terms of which present-day geoid height time dependence is described. These coefficients include all coefficients to degree and order 256 which is the full resolution at which the model has been constructed and are provided in Data Set SStokes in the supporting information. This listing includes two sets of Stokes coefficients for degree 2 and order 1. One of these sets is that appropriate for the analysis of the time-dependent gravitational field data provided by the GRACE satellites, denoted as GRACE, while the other is the set appropriate for the description of geoid height time dependence when the geoid is described in terms of sea level rather than the approximation to this geoid that GRACE is able to observe. This set is denoted as Sea Level.</t>
  </si>
  <si>
    <t>10.1002/2014JB011176</t>
  </si>
  <si>
    <t>WOS:000350152000025</t>
  </si>
  <si>
    <t>Young, DA; Lindzey, LE; Blankenship, DD; Greenbaum, JS; de Gorord, AG; Kempf, SD; Roberts, JL; Warner, RC; Van Ommen, T; Siegert, MJ; Le Meur, E</t>
  </si>
  <si>
    <t>Young, Duncan A.; Lindzey, Laura E.; Blankenship, Donald D.; Greenbaum, Jamin S.; de Gorord, Alvaro Garcia; Kempf, Scott D.; Roberts, Jason L.; Warner, Roland C.; Van Ommen, Tas; Siegert, Martin J.; Le Meur, Emmanuel</t>
  </si>
  <si>
    <t>Land-ice elevation changes from photon-counting swath altimetry: first applications over the Antarctic ice sheet</t>
  </si>
  <si>
    <t>aerogeophysical measurements; Antarctic glaciology; glacier mapping; glaciological; instruments and methods; ice-sheet mass balance</t>
  </si>
  <si>
    <t>AIRBORNE LASER ALTIMETER; SEA-LEVEL RISE; MASS-LOSS; GREENLAND; LIDAR; DRIVEN</t>
  </si>
  <si>
    <t>Satellite altimetric time series allow high-precision monitoring of ice-sheet mass balance. Understanding elevation changes in these regions is important because outlet glaciers along ice-sheet margins are critical in controlling flow of inland ice. Here we discuss a new airborne altimetry dataset collected as part of the ICECAP (International Collaborative Exploration of the Cryosphere by Airborne Profiling) project over East Antarctica. Using the ALAMO (Airborne Laser Altimeter with Mapping Optics) system of a scanning photon-counting lidar combined with a laser altimeter, we extend the 2003-09 surface elevation record of NASA's ICESat satellite, by determining cross-track slope and thus independently correcting for ICESat's cross-track pointing errors. In areas of high slope, cross-track errors result in measured elevation change that combines surface slope and the actual Delta z/Delta t signal. Slope corrections are particularly important in coastal ice streams, which often exhibit both rapidly changing elevations and high surface slopes. As a test case (assuming that surface slopes do not change significantly) we observe a lack of ice dynamic change at Cook Ice Shelf, while significant thinning occurred at Totten and Denman Glaciers during 2003-09.</t>
  </si>
  <si>
    <t>[Young, Duncan A.; Lindzey, Laura E.; Blankenship, Donald D.; Greenbaum, Jamin S.; de Gorord, Alvaro Garcia; Kempf, Scott D.] Univ Texas Austin, UTIG, Austin, TX 78712 USA; [Roberts, Jason L.; Warner, Roland C.; Van Ommen, Tas] Australian Antarctic Div, Kingston, Tas, Australia; [Roberts, Jason L.; Warner, Roland C.; Van Ommen, Tas] Univ Tasmania, Antarctic Climate &amp; Ecosyst CRC, Hobart, Tas, Australia; [Siegert, Martin J.] Univ Bristol, Bristol, Avon, England; [Le Meur, Emmanuel] Lab Glaciol &amp; Geophys Environm, Grenoble, France</t>
  </si>
  <si>
    <t>University of Texas System; University of Texas Austin; Australian Antarctic Division; University of Tasmania; University of Bristol; Communaute Universite Grenoble Alpes; Universite Grenoble Alpes (UGA)</t>
  </si>
  <si>
    <t>Young, DA (corresponding author), Univ Texas Austin, UTIG, Austin, TX 78712 USA.</t>
  </si>
  <si>
    <t>duncan@ig.utexas.edu</t>
  </si>
  <si>
    <t>Young, Duncan A./G-6256-2010; Siegert, Martin J/A-3826-2008; Warner, Roland Charles/ISS-2485-2023; Siegert, Martin/M-9939-2019; Warner, Robert R./M-5342-2013; Roberts, Jason L/B-2235-2012; van Ommen, Tas/B-5020-2012</t>
  </si>
  <si>
    <t>Siegert, Martin J/0000-0002-0090-4806; Warner, Roland Charles/0000-0002-9778-3544; Siegert, Martin/0000-0002-0090-4806; Roberts, Jason L/0000-0002-3477-4069; van Ommen, Tas/0000-0002-2463-1718; Lindzey, Laura/0000-0003-3475-0996</t>
  </si>
  <si>
    <t>NASA [NNX09AR52G, NNG10HP06C, NNX11AD33G]; Program DACOTA of the Agence Nationale pour la Recherche [06-VULN-016]; UK Natural Environment Research Council [NE/D003733/1]; Australian Government's Cooperative Research Centres Programme through the Antarctic Climate and Ecosystems Cooperative Research Centre (ACE CRC); American Recovery and Reinvestment Act; Australian Antarctic Division [3103, 4077]; NERC [NE/F016646/2, NE/F016646/1] Funding Source: UKRI; Natural Environment Research Council [NE/F016646/1, NE/F016646/2] Funding Source: researchfish; NASA [NNX09AR52G, 106520, 148741, NNX11AD33G] Funding Source: Federal RePORTER</t>
  </si>
  <si>
    <t>NASA(National Aeronautics &amp; Space Administration (NASA)); Program DACOTA of the Agence Nationale pour la Recherche(Agence Nationale de la Recherche (ANR)); UK Natural Environment Research Council(UK Research &amp; Innovation (UKRI)Natural Environment Research Council (NERC)); Australian Government's Cooperative Research Centres Programme through the Antarctic Climate and Ecosystems Cooperative Research Centre (ACE CRC)(Australian GovernmentDepartment of Industry, Innovation and ScienceCooperative Research Centres (CRC) Programme); American Recovery and Reinvestment Act; Australian Antarctic Division; NERC(UK Research &amp; Innovation (UKRI)Natural Environment Research Council (NERC)); Natural Environment Research Council(UK Research &amp; Innovation (UKRI)Natural Environment Research Council (NERC)); NASA(National Aeronautics &amp; Space Administration (NASA))</t>
  </si>
  <si>
    <t>Funding for the fieldwork and data reduction was provided by NASA grants NNX09AR52G, NNG10HP06C and NNX11AD33G, Program DACOTA (06-VULN-016) of the Agence Nationale pour la Recherche, and UK Natural Environment Research Council grant NE/D003733/1. This work was supported by the Australian Government's Cooperative Research Centres Programme through the Antarctic Climate and Ecosystems Cooperative Research Centre (ACE CRC). This work received funding from the American Recovery and Reinvestment Act. Logistical support was provided by Australian Antarctic Division (through Australian Antarctic Programme projects 3103 and 4077), the US Antarctic Program and the French Polar Institute. We thank DTU for their loan of an EGI and thank Gabriel Jodor and Christopher Field of Simga Space Corporation for technical guidance with this system. We thank Chad Greene for reviewing drafts of this paper, and Tom Neumann, an anonymous reviewer and the scientific editor, Helen Fricker, for valuable suggestions. This paper is UTIG contribution No. 2699.</t>
  </si>
  <si>
    <t>10.3189/2015JoG14J048</t>
  </si>
  <si>
    <t>CG2JG</t>
  </si>
  <si>
    <t>WOS:000353100100003</t>
  </si>
  <si>
    <t>Kingslake, J; Ng, F; Sole, A</t>
  </si>
  <si>
    <t>Kingslake, J.; Ng, F.; Sole, A.</t>
  </si>
  <si>
    <t>Modelling channelized surface drainage of supraglacial lakes</t>
  </si>
  <si>
    <t>Antarctic glaciology; glacier hydrology; glacier modelling; ice-sheet modelling; remote sensing</t>
  </si>
  <si>
    <t>GREENLAND ICE-SHEET; OUTBURST FLOODS; WEST GREENLAND; EVOLUTION; SHELF; MORPHOLOGY; HAZARD; FLOW</t>
  </si>
  <si>
    <t>Supraglacial lakes can drain to the bed of ice sheets, affecting ice dynamics, or over their surface, relocating surface water. Focusing on surface drainage, we first discuss observations of lake drainage. In particular, for the first time, lakes are observed to drain &gt;70 km across the Nivlisen ice shelf, East Antarctica. Inspired by these observations, we develop a model of lake drainage through a channel that incises into an ice-sheet surface by frictional heat dissipated in the flow. Modelled lake drainage can be stable or unstable. During stable drainage, the rate of lake-level drawdown exceeds the rate of channel incision, so discharge from the lake decreases with time; this can prevent the lake from emptying completely. During unstable drainage, discharge grows unstably with time and always empties the lake. Model lakes are more prone to drain unstably when the initial lake area, the lake input and the channel slope are larger. These parameters will vary during atmospheric-warming-induced ablation-area expansion, hence the mechanisms revealed by our analysis can influence the dynamic response of ice sheets to warming through their impact on surface-water routing and storage.</t>
  </si>
  <si>
    <t>[Kingslake, J.] British Antarctic Survey, NERC, Cambridge, England; [Kingslake, J.; Ng, F.; Sole, A.] Univ Sheffield, Dept Geog, Sheffield S10 2TN, S Yorkshire, England</t>
  </si>
  <si>
    <t>UK Research &amp; Innovation (UKRI); Natural Environment Research Council (NERC); NERC British Antarctic Survey; University of Sheffield</t>
  </si>
  <si>
    <t>Kingslake, J (corresponding author), British Antarctic Survey, NERC, Cambridge, England.</t>
  </si>
  <si>
    <t>jonngs@bas.ac.uk</t>
  </si>
  <si>
    <t>Ng, Felix/0000-0001-6352-0351; Sole, Andrew/0000-0001-5290-8967</t>
  </si>
  <si>
    <t>University of Sheffield PhD studentship; British Antarctic Survey Polar Science for Planet Earth programme; NERC [bas0100027] Funding Source: UKRI; Natural Environment Research Council [bas0100027] Funding Source: researchfish</t>
  </si>
  <si>
    <t>University of Sheffield PhD studentship; British Antarctic Survey Polar Science for Planet Earth programme; NERC(UK Research &amp; Innovation (UKRI)Natural Environment Research Council (NERC)); Natural Environment Research Council(UK Research &amp; Innovation (UKRI)Natural Environment Research Council (NERC))</t>
  </si>
  <si>
    <t>J. Kingslake acknowledges the support of a University of Sheffield PhD studentship and the British Antarctic Survey Polar Science for Planet Earth programme. Meteorological data from Novolazarevskaya station, Nivlisen, were obtained from the Russian Federation NADC, Arctic and Antarctic Research Institute (AARI), www.aari.nw.ru/projects/Antarctic/data/Catalogue.html (last accessed on 17 October 2014). We thank Bernd Kulessa, Ian Willis and three anonymous reviewers for useful comments that improved the paper.</t>
  </si>
  <si>
    <t>10.3189/2015JoG14J158</t>
  </si>
  <si>
    <t>Green Submitted, Bronze, Green Accepted</t>
  </si>
  <si>
    <t>WOS:000353100100017</t>
  </si>
  <si>
    <t>Tsai, VC; Stewart, AL; Thompson, AF</t>
  </si>
  <si>
    <t>Tsai, Victor C.; Stewart, Andrew L.; Thompson, Andrew F.</t>
  </si>
  <si>
    <t>Marine ice-sheet profiles and stability under Coulomb basal conditions</t>
  </si>
  <si>
    <t>Antarctic glaciology; glacial rheology; glacier mechanics; glacier modelling; ice-sheet modelling</t>
  </si>
  <si>
    <t>WEST ANTARCTICA; STREAM-B; TILL DEFORMATION; PINE ISLAND; COLLAPSE; RETREAT; FLOW; MECHANICS; SEDIMENT; DYNAMICS</t>
  </si>
  <si>
    <t>The behavior of marine-terminating ice sheets, such as the West Antarctic ice sheet, is of interest due to the possibility of rapid grounding-line retreat and consequent catastrophic loss of ice. Critical to modeling this behavior is a choice of basal rheology, where the most popular approach is to relate the ice-sheet velocity to a power-law function of basal stress. Recent experiments, however, suggest that near-grounding line tills exhibit Coulomb friction behavior. Here we address how Coulomb conditions modify ice-sheet profiles and stability criteria. The basal rheology necessarily transitions to Coulomb friction near the grounding line, due to low effective stresses, leading to changes in ice-sheet properties within a narrow boundary layer. Ice-sheet profiles 'taper off' towards a flatter upper surface, compared with the power-law case, and basal stresses vanish at the grounding line, consistent with observations. In the Coulomb case, the grounding-line ice flux also depends more strongly on flotation ice thickness, which implies that ice sheets are more sensitive to climate perturbations. Furthermore, with Coulomb friction, the ice sheet grounds stably in shallower water than with a power-law rheology. This implies that smaller perturbations are required to push the grounding line into regions of negative bed slope, where it would become unstable. These results have important implications for ice-sheet stability in a warming climate.</t>
  </si>
  <si>
    <t>[Tsai, Victor C.] CALTECH, Seismol Lab, Pasadena, CA 91125 USA; [Stewart, Andrew L.] Univ Calif Los Angeles, Dept Atmospher &amp; Ocean Sci, Los Angeles, CA USA; [Thompson, Andrew F.] CALTECH, Environm Sci &amp; Engn, Pasadena, CA 91125 USA</t>
  </si>
  <si>
    <t>California Institute of Technology; University of California System; University of California Los Angeles; California Institute of Technology</t>
  </si>
  <si>
    <t>Tsai, VC (corresponding author), CALTECH, Seismol Lab, Pasadena, CA 91125 USA.</t>
  </si>
  <si>
    <t>tsai@caltech.edu</t>
  </si>
  <si>
    <t>Tsai, Victor C/J-8405-2012</t>
  </si>
  <si>
    <t>Tsai, Victor C/0000-0003-1809-6672; Stewart, Andrew/0000-0001-5861-4070</t>
  </si>
  <si>
    <t>National Aeronautics and Space Administration; President's and Director's Fund Program; Stanback Discovery Fund for Global Environmental Science</t>
  </si>
  <si>
    <t>National Aeronautics and Space Administration(National Aeronautics &amp; Space Administration (NASA)); President's and Director's Fund Program; Stanback Discovery Fund for Global Environmental Science</t>
  </si>
  <si>
    <t>We thank G.H. Gudmundsson for useful discussions, and two anonymous reviewers for helpful suggestions. This research was carried out at the Jet Propulsion Laboratory and the California Institute of Technology under a contract with the National Aeronautics and Space Administration and funded through the President's and Director's Fund Program. Partial support was also provided by the Stanback Discovery Fund for Global Environmental Science.</t>
  </si>
  <si>
    <t>10.3189/2015JoG14J221</t>
  </si>
  <si>
    <t>WOS:000355778000001</t>
  </si>
  <si>
    <t>Tsai, VC; Gudmundsson, GH</t>
  </si>
  <si>
    <t>Tsai, Victor C.; Gudmundsson, G. Hilmar</t>
  </si>
  <si>
    <t>An improved model for tidally modulated grounding-line migration</t>
  </si>
  <si>
    <t>Antarctic glaciology; glacier mechanics; glacier modelling; ice/ocean interactions</t>
  </si>
  <si>
    <t>ICE STREAM; WEST ANTARCTICA; PINE ISLAND; DYNAMICS; THWAITES; GLACIERS; RETREAT; SURFACE; FLEXURE; SHELF</t>
  </si>
  <si>
    <t>Understanding grounding-line dynamics is necessary for predictions of long-term ice-sheet stability. However, despite growing observations of the tidal influence on grounding-line migration, this short-timescale migration is poorly understood, with most modeling attempts assuming beam theory to calculate displacements. Here we present an improved model of tidal grounding-line migration that treats migration as an elastic fracture problem, forced by the additional ocean water pressure from the tide. This new model predicts that the grounding line cannot be assumed to be in hydrostatic equilibrium and, furthermore, that migration is inherently asymmetric and nonlinear, with migration distances that are not proportional to the tidal load. Specifically, for constant surface slope, the grounding line migrates upstream approximately ten times further as the tide rises from mean sea level to high tide than it migrates downstream as the tide falls from mean sea level to low tide, and migration distances are substantially larger than simple flotation arguments suggest. Numerical tests also show that the dependence of migration distance on elastic moduli and ice-sheet thickness are inconsistent with predictions of beam theory for a range of realistic values. Finally, applying the new model to observations in Antarctica results in new estimates of bed slopes, though these estimates remain uncertain due to imperfect knowledge of the relevant rheological parameters.</t>
  </si>
  <si>
    <t>[Tsai, Victor C.] CALTECH, Seismol Lab, Pasadena, CA 91125 USA; [Gudmundsson, G. Hilmar] British Antarctic Survey, NERC, Cambridge CB3 0ET, England</t>
  </si>
  <si>
    <t>California Institute of Technology; UK Research &amp; Innovation (UKRI); Natural Environment Research Council (NERC); NERC British Antarctic Survey</t>
  </si>
  <si>
    <t>Gudmundsson, Gudmundur Hilmar/AAU-5987-2020; Gudmundsson, Gudmundur Hilmar/F-6499-2012; Tsai, Victor C/J-8405-2012</t>
  </si>
  <si>
    <t>Gudmundsson, Gudmundur Hilmar/0000-0003-4236-5369; Gudmundsson, Gudmundur Hilmar/0000-0003-4236-5369; Tsai, Victor C/0000-0003-1809-6672</t>
  </si>
  <si>
    <t>California Institute of Technology; National Aeronautics and Space Administration; President's and Director's Fund Program; Natural Environment Research Council [bas0100034] Funding Source: researchfish; NERC [bas0100034] Funding Source: UKRI</t>
  </si>
  <si>
    <t>California Institute of Technology; National Aeronautics and Space Administration(National Aeronautics &amp; Space Administration (NASA)); President's and Director's Fund Program; Natural Environment Research Council(UK Research &amp; Innovation (UKRI)Natural Environment Research Council (NERC)); NERC(UK Research &amp; Innovation (UKRI)Natural Environment Research Council (NERC))</t>
  </si>
  <si>
    <t>We thank Roiy Sayag and two anonymous reviewers for constructive reviews, and the California Institute of Technology for supporting G.H.G.'s visit. This research was carried out at the California Institute of Technology and the Jet Propulsion Laboratory under a contract with the National Aeronautics and Space Administration and partly funded through the President's and Director's Fund Program.</t>
  </si>
  <si>
    <t>10.3189/2015JoG14J152</t>
  </si>
  <si>
    <t>Bronze, Green Accepted</t>
  </si>
  <si>
    <t>WOS:000355778000002</t>
  </si>
  <si>
    <t>Hanson, JC; Barwick, SW; Berg, EC; Besson, DZ; Duffin, TJ; Klein, SR; Kleinfelder, SA; Reed, C; Roumi, M; Stezelberger, T; Tatar, J; Walker, JA; Zou, L</t>
  </si>
  <si>
    <t>Hanson, Jordan C.; Barwick, Steven W.; Berg, Eric C.; Besson, Dave Z.; Duffin, Thorin J.; Klein, Spencer R.; Kleinfelder, Stuart A.; Reed, Corey; Roumi, Mahshid; Stezelberger, Thorsten; Tatar, Joulien; Walker, James A.; Zou, Liang</t>
  </si>
  <si>
    <t>Radar absorption, basal reflection, thickness and polarization measurements from the Ross Ice Shelf, Antarctica</t>
  </si>
  <si>
    <t>ice/ocean interactions</t>
  </si>
  <si>
    <t>ARIANNA; DETECTOR; FLOW; BED</t>
  </si>
  <si>
    <t>Radio-glaciological parameters from the Moore's Bay region of the Ross Ice Shelf, Antarctica, have been measured. The thickness of the ice shelf in Moore's Bay was measured from reflection times of radio-frequency pulses propagating vertically through the shelf and reflecting from the ocean, and is found to be 576 +/- 8 m. Introducing a baseline of 543 7 m between radio transmitter and receiver allowed the computation of the basal reflection coefficient, R, separately from englacial loss. The depth-averaged attenuation length of the ice column, &lt; L &gt; is shown to depend linearly on frequency. The best fit (95% confidence level) is &lt; L(nu)&gt; = (460 +/- 20) - (180 +/- 40)nu m (20 dB km(-1)), for the frequencies nu = [0.100-0.850] GHz, assuming no reflection loss. The mean electric-field reflection coefficient is root R = 0.82 +/- 0.07 (1.7 dB reflection loss) across [0.100-0.850] GHz, and is used to correct the attenuation length. Finally, the reflected power rotated into the orthogonal antenna polarization is &lt;5% below 0.400 GHz, compatible with air propagation. The results imply that Moore's Bay serves as an appropriate medium for the ARIANNA high-energy neutrino detector.</t>
  </si>
  <si>
    <t>[Hanson, Jordan C.; Barwick, Steven W.; Berg, Eric C.; Duffin, Thorin J.; Reed, Corey; Roumi, Mahshid; Tatar, Joulien; Walker, James A.; Zou, Liang] Univ Calif Irvine, Dept Phys &amp; Astron, Irvine, CA 92697 USA; [Hanson, Jordan C.; Besson, Dave Z.] Univ Kansas, Dept Phys &amp; Astron, Lawrence, KS 66045 USA; [Besson, Dave Z.] Moscow Phys &amp; Engn Inst, Moscow, Russia; [Klein, Spencer R.] Univ Calif Berkeley, Lawrence Berkeley Natl Lab, Berkeley, CA 94720 USA; [Kleinfelder, Stuart A.] Univ Calif Irvine, Dept Elect Engn &amp; Comp Sci, Irvine, CA USA</t>
  </si>
  <si>
    <t>University of California System; University of California Irvine; University of Kansas; National Research Nuclear University MEPhI (Moscow Engineering Physics Institute); United States Department of Energy (DOE); Lawrence Berkeley National Laboratory; University of California System; University of California Berkeley; University of California System; University of California Irvine</t>
  </si>
  <si>
    <t>Hanson, JC (corresponding author), Univ Calif Irvine, Dept Phys &amp; Astron, Irvine, CA 92697 USA.</t>
  </si>
  <si>
    <t>918particle@gmail.com</t>
  </si>
  <si>
    <t>Hanson, Jordan/0000-0003-4055-4553; Dfffin, Thorin/0000-0002-0216-6827; Klein, Spencer/0000-0003-2841-6553</t>
  </si>
  <si>
    <t>Office of Polar Programs and Physics Division of the US National Science Foundation [ANT-08339133, NSF-0970175, NSF-1126672]; US Department of Energy [DE-AC-76SF-00098]; Directorate For Geosciences; Office of Polar Programs (OPP) [1126672] Funding Source: National Science Foundation; Directorate For Geosciences; Office of Polar Programs (OPP) [1413661] Funding Source: National Science Foundation</t>
  </si>
  <si>
    <t>Office of Polar Programs and Physics Division of the US National Science Foundation; US Department of Energy(United States Department of Energy (DOE)); Directorate For Geosciences; Office of Polar Programs (OPP)(National Science Foundation (NSF)NSF - Directorate for Geosciences (GEO)); Directorate For Geosciences; Office of Polar Programs (OPP)(National Science Foundation (NSF)NSF - Directorate for Geosciences (GEO))</t>
  </si>
  <si>
    <t>We thank the staff of Antarctic Support Contractors, Lockheed, Raytheon Polar Services, and the entire crew at McMurdo station for excellent logistical support. This work was supported by generous funding from the Office of Polar Programs and Physics Division of the US National Science Foundation, grant awards ANT-08339133, NSF-0970175 and NSF-1126672. In 2010, additional funding was provided through the US Department of Energy under contract DE-AC-76SF-00098. Finally, we thank David Saltzberg for comments and suggestions throughout the expeditions and analysis.</t>
  </si>
  <si>
    <t>10.3189/2015JoG14J214</t>
  </si>
  <si>
    <t>WOS:000358977400003</t>
  </si>
  <si>
    <t>Kingslake, J</t>
  </si>
  <si>
    <t>Kingslake, J.</t>
  </si>
  <si>
    <t>Chaotic dynamics of a glaciohydraulic model</t>
  </si>
  <si>
    <t>glacier hazards; glacier hydrology; glacier modelling; jokulhlaups (GLOFs); subglacial processes</t>
  </si>
  <si>
    <t>GREENLAND ICE-SHEET; SUBGLACIAL DRAINAGE SYSTEM; GLACIER-DAMMED LAKE; OUTBURST FLOODS; BENEATH; PROPAGATION; MOTION; JOKULHLAUPS; ANTARCTICA; MORPHOLOGY</t>
  </si>
  <si>
    <t>A model subglacial drainage system, coupled to an ice-dammed reservoir that receives a time-varying meltwater input, is described and analysed. In numerical experiments an ice-marginal lake drains through a subglacial channel, producing periodic floods, and fills with meltwater at a rate dependent on air temperature, which varies seasonally with a peak value of T-m. The analysis reveals regions of Tm parameter space corresponding to 'mode locking', where flood repeat time is independent of T-m; resonance, where decreasing T-m counter-intuitively increases flood size; and chaotic dynamics, where flood cycles are sensitive to initial conditions, never repeat and exhibit phase-space mixing. Bifurcations associated with abrupt changes in flood size and timing within the year separate these regions. This is the first time these complex dynamics have been displayed by a glaciohydraulic model and these findings have implications for our understanding of ice-marginal lakes, moulins and subglacial lakes.</t>
  </si>
  <si>
    <t>[Kingslake, J.] British Antarctic Survey, Nat Environm Res Council, Cambridge CB3 0ET, England; [Kingslake, J.] Univ Sheffield, Dept Geog, Sheffield S10 2TN, S Yorkshire, England</t>
  </si>
  <si>
    <t>Kingslake, J (corresponding author), British Antarctic Survey, Nat Environm Res Council, Cambridge CB3 0ET, England.</t>
  </si>
  <si>
    <t>University of Sheffield; British Antarctic Survey (BAS) Polar Science for Planet Earth programme; Natural Environment Research Council [bas0100034] Funding Source: researchfish; NERC [bas0100034] Funding Source: UKRI</t>
  </si>
  <si>
    <t>University of Sheffield; British Antarctic Survey (BAS) Polar Science for Planet Earth programme; Natural Environment Research Council(UK Research &amp; Innovation (UKRI)Natural Environment Research Council (NERC)); NERC(UK Research &amp; Innovation (UKRI)Natural Environment Research Council (NERC))</t>
  </si>
  <si>
    <t>I acknowledge the support of a University of Sheffield PhD studentship and the British Antarctic Survey (BAS) Polar Science for Planet Earth programme. Thank you to many people including Felix Ng, Alex Robel, Christian Schoof and Mauro Werder for discussions. I also thank Robert Arthern and Richard Hindmarsh for discussions and for commenting on the manuscript. Finally, I thank Helen Fricker and two anonymous reviewers for comments which improved the clarity of the paper.</t>
  </si>
  <si>
    <t>10.3189/2015JoG14J208</t>
  </si>
  <si>
    <t>Green Accepted, Green Submitted, Bronze</t>
  </si>
  <si>
    <t>WOS:000358977400007</t>
  </si>
  <si>
    <t>Evatt, GW; Abrahams, ID; Heil, M; Mayer, C; Kingslake, J; Mitchell, SL; Fowler, AC; Clark, CD</t>
  </si>
  <si>
    <t>Evatt, Geoffrey W.; Abrahams, I. David; Heil, Matthias; Mayer, Christoph; Kingslake, Jonathan; Mitchell, Sarah L.; Fowler, Andrew C.; Clark, Christopher D.</t>
  </si>
  <si>
    <t>Glacial melt under a porous debris layer</t>
  </si>
  <si>
    <t>debris-covered glaciers; energy balance; glacier modelling; moraine formation</t>
  </si>
  <si>
    <t>COVERED GLACIERS; ICE-SHEET; MOUNTAINS; ABLATION; BENEATH; BALANCE; ENERGY; MODEL</t>
  </si>
  <si>
    <t>In this paper we undertake a quantitative analysis of the dynamic process by which ice underneath a dry porous debris layer melts. We show that the incorporation of debris-layer airflow into a theoretical model of glacial melting can capture the empirically observed features of the so-called Ostrem curve (a plot of the melt rate as a function of debris depth). Specifically, we show that the turning point in the Ostrem curve can be caused by two distinct mechanisms: the increase in the proportion of ice that is debris-covered and/or a reduction in the evaporative heat flux as the debris layer thickens. This second effect causes an increased melt rate because the reduction in (latent) energy used for evaporation increases the amount of energy available for melting. Our model provides an explicit prediction for the melt rate and the temperature distribution within the debris layer, and provides insight into the relative importance of the two effects responsible for the maximum in the Ostrem curve. We use the data of Nicholson and Benn (2006) to show that our model is consistent with existing empirical measurements.</t>
  </si>
  <si>
    <t>[Evatt, Geoffrey W.; Abrahams, I. David; Heil, Matthias] Univ Manchester, Sch Math, Manchester, Lancs, England; [Mayer, Christoph] Bavarian Acad Sci &amp; Humanities, Commiss Geodesy &amp; Glaciol, Munich, Germany; [Kingslake, Jonathan] NERC, British Antarctic Survey, Cambridge, England; [Mitchell, Sarah L.; Fowler, Andrew C.] Univ Limerick, Dept Math &amp; Stat, Limerick, Ireland; [Fowler, Andrew C.] Univ Oxford, Math Inst, OCIAM, Oxford, England; [Clark, Christopher D.] Univ Sheffield, Dept Geog, Sheffield S10 2TN, S Yorkshire, England</t>
  </si>
  <si>
    <t>University of Manchester; UK Research &amp; Innovation (UKRI); Natural Environment Research Council (NERC); NERC British Antarctic Survey; University of Limerick; University of Oxford; University of Sheffield</t>
  </si>
  <si>
    <t>Evatt, GW (corresponding author), Univ Manchester, Sch Math, Manchester, Lancs, England.</t>
  </si>
  <si>
    <t>geoffrey.evatt@manchester.ac.uk</t>
  </si>
  <si>
    <t>Mitchell, Sarah L/L-7946-2014; Heil, Matthias/C-7018-2009; Abrahams, I. David/C-7169-2009; Clark, Chris D/C-3830-2009; Abrahams, I. David/AAK-8484-2020</t>
  </si>
  <si>
    <t>Abrahams, I. David/0000-0002-4134-4438; Abrahams, I. David/0000-0002-4134-4438; Mayer, Christoph/0000-0002-4226-4608; Mitchell, Sarah/0000-0003-3603-2883</t>
  </si>
  <si>
    <t>Engineering and Physical Sciences Research Council, UK, via MAPLE Platform [EP/I01912X/1]; Science Foundation Ireland mathematics initiative grant [12/1A/1683]; EPSRC [EP/I01912X/1] Funding Source: UKRI; NERC [bas0100034] Funding Source: UKRI; Engineering and Physical Sciences Research Council [EP/I01912X/1] Funding Source: researchfish; Natural Environment Research Council [bas0100034] Funding Source: researchfish</t>
  </si>
  <si>
    <t>Engineering and Physical Sciences Research Council, UK, via MAPLE Platform(UK Research &amp; Innovation (UKRI)Engineering &amp; Physical Sciences Research Council (EPSRC)); Science Foundation Ireland mathematics initiative grant(Science Foundation Ireland);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</si>
  <si>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This paper is the result of a workshop held in Karthaus, Sud-Tirol, 3-9 June 2012. Funding for the workshop was provided by the Engineering and Physical Sciences Research Council, UK, via the MAPLE Platform Grant EP/I01912X/1. A.C.F. acknowledges the support of the Science Foundation Ireland mathematics initiative grant 12/1A/1683, and I.D.A. undertook part of this work whilst in receipt of a Royal Society Wolfson Research Merit Award. We are also extremely grateful to reviewers of this paper for detailed and helpful comments.</t>
  </si>
  <si>
    <t>10.3189/2015JoG14J235</t>
  </si>
  <si>
    <t>CY3YE</t>
  </si>
  <si>
    <t>WOS:000366345000002</t>
  </si>
  <si>
    <t>Weikusat, C; Kipfstuhl, S; Weikusat, I</t>
  </si>
  <si>
    <t>Weikusat, Christian; Kipfstuhl, Sepp; Weikusat, Ilka</t>
  </si>
  <si>
    <t>Raman tomography of natural air hydrates</t>
  </si>
  <si>
    <t>clathrate hydrates; crystal growth; ice core; ice rheology; paleoclimate</t>
  </si>
  <si>
    <t>DEEP ICE-CORE; POLAR ICE; BUBBLES; CRYSTALS; SPECTRA; TRANSFORMATION; NUCLEATION; INCLUSIONS; NUMBER; GASES</t>
  </si>
  <si>
    <t>Cryo-Raman tomography allows us, for the first time, to determine accurate morphologies and volumes of natural air hydrates in Antarctic ice cores. The measurements show complex growth structures that are not accounted for by the available models of hydrate formation.</t>
  </si>
  <si>
    <t>[Weikusat, Christian; Kipfstuhl, Sepp; Weikusat, Ilka] Alfred Wegener Inst Polar &amp; Marine Res, Bremerhaven, Germany</t>
  </si>
  <si>
    <t>Weikusat, C (corresponding author), Alfred Wegener Inst Polar &amp; Marine Res, Bremerhaven, Germany.</t>
  </si>
  <si>
    <t>christian.weikusat@awi.de</t>
  </si>
  <si>
    <t>; Weikusat, Ilka/E-8826-2015</t>
  </si>
  <si>
    <t>Weikusat, Christian/0000-0002-3812-6325; Weikusat, Ilka/0000-0002-3023-6036</t>
  </si>
  <si>
    <t>Deutsche Forschungsgemeinschaft (DFG) [DFG WE4771]; Helmholtz Association by YIG [VH-NG-802]</t>
  </si>
  <si>
    <t>Deutsche Forschungsgemeinschaft (DFG)(German Research Foundation (DFG)); Helmholtz Association by YIG</t>
  </si>
  <si>
    <t>We thank Daniela Jansen for fruitful discussions, and three anonymous reviewers for helpful comments and suggestions. This work was supported by the Deutsche Forschungsgemeinschaft (DFG) in the framework of the priority programme 'Antarctic Research with comparative investigations in Arctic ice areas' by grant DFG WE4771 (CW) and by the Helmholtz Association by YIG grant VH-NG-802 (IW).</t>
  </si>
  <si>
    <t>10.3189/2015JoG15J009</t>
  </si>
  <si>
    <t>WOS:000366345000009</t>
  </si>
  <si>
    <t>Arthern, RJ</t>
  </si>
  <si>
    <t>Arthern, Robert J.</t>
  </si>
  <si>
    <t>Exploring the use of transformation group priors and the method of maximum relative entropy for Bayesian glaciological inversions</t>
  </si>
  <si>
    <t>ice-sheet modelling</t>
  </si>
  <si>
    <t>ANTARCTIC ICE-SHEET; SEA-LEVEL RISE; BASAL PROPERTIES; SURFACE DATA; SELECTION; STREAMS</t>
  </si>
  <si>
    <t>Ice-sheet models can be used to forecast ice losses from Antarctica and Greenland, but to fully quantify the risks associated with sea-level rise, probabilistic forecasts are needed. These require estimates of the probability density function (PDF) for various model parameters (e.g. the basal drag coefficient and ice viscosity). To infer such parameters from satellite observations it is common to use inverse methods. Two related approaches are in use: (1) minimization of a cost function that describes the misfit to the observations, often accompanied by explicit or implicit regularization, or (2) use of Bayes' theorem to update prior assumptions about the probability of parameters. Both approaches have much in common and questions of regularization often map onto implicit choices of prior probabilities that are made explicit in the Bayesian framework. In both approaches questions can arise that seem to demand subjective input. One way to specify prior PDFs more objectively is by deriving transformation group priors that are invariant to symmetries of the problem, and then maximizing relative entropy, subject to any additional constraints. Here we investigate the application of these methods to the derivation of priors for a Bayesian approach to an idealized glaciological inverse problem.</t>
  </si>
  <si>
    <t>[Arthern, Robert J.] British Antarctic Survey, Nat Environm Res Council, Cambridge, England</t>
  </si>
  <si>
    <t>Arthern, RJ (corresponding author), British Antarctic Survey, Nat Environm Res Council, Cambridge, England.</t>
  </si>
  <si>
    <t>rart@bas.ac.uk</t>
  </si>
  <si>
    <t>UK Natural Environment Research Council [NE/L005212/1]; NERC [bas0100034, NE/L005212/1] Funding Source: UKRI; Natural Environment Research Council [NE/L005212/1, bas0100034] Funding Source: researchfish</t>
  </si>
  <si>
    <t>The research was funded by the UK Natural Environment Research Council, including NERC grant NE/L005212/1. I am extremely grateful to the editor and two anonymous reviewers for very insightful and useful comments that significantly improved the manuscript. Richard Hindmarsh, Hilmar Gudmundsson, Jan De Rydt, Jonathan Kingslake and Dan Goldberg all provided useful comments on an earlier draft that have led to improvements.</t>
  </si>
  <si>
    <t>10.3189/2015JoG15J050</t>
  </si>
  <si>
    <t>WOS:000366345000011</t>
  </si>
  <si>
    <t>Nicholls, KW; Corr, HFJ; Stewart, CL; Lok, LB; Brennan, PV; Vaughan, DG</t>
  </si>
  <si>
    <t>Nicholls, Keith W.; Corr, Hugh F. J.; Stewart, Craig L.; Lok, Lai Bun; Brennan, Paul V.; Vaughan, David G.</t>
  </si>
  <si>
    <t>A ground-based radar for measuring vertical strain rates and time-varying basal melt rates in ice sheets and shelves</t>
  </si>
  <si>
    <t>Antarctic glaciology; glaciological instruments and methods; ice shelves; ice/ocean interactions; radio-echo sounding</t>
  </si>
  <si>
    <t>PINE ISLAND GLACIER; OCEAN; ANTARCTICA; ROSS; BENEATH</t>
  </si>
  <si>
    <t>The ApRES (autonomous phase-sensitive radio-echo sounder) instrument is a robust, lightweight and relatively inexpensive radar that has been designed to allow long-term, unattended monitoring of ice-shelf and ice-sheet thinning. We describe the instrument and demonstrate its capabilities and limitations by presenting results from three trial campaigns conducted in different Antarctic settings. Two campaigns were ice sheet-based - Pine Island Glacier and Dome C - and one was conducted on the Ross Ice Shelf. The ice-shelf site demonstrates the ability of the instrument to collect a time series of basal melt rates; the two grounded ice applications show the potential to recover profiles of vertical strain rate and also demonstrate some of the limitations of the present system.</t>
  </si>
  <si>
    <t>[Nicholls, Keith W.; Corr, Hugh F. J.; Vaughan, David G.] British Antarctic Survey, Nat Environm Res Council, Cambridge CB3 0ET, England; [Stewart, Craig L.] Univ Cambridge, Scott Polar Res Inst, Cambridge CB2 1ER, England; [Lok, Lai Bun; Brennan, Paul V.] UCL, Dept Elect &amp; Elect Engn, London, England</t>
  </si>
  <si>
    <t>UK Research &amp; Innovation (UKRI); Natural Environment Research Council (NERC); NERC British Antarctic Survey; University of Cambridge; University of London; University College London</t>
  </si>
  <si>
    <t>Nicholls, KW (corresponding author), British Antarctic Survey, Nat Environm Res Council, Cambridge CB3 0ET, England.</t>
  </si>
  <si>
    <t>kwni@bas.ac.uk</t>
  </si>
  <si>
    <t>Vaughan, David/C-8348-2011; Corr, Hugh/C-5398-2011; Stewart, Craig/HTL-6429-2023</t>
  </si>
  <si>
    <t>Vaughan, David/0000-0002-9065-0570; Stewart, Craig/0000-0002-3906-1594; Lok, Lai Bun/0000-0002-0033-9173</t>
  </si>
  <si>
    <t>UK Natural Environment Research Council; Natural Environment Research Council [bas0100033, NE/J005754/1] Funding Source: researchfish; NERC [NE/J005754/1, bas0100033] Funding Source: UKRI</t>
  </si>
  <si>
    <t>We are grateful to two anonymous reviewers whose comments significantly improved the manuscript. We also wish to acknowledge the National Institute of Water and Atmospheric Research, New Zealand, for provision of the oceanographic mooring data from the Ross Ice Shelf; the UK Natural Environment Research Council for funding for D.G.V.'s Pine Island Glacier fieldwork; Isobel Nias for revisiting D.G.V.'s iStar field sites; and Laboratoire de Glaciologie et Geophysique de l'Environnement for facilitating H.F.J.C.'s Dome C season.</t>
  </si>
  <si>
    <t>10.3189/2015JoG15J073</t>
  </si>
  <si>
    <t>DF9AW</t>
  </si>
  <si>
    <t>WOS:000371653600005</t>
  </si>
  <si>
    <t>Westoby, MJ; Dunning, SA; Woodward, J; Hein, AS; Marrero, SM; Winter, K; Sugden, DE</t>
  </si>
  <si>
    <t>Westoby, Matthew J.; Dunning, Stuart A.; Woodward, John; Hein, Andrew S.; Marrero, Shasta M.; Winter, Kate; Sugden, David E.</t>
  </si>
  <si>
    <t>Sedimentological characterization of Antarctic moraines using UAVs and Structure-from-Motion photogrammetry</t>
  </si>
  <si>
    <t>glacial geomorphology; glacial sedimentology; glaciological instruments and methods; moraine; remote sensing</t>
  </si>
  <si>
    <t>GRAIN-SIZE DISTRIBUTION; ICE-SHEET; DIGITAL PHOTOGRAMMETRY; GRAVEL BARS; DEM QUALITY; GLACIER; RANGE; ROUGHNESS; TRANSPORT; SCALE</t>
  </si>
  <si>
    <t>In glacial environments particle-size analysis of moraines provides insights into clast origin, transport history, depositional mechanism and processes of reworking. Traditional methods for grain-size classification are labour-intensive, physically intrusive and are limited to patch-scale (1 m(2)) observation. We develop emerging, high-resolution ground- and unmanned aerial vehicle-based 'Structure-from-Motion' (UAV-SfM) photogrammetry to recover grain-size information across a moraine surface in the Heritage Range, Antarctica. SfM data products were benchmarked against equivalent datasets acquired using terrestrial laser scanning, and were found to be accurate to within 1.7 and 50 mm for patch- and site-scale modelling, respectively. Grain-size distributions were obtained through digital grain classification, or 'photo-sieving', of patch-scale SfM orthoimagery. Photo-sieved distributions were accurate to &lt;2 mm compared to control distributions derived from dry-sieving. A relationship between patch-scale median grain size and the standard deviation of local surface elevations was applied to a site-scale UAV-SfM model to facilitate upscaling and the production of a spatially continuous map of the median grain size across a 0.3 km(2) area of moraine. This highly automated workflow for site-scale sedimentological characterization eliminates much of the subjectivity associated with traditional methods and forms a sound basis for subsequent glaciological process interpretation and analysis.</t>
  </si>
  <si>
    <t>[Westoby, Matthew J.; Dunning, Stuart A.; Woodward, John; Winter, Kate] Northumbria Univ, Dept Geog Engn &amp; Environm, Newcastle Upon Tyne NE1 8ST, Tyne &amp; Wear, England; [Hein, Andrew S.; Marrero, Shasta M.; Sugden, David E.] Univ Edinburgh, Sch GeoSci, Edinburgh, Midlothian, Scotland</t>
  </si>
  <si>
    <t>Northumbria University; University of Edinburgh</t>
  </si>
  <si>
    <t>Westoby, MJ (corresponding author), Northumbria Univ, Dept Geog Engn &amp; Environm, Newcastle Upon Tyne NE1 8ST, Tyne &amp; Wear, England.</t>
  </si>
  <si>
    <t>matt.westoby@northumbria.ac.uk</t>
  </si>
  <si>
    <t>Westoby, Matthew/JNE-9260-2023; Hein, Andrew/JWO-3756-2024; Woodward, John/I-1046-2013; Westoby, Matthew/D-3880-2016; Dunning, Stuart/A-1820-2010</t>
  </si>
  <si>
    <t>Woodward, John/0000-0002-4980-4080; Westoby, Matthew/0000-0002-2070-5580; Dunning, Stuart/0000-0002-2310-7367; Marrero, Shasta/0000-0003-2917-0292; Winter, Kate/0000-0003-2389-8637; Hein, Andrew/0000-0003-3397-3813</t>
  </si>
  <si>
    <t>UK Natural Environment Research Council [NE/I027576/1, NE/I025840/1, NE/I024194/1, NE/I025263/1]; NERC [NE/I025263/1, NE/I024194/1, NE/I025840/1, NE/I027576/1] Funding Source: UKRI; Natural Environment Research Council [NE/I024194/1, NE/I025840/1, NE/I025263/1, NE/I027576/1] Funding Source: researchfish</t>
  </si>
  <si>
    <t>The research was funded by the UK Natural Environment Research Council (Research Grants NE/I027576/1, NE/I025840/1, NE/I024194/1, NE/I025263/1). M.J.W. acknowledges Martin Detert for assistance with BASEGRAIN parameterization. We thank the British Antarctic Survey for field logistics support.</t>
  </si>
  <si>
    <t>10.3189/2015JoG15J086</t>
  </si>
  <si>
    <t>Green Submitted, hybrid, Green Published, Green Accepted</t>
  </si>
  <si>
    <t>WOS:000371653600006</t>
  </si>
  <si>
    <t>Wearing, MG; Hindmarsh, RCA; Worster, MG</t>
  </si>
  <si>
    <t>Wearing, Martin G.; Hindmarsh, Richard C. A.; Worster, M. Grae</t>
  </si>
  <si>
    <t>Assessment of ice flow dynamics in the zone close to the calving front of Antarctic ice shelves</t>
  </si>
  <si>
    <t>Antarctic glaciology; ice dynamics; ice rheology; ice shelves; ice velocity</t>
  </si>
  <si>
    <t>SURFACE; SHEET</t>
  </si>
  <si>
    <t>We investigate the relationship between four ice-shelf characteristics in the area close to the calving front: ice flow speed, strain rate, ice thickness and shelf width. Data are compiled for these glaciological parameters at the calving fronts of 22 Antarctic ice shelves. Clarification concerning the viscous supply of ice to the calving front is sought following the empirical calving law of Alley and others (2008), derived from a similar but smaller dataset, and the scaling analysis of Hindmarsh (2012). The dataset is analysed and good agreement is observed between the expected theoretical scaling and geophysical data for the flow of ice near the calving front in the case of ice shelves that are laterally confined and have uniform rheology. The lateral confinement ensures flow is aligned in the along-shelf direction, and uniform rheological parameters mean resistance to flow is provided by near-stationary ice in the grounded margins. In other cases, the velocity is greater than predicted, which we attribute to marginal weakening or the presence of ice tongues.</t>
  </si>
  <si>
    <t>[Wearing, Martin G.; Hindmarsh, Richard C. A.] British Antarctic Survey, Nat Environm Res Council, Cambridge CB3 0ET, England; [Wearing, Martin G.; Worster, M. Grae] Univ Cambridge, Dept Appl Math &amp; Theoret Phys, Cambridge CB3 9EW, England</t>
  </si>
  <si>
    <t>Wearing, MG (corresponding author), British Antarctic Survey, Nat Environm Res Council, Cambridge CB3 0ET, England.</t>
  </si>
  <si>
    <t>marwe@bas.ac.uk</t>
  </si>
  <si>
    <t>Hindmarsh, Richard/N-1195-2019</t>
  </si>
  <si>
    <t>Hindmarsh, Richard/0000-0003-1633-2416; Wearing, Martin/0000-0002-8927-8564; Worster, Michael Grae/0000-0002-9248-2144</t>
  </si>
  <si>
    <t>British Antarctic Survey - Natural Environment Research Council [NE/K50094X/1]; NERC [NE/J008087/1, NE/F01550X/1, bas0100034, NE/J008095/1, NE/F015526/1] Funding Source: UKRI; Natural Environment Research Council [NE/J008095/1, 1246240, bas0100034, NE/J008087/1, NE/F015526/1, NE/F01550X/1] Funding Source: researchfish</t>
  </si>
  <si>
    <t>British Antarctic Survey - Natural Environment Research Council; NERC(UK Research &amp; Innovation (UKRI)Natural Environment Research Council (NERC)); Natural Environment Research Council(UK Research &amp; Innovation (UKRI)Natural Environment Research Council (NERC))</t>
  </si>
  <si>
    <t>This work was supported by a British Antarctic Survey studentship funded by the Natural Environment Research Council, grant No. NE/K50094X/1. We are grateful for the support and useful comments of Robert Arthern and Hilmar Gudmundsson.</t>
  </si>
  <si>
    <t>10.3189/2015JoG15J116</t>
  </si>
  <si>
    <t>WOS:000371653600015</t>
  </si>
  <si>
    <t>Margold, M; Stokes, CR; Clark, CD; Kleman, J</t>
  </si>
  <si>
    <t>Margold, Martin; Stokes, Chris R.; Clark, Chris D.; Kleman, Johan</t>
  </si>
  <si>
    <t>Ice streams in the Laurentide Ice Sheet: a new mapping inventory</t>
  </si>
  <si>
    <t>JOURNAL OF MAPS</t>
  </si>
  <si>
    <t>ice stream; Laurentide Ice Sheet; glacial landform record; mega-scale glacial lineations</t>
  </si>
  <si>
    <t>LAKE-MICHIGAN LOBE; LATE WISCONSINAN GLACIATION; NORTH-EASTERN LAURENTIDE; CENTRAL BAFFIN-ISLAND; DES-MOINES LOBE; GREEN-BAY LOBE; HUDSON STRAIT; INNUITIAN ICE; LATE PLEISTOCENE; CANADIAN SHIELD</t>
  </si>
  <si>
    <t>Rapidly flowing ice streams dominate the drainage of continental ice sheets and are a key component of their mass balance. Due to their potential impact on sea level, their activity in the Antarctic and Greenland Ice Sheets has undergone detailed scrutiny in recent decades. However, these observations only cover a fraction of their 'life-span' and the subglacial processes that facilitate their rapid flow are very difficult to observe. To circumvent these problems, numerous workers have highlighted the potential of investigating palaeo-ice streams tracks, preserved in the landform and sedimentary record of former ice sheets. As such, it is becoming increasingly important to know where and when palaeo-ice streams operated. In this paper, we present a new map of ice streams in the North American Laurentide Ice Sheet (LIS; including the Innuitian Ice Sheet), which was the largest of the ephemeral Pleistocene ice sheets and where numerous ice streams have been identified. We compile previously published evidence of ice stream activity and complement it with new mapping to generate the most complete and consistent mapping inventory to date. The map depicts close to three times as many ice streams (117 in total) compared to previous inventories, and categorises them according to the evidence they left behind, with some locations more speculative than others. The map considerably refines our understanding of LIS dynamics, but there is a clear requirement for improved dating of ice stream activity.</t>
  </si>
  <si>
    <t>[Margold, Martin; Stokes, Chris R.] Univ Durham, Dept Geog, Durham, England; [Clark, Chris D.] Univ Sheffield, Dept Geog, Sheffield S10 2TN, S Yorkshire, England; [Kleman, Johan] Stockholm Univ, Dept Phys Geog &amp; Quaternary Geol, S-10691 Stockholm, Sweden</t>
  </si>
  <si>
    <t>Durham University; University of Sheffield; Stockholm University</t>
  </si>
  <si>
    <t>Margold, M (corresponding author), Univ Durham, Dept Geog, Durham, England.</t>
  </si>
  <si>
    <t>c.r.stokes@durham.ac.uk</t>
  </si>
  <si>
    <t>Stokes, Chris/A-1957-2011; Margold, Martin/V-4634-2018; clark, chris/C-3830-2009</t>
  </si>
  <si>
    <t>Stokes, Chris/0000-0003-3355-1573; Margold, Martin/0000-0001-5834-850X; clark, chris/0000-0002-1021-6679</t>
  </si>
  <si>
    <t>Natural Environment Research Council [NE/J00782X/1]; Natural Environment Research Council [NE/J007455/1, NE/J00782X/1] Funding Source: researchfish; NERC [NE/J00782X/1, NE/J007455/1] Funding Source: UKRI</t>
  </si>
  <si>
    <t>This work was supported by the Natural Environment Research Council under grant number NE/J00782X/1.</t>
  </si>
  <si>
    <t>1744-5647</t>
  </si>
  <si>
    <t>J MAPS</t>
  </si>
  <si>
    <t>J. Maps</t>
  </si>
  <si>
    <t>10.1080/17445647.2014.912036</t>
  </si>
  <si>
    <t>Geography; Geography, Physical</t>
  </si>
  <si>
    <t>Geography; Physical Geography</t>
  </si>
  <si>
    <t>CB9XV</t>
  </si>
  <si>
    <t>Green Published, Green Accepted</t>
  </si>
  <si>
    <t>WOS:000349988600002</t>
  </si>
  <si>
    <t>Gaube, P; Chelton, DB; Samelson, RM; Schlax, MG; O'Neill, LW</t>
  </si>
  <si>
    <t>Gaube, Peter; Chelton, Dudley B.; Samelson, Roger M.; Schlax, Michael G.; O'Neill, Larry W.</t>
  </si>
  <si>
    <t>Satellite Observations of Mesoscale Eddy-Induced Ekman Pumping</t>
  </si>
  <si>
    <t>SEA-SURFACE TEMPERATURE; OCEAN CIRCULATION; WIND STRESS; NORTH-ATLANTIC; EDDIES; CHLOROPHYLL; LAYER; RINGS; PARAMETERIZATION; SIMULATION</t>
  </si>
  <si>
    <t>Three mechanisms for self-induced Ekman pumping in the interiors of mesoscale ocean eddies are investigated. The first arises from the surface stress that occurs because of differences between surface wind and ocean velocities, resulting in Ekman upwelling and downwelling in the cores of anticyclones and cyclones, respectively. The second mechanism arises from the interaction of the surface stress with the surface current vorticity gradient, resulting in dipoles of Ekman upwelling and downwelling. The third mechanism arises from eddy-induced spatial variability of sea surface temperature (SST), which generates a curl of the stress and therefore Ekman pumping in regions of crosswind SST gradients. The spatial structures and relative magnitudes of the three contributions to eddy-induced Ekman pumping are investigated by collocating satellite-based measurements of SST, geostrophic velocity, and surface winds to the interiors of eddies identified from their sea surface height signatures. On average, eddy-induced Ekman pumping velocities approach O(10) cm day(-1). SST-induced Ekman pumping is usually secondary to the two current-induced mechanisms for Ekman pumping. Notable exceptions are the midlatitude extensions of western boundary currents and the Antarctic Circumpolar Current, where SST gradients are strong and all three mechanisms for eddy-induced Ekman pumping are comparable in magnitude. Because the polarity of current-induced curl of the surface stress opposes that of the eddy, the associated Ekman pumping attenuates the eddies. The decay time scale of this attenuation is proportional to the vertical scale of the eddy and inversely proportional to the wind speed. For typical values of these parameters, the decay time scale is about 1.3 yr.</t>
  </si>
  <si>
    <t>[Gaube, Peter; Chelton, Dudley B.; Samelson, Roger M.; Schlax, Michael G.; O'Neill, Larry W.] Oregon State Univ, Coll Earth Ocean &amp; Atmospher Sci, Corvallis, OR 97331 USA</t>
  </si>
  <si>
    <t>Oregon State University</t>
  </si>
  <si>
    <t>Gaube, P (corresponding author), Woods Hole Oceanog Inst, Dept Appl Ocean Phys &amp; Engn, Mail Stop 9, Woods Hole, MA 02543 USA.</t>
  </si>
  <si>
    <t>pgaube@whoi.edu</t>
  </si>
  <si>
    <t>NASA [NNX08AI80G, NNX08AR37G, NNX13AD78G, NNX10AE91G, NNX13AE47G, NNX10AO98G]; NASA [NNX10AO98G, 475362, NNX13AE47G, 135013, NNX10AE91G, 126603, NNX08AR37G, 95201, NNX08AI80G, 100261, NNX13AD78G, 475178] Funding Source: Federal RePORTER</t>
  </si>
  <si>
    <t>NASA(National Aeronautics &amp; Space Administration (NASA)); NASA(National Aeronautics &amp; Space Administration (NASA))</t>
  </si>
  <si>
    <t>We thank Remote Sensing Systems (http://www.ssmi.com) for providing the QuikSCAT vector wind observations, Collecte Localis Satellites, AVISO (http://www.aviso.oceanobs.com) for the SSH observations, and the NOAA National Climatic Data Center for the SST observations (data available at ftp://eclipse.ncdc.noaa.gov/pub/OI-daily-v2/NetCDF). We thank Martin S. Hoecker-Martinez for participating in valuable discussions during the writing of this manuscript. We also thank Dr. Peter Cornillon and an anonymous reviewer for comments that improved the manuscript. This work was funded by NASA Grants NNX08AI80G, NNX08AR37G, NNX13AD78G, NNX10AE91G, NNX13AE47G, and NNX10AO98G.</t>
  </si>
  <si>
    <t>10.1175/JPO-D-14-0032.1</t>
  </si>
  <si>
    <t>WOS:000347535800005</t>
  </si>
  <si>
    <t>Kimura, S; Nicholls, KW; Venables, E</t>
  </si>
  <si>
    <t>Kimura, Satoshi; Nicholls, Keith W.; Venables, Emily</t>
  </si>
  <si>
    <t>Estimation of Ice Shelf Melt Rate in the Presence of a Thermohaline Staircase</t>
  </si>
  <si>
    <t>OCEAN CIRCULATION BENEATH; STABLE SALINITY GRADIENT; BOUNDARY-LAYER; WEDDELL SEA; TURBULENCE STRUCTURE; DIFFUSIVE INTERFACE; MERGING EVENTS; GLACIER TONGUE; ANTARCTICA; MODEL</t>
  </si>
  <si>
    <t>Diffusive convection-favorable thermohaline staircases are observed directly beneath George VI Ice Shelf, Antarctica. A thermohaline staircase is one of the most pronounced manifestations of double-diffusive convection. Cooling and freshening of the ocean by melting ice produces cool, freshwater above the warmer, saltier water, the water mass distribution favorable to a type of double-diffusive convection known as diffusive convection. While the vertical distribution of water masses can be susceptible to diffusive convection, none of the observations beneath ice shelves so far have shown signals of this process and its effect on melting ice shelves is uncertain. The melt rate of ice shelves is commonly estimated using a parameterization based on a three-equation model, which assumes a fully developed, unstratified turbulent flow over hydraulically smooth surfaces. These prerequisites are clearly not met in the presence of a thermohaline staircase. The basal melt rate is estimated by applying an existing heat flux parameterization for diffusive convection in conjunction with the measurements of oceanic conditions at one site beneath George VI Ice Shelf. These estimates yield a possible range of melt rates between 0.1 and 1.3 m yr(-1), where the observed melt rate of this site is similar to 1.4 m yr (1). Limitations of the formulation and implications of diffusive convection beneath ice shelves are discussed.</t>
  </si>
  <si>
    <t>[Kimura, Satoshi; Nicholls, Keith W.; Venables, Emily] British Antarctic Survey, High Cross Madingley Rd, Cambridge CB3 0ET, England</t>
  </si>
  <si>
    <t>Kimura, S (corresponding author), British Antarctic Survey, High Cross Madingley Rd, Cambridge CB3 0ET, England.</t>
  </si>
  <si>
    <t>skimura04@gmail.com</t>
  </si>
  <si>
    <t>Kimura, Satoshi/AAT-3036-2021</t>
  </si>
  <si>
    <t>Kimura, Satoshi/0000-0003-1689-1605</t>
  </si>
  <si>
    <t>U.K. Natural Environment Research Council [NE/H009205/1]; Natural Environment Research Council [bas0100033, NE/H009205/1, bas0100028] Funding Source: researchfish; NERC [bas0100033, NE/H009205/1, bas0100028]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</si>
  <si>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</si>
  <si>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Comments from two anonymous reviewers improved the manuscript. The work was supported by the U.K. Natural Environment Research Council under NE/H009205/1.</t>
  </si>
  <si>
    <t>10.1175/JPO-D-14-0106.1</t>
  </si>
  <si>
    <t>WOS:000347535800006</t>
  </si>
  <si>
    <t>Howard, E; Hogg, AM; Waterman, S; Marshall, DP</t>
  </si>
  <si>
    <t>Howard, Emma; Hogg, Andrew McC; Waterman, Stephanie; Marshall, David P.</t>
  </si>
  <si>
    <t>The Injection of Zonal Momentum by Buoyancy Forcing in a Southern Ocean Model</t>
  </si>
  <si>
    <t>MERIDIONAL OVERTURNING CIRCULATION; ANTARCTIC CIRCUMPOLAR CURRENT; BALANCE; WIND; CHANNEL; TRANSPORT</t>
  </si>
  <si>
    <t>An overturning circulation, driven by prescribed buoyancy forcing, is used to set a zonal volume transport in a reentrant channel ocean model with three isopycnal layers. The channel is designed to represent the Southern Ocean such that the forced overturning resembles the lower limb of the meridional overturning circulation (MOC). The relative contributions of wind and buoyancy forcing to the zonal circulation are examined. It is found that the zonal volume transport is strongly dependent on the buoyancy forcing and that the eddy kinetic energy is primarily set by wind stress forcing. The zonal momentum budget integrated over each layer is considered in the buoyancy-forced, wind-forced, and combined forcing case. At equilibrium, sources and sinks of momentum are balanced, but the transient spinup reveals the source of momentum for the current. In the buoyancy-forced case, the forcing creates a baroclinic shear with westward flow in the lower layer, allowing topographic form stress and bottom friction to act as the initial sources of eastward momentum, with bottom friction acting over a longer time frame. In the wind-forced and combined forcing cases, the surface wind stress dominates the initial momentum budget, and the time to reach equilibration is shorter in the combined forcing simulation. These results imply that future changes in the rate of formation of Antarctic Bottom Water may alter the volume transport of the Antarctic Circumpolar Current.</t>
  </si>
  <si>
    <t>[Howard, Emma; Hogg, Andrew McC] Australian Natl Univ, Res Sch Earth Sci, Canberra, ACT, Australia; [Howard, Emma; Hogg, Andrew McC] Australian Natl Univ, ARC Ctr Excellence Climate Syst Sci, Canberra, ACT, Australia; [Waterman, Stephanie] Univ New S Wales, Climate Change Res Ctr, Sydney, NSW, Australia; [Waterman, Stephanie] Univ New S Wales, ARC Ctr Excellence Climate Syst Sci, Sydney, NSW, Australia; [Marshall, David P.] Univ Oxford, Dept Phys, Oxford, England</t>
  </si>
  <si>
    <t>Australian National University; Australian National University; ARC Centre of Excellence for Climate System Science; University of New South Wales Sydney; ARC Centre of Excellence for Climate System Science; University of New South Wales Sydney; University of Oxford</t>
  </si>
  <si>
    <t>Hogg, AM (corresponding author), Australian Natl Univ, Res Sch Earth Sci, 142 Mills Rd, Acton, ACT 0200, Australia.</t>
  </si>
  <si>
    <t>andy.hogg@anu.eud.au</t>
  </si>
  <si>
    <t>Marshall, David Philip/B-6767-2009; Hogg, Andy McC./A-7553-2011; Howard, Emma/KBA-8968-2024; Hogg, Andy/AAZ-8733-2021; Waterman, Stephanie/AAY-6033-2020; Howard, Emma/HSF-5594-2023</t>
  </si>
  <si>
    <t>Marshall, David Philip/0000-0002-5199-6579; Hogg, Andy McC./0000-0001-5898-7635; Hogg, Andy/0000-0001-5898-7635; Waterman, Stephanie/0000-0001-5797-1092; Howard, Emma/0000-0003-0108-1220</t>
  </si>
  <si>
    <t>RSES; Australian Research Council [FT120100842]; Australian Commonwealth Government; NERC [NE/H005668/1] Funding Source: UKRI; Natural Environment Research Council [NE/H005668/1] Funding Source: researchfish; Australian Research Council [FT120100842] Funding Source: Australian Research Council</t>
  </si>
  <si>
    <t>RSES; Australian Research Council(Australian Research Council); Australian Commonwealth Government(Australian Government); NERC(UK Research &amp; Innovation (UKRI)Natural Environment Research Council (NERC)); Natural Environment Research Council(UK Research &amp; Innovation (UKRI)Natural Environment Research Council (NERC)); Australian Research Council(Australian Research Council)</t>
  </si>
  <si>
    <t>EH gratefully acknowledges the support of an A. L. Hales Scholarship provided by RSES. AMH was supported by an Australian Research Council Future Fellowship FT120100842. This research was undertaken on the NCI National Facility in Canberra, Australia, which is supported by the Australian Commonwealth Government. Our thanks to Ryan Abernathey, Andy Thompson, and two anonymous reviewers for constructive comments on the first draft of this paper.</t>
  </si>
  <si>
    <t>10.1175/JPO-D-14-0098.1</t>
  </si>
  <si>
    <t>WOS:000347535800014</t>
  </si>
  <si>
    <t>Bassett, C; Lavery, AC; Maksym, T; Wilkinson, JP</t>
  </si>
  <si>
    <t>Bassett, Christopher; Lavery, Andone C.; Maksym, Ted; Wilkinson, Jeremy P.</t>
  </si>
  <si>
    <t>Laboratory measurements of high-frequency, acoustic broadband backscattering from sea ice and crude oil</t>
  </si>
  <si>
    <t>UNDER-ICE; SCATTERING</t>
  </si>
  <si>
    <t>Recent decreases in summer sea ice cover are spurring interest in hydrocarbon extraction and shipping in Arctic waters, increasing the risk of an oil spill in ice covered waters. With advances in unmanned vehicle operation, there is an interest in identifying techniques for remote, underwater detection of oil spills from below. High-frequency (200-565 kHz), broadband acoustic scattering data demonstrate that oil can be detected and quantified under laboratory grown sea ice and may be of use in natural settings. A simple scattering model based on the reflection coefficients from the interfaces agrees well with the data. (C) 2014 Acoustical Society of America</t>
  </si>
  <si>
    <t>[Bassett, Christopher; Lavery, Andone C.; Maksym, Ted] Woods Hole Oceanog Inst, Dept Appl Ocean Phys &amp; Engn, Woods Hole, MA 02543 USA; [Wilkinson, Jeremy P.] British Antarctic Survey, Cambridge, England</t>
  </si>
  <si>
    <t>Woods Hole Oceanographic Institution; UK Research &amp; Innovation (UKRI); Natural Environment Research Council (NERC); NERC British Antarctic Survey</t>
  </si>
  <si>
    <t>Bassett, C (corresponding author), Woods Hole Oceanog Inst, Dept Appl Ocean Phys &amp; Engn, Woods Hole, MA 02543 USA.</t>
  </si>
  <si>
    <t>cbassett@whoi.edu; alavery@whoi.edu; tmaksym@whoi.edu; jpw28@bas.ac.uk</t>
  </si>
  <si>
    <t>Lavery, Andone/0000-0002-0713-1623</t>
  </si>
  <si>
    <t>U.S. Bureau of Safety and Environmental Enforcement [E12PC00053]; WHOI Postdoctoral Scholar Program; United States Geological Survey; Natural Environment Research Council [bas0100023] Funding Source: researchfish; NERC [bas0100023] Funding Source: UKRI</t>
  </si>
  <si>
    <t>U.S. Bureau of Safety and Environmental Enforcement; WHOI Postdoctoral Scholar Program; United States Geological Survey(United States Geological Survey); Natural Environment Research Council(UK Research &amp; Innovation (UKRI)Natural Environment Research Council (NERC)); NERC(UK Research &amp; Innovation (UKRI)Natural Environment Research Council (NERC))</t>
  </si>
  <si>
    <t>The authors would like to thank the staff at HSVA, especially Karl Ulrich-Evers, for their organizational, logistical, and technical support. In addition, we thank Dale Chayes and Chris Callinan for their help during the experiment. Funding for the work was provided by the U.S. Bureau of Safety and Environmental Enforcement contract number E12PC00053. C.B. was supported by the WHOI Postdoctoral Scholar Program with funding provided by the United States Geological Survey.</t>
  </si>
  <si>
    <t>EL32</t>
  </si>
  <si>
    <t>EL38</t>
  </si>
  <si>
    <t>10.1121/1.4902421</t>
  </si>
  <si>
    <t>Bronze, Green Published, Green Accepted</t>
  </si>
  <si>
    <t>WOS:000348369000006</t>
  </si>
  <si>
    <t>Wang, Y; Yan, XD; Wang, ZM</t>
  </si>
  <si>
    <t>Wang, Ye; Yan, Xiaodong; Wang, Zhaomin</t>
  </si>
  <si>
    <t>Effects of regional afforestation on global climate</t>
  </si>
  <si>
    <t>JOURNAL OF WATER AND CLIMATE CHANGE</t>
  </si>
  <si>
    <t>climate change; land cover change; modeling; regional afforestation</t>
  </si>
  <si>
    <t>LAND-COVER CHANGE; TROPICAL DEFORESTATION; BIOGEOPHYSICAL IMPACTS; SYSTEM MODEL; PART II; SCALE; VEGETATION; CIRCULATION; SENSITIVITY; SIMULATION</t>
  </si>
  <si>
    <t>Carbon (C) sequestration following afforestation is regarded as economically, politically, and technically feasible for fighting global warming, whereas the afforested area which will contribute more efficiently as sinks for CO2 is still uncertain. To compare the benefits for C sequestration combined with its biogeochemical effects, an earth system model of intermediate complexity, the McGill Paleoclimate Model-2 (MPM-2) is used to identify the biogeophysical effects of regional afforestation on shaping global climate. An increase in forest in China has led to a prominent global warming during summer around 45 degrees N. Conversely, the forest expansion in the USA causes a noticeable increase in global mean annual temperature during winter. Afforestation in the USA and China brings about a decrease in annual mean meridional oceanic heat transport, while the afforestation in low latitudes of the southern hemisphere causes an increase. These local and global impacts suggest that regional tree plantations may produce a differential effect on the Earth's climate, and even exert an opposite effect on the annual mean meridional oceanic heat transport; they imply that its spatial variation of biogeophysical feedbacks needs to be considered when evaluating the benefits of afforestation.</t>
  </si>
  <si>
    <t>[Wang, Ye] Nanjing Univ Aeronaut &amp; Astronaut, Coll Civil Aviat, Nanjing 210016, Jiangsu, Peoples R China; [Yan, Xiaodong] Beijing Normal Univ, Coll Global Change &amp; Earth Syst Sci, State Key Lab Earth Surface Proc &amp; Resource Ecol, Beijing 100875, Peoples R China; [Wang, Zhaomin] British Antarctic Survey, Cambridge CB3 0ET, England</t>
  </si>
  <si>
    <t>Nanjing University of Aeronautics &amp; Astronautics; Beijing Normal University; UK Research &amp; Innovation (UKRI); Natural Environment Research Council (NERC); NERC British Antarctic Survey</t>
  </si>
  <si>
    <t>Wang, Y (corresponding author), Nanjing Univ Aeronaut &amp; Astronaut, Coll Civil Aviat, Nanjing 210016, Jiangsu, Peoples R China.</t>
  </si>
  <si>
    <t>wytea@126.com</t>
  </si>
  <si>
    <t>Yan, Xiaodong/0000-0002-0774-9140</t>
  </si>
  <si>
    <t>Nature Science Foundation of China-Youth Science Fund Project [41305055]; major project of the Chinese National Programs for Fundamental Research and Development (Program 973) [2010CB950903]; NERC [bas0100028, bas0100033] Funding Source: UKRI; Natural Environment Research Council [bas0100028, bas0100033] Funding Source: researchfish</t>
  </si>
  <si>
    <t>Nature Science Foundation of China-Youth Science Fund Project; major project of the Chinese National Programs for Fundamental Research and Development (Program 973); NERC(UK Research &amp; Innovation (UKRI)Natural Environment Research Council (NERC)); Natural Environment Research Council(UK Research &amp; Innovation (UKRI)Natural Environment Research Council (NERC))</t>
  </si>
  <si>
    <t>This research was supported by the Nature Science Foundation of China-Youth Science Fund Project (grant no. 41305055) and major project of the Chinese National Programs for Fundamental Research and Development (Program 973) (grant no. 2010CB950903).</t>
  </si>
  <si>
    <t>IWA PUBLISHING</t>
  </si>
  <si>
    <t>ALLIANCE HOUSE, 12 CAXTON ST, LONDON SW1H0QS, ENGLAND</t>
  </si>
  <si>
    <t>2040-2244</t>
  </si>
  <si>
    <t>J WATER CLIM CHANGE</t>
  </si>
  <si>
    <t>J. Water Clim. Chang.</t>
  </si>
  <si>
    <t>10.2166/wcc.2014.136</t>
  </si>
  <si>
    <t>Water Resources</t>
  </si>
  <si>
    <t>CJ5YD</t>
  </si>
  <si>
    <t>WOS:000355569100002</t>
  </si>
  <si>
    <t>Ramos, JE; Pecl, GT; Semmens, JM; Strugnell, JM; León, RI; Moltschaniwskyj, NA</t>
  </si>
  <si>
    <t>Ramos, Jorge E.; Pecl, Gretta T.; Semmens, Jayson M.; Strugnell, Jan M.; Leon, Rafael I.; Moltschaniwskyj, Natalie A.</t>
  </si>
  <si>
    <t>Reproductive capacity of a marine species (Octopus tetricus) within a recent range extension area</t>
  </si>
  <si>
    <t>MARINE AND FRESHWATER RESEARCH</t>
  </si>
  <si>
    <t>East Australian Current; fecundity; Ocean warming; population dynamics; population establishment; range shift</t>
  </si>
  <si>
    <t>LIFE-HISTORY; COMMON OCTOPUS; CLIMATE-CHANGE; WATER MASSES; VULGARIS; GROWTH; SQUID; CEPHALOPODA; EVOLUTION; BIOLOGY</t>
  </si>
  <si>
    <t>To persist in the face of environmental change, species must adjust to the new conditions or change their geographical distribution, e.g. by range extension. Success for individuals within a zone of range extension requires the new environment to support their capacity to produce viable gametes and survival of the offspring. Reproductive characteristics of the polewards range-shifting Octopus tetricus were examined within the new range off north-eastern Tasmania, Australia, to assess whether it is likely to successfully establish in this extended area of its range. Approximately 44% of captured males and 14% of captured females were mature. Mature females with developing eggs were found throughout the year. Greater numbers of mature females were observed during the austral summer and spring, whereas mature males were observed all year round. Fecundity was high and developing embryos appeared to be viable. Our results suggest that O. tetricus is successfully reproducing beyond its historical range, the reproductive cycle is timed to favourable environmental conditions, and the population has the potential to be self-sustainable. The reproductive biology of O. tetricus may thus facilitate the establishment and prevalence of the population into new environments beyond the known historical distribution.</t>
  </si>
  <si>
    <t>[Ramos, Jorge E.; Pecl, Gretta T.; Semmens, Jayson M.; Leon, Rafael I.] Univ Tasmania, Inst Marine &amp; Antarctic Studies, Hobart, Tas 7001, Australia; [Strugnell, Jan M.] La Trobe Univ, La Trobe Inst Mol Sci, Dept Genet, Melbourne, Vic 3086, Australia; [Moltschaniwskyj, Natalie A.] Univ Newcastle, Sch Environm &amp; Life Sci, Ourimbah, NSW 2258, Australia</t>
  </si>
  <si>
    <t>University of Tasmania; La Trobe University; Melbourne Genomics Health Alliance; University of Newcastle</t>
  </si>
  <si>
    <t>Ramos, JE (corresponding author), Univ Tasmania, Inst Marine &amp; Antarctic Studies, Private Bag 49, Hobart, Tas 7001, Australia.</t>
  </si>
  <si>
    <t>jeramos@utas.edu.au</t>
  </si>
  <si>
    <t>Robledo, Jorge Alejandro Kurczyn/I-8473-2017; Strugnell, Jan M/P-9921-2016; León, Rafael I/N-6510-2014; Pecl, Gretta/D-7267-2011; IPO, PAGES/JXY-7546-2024; Moltschaniwskyj, Natalie/AAB-7236-2019</t>
  </si>
  <si>
    <t>Pecl, Gretta/0000-0003-0192-4339; Strugnell, Jan/0000-0003-2994-637X; Semmens, Jayson/0000-0003-1742-6692; Moltschaniwskyj, Natalie/0000-0001-9709-9876; Ramos, Jorge E/0000-0002-8690-761X</t>
  </si>
  <si>
    <t>CONACYT from the Mexican Government [308672]; University of Tasmania; Bookend Lynchpin Ocean Scholarship; ARC</t>
  </si>
  <si>
    <t>CONACYT from the Mexican Government; University of Tasmania; Bookend Lynchpin Ocean Scholarship; ARC(Australian Research Council)</t>
  </si>
  <si>
    <t>J. E. Ramos was awarded the CONACYT scholarship 308672 from the Mexican Government, a Tasmania Graduate Research scholarship from the University of Tasmania and a Bookend Lynchpin Ocean Scholarship 2012. G. T. Pecl was supported by an ARC Future Fellowship. This project was carried out under the Animal Ethics Permit A11591 following the 'Australian code of practice for the care and use of animals for scientific purposes'. Samples were provided by Tasmanian Octopus Products (T.O.P. Fish). Thanks to C. Hardy, L. Stott and D. Murphy, (captain and deck men of the FV Farquharson), A. Fowles, A. Fugedi, F. Briceno, J. Bonito, L. Quayle, L. Henriquez, M. Vargas, N. Jones, T. Mendo, T. Emery and IMAS-FACC technical officers who assisted with the logistics during sample collection. R. Johnson assisted with MATLAB scripts. F. Brodribb edited an early draft of the manuscript. Two anonymous reviewers provided constructive comments that greatly improved the manuscript.</t>
  </si>
  <si>
    <t>1323-1650</t>
  </si>
  <si>
    <t>1448-6059</t>
  </si>
  <si>
    <t>MAR FRESHWATER RES</t>
  </si>
  <si>
    <t>Mar. Freshw. Res.</t>
  </si>
  <si>
    <t>10.1071/MF14126</t>
  </si>
  <si>
    <t>Fisheries; Limnology; Marine &amp; Freshwater Biology; Oceanography</t>
  </si>
  <si>
    <t>CW7PQ</t>
  </si>
  <si>
    <t>WOS:000365192000006</t>
  </si>
  <si>
    <t>Ryan, PG</t>
  </si>
  <si>
    <t>Bergmann, M; Gutow, L; Klages, M</t>
  </si>
  <si>
    <t>Ryan, Peter G.</t>
  </si>
  <si>
    <t>A Brief History of Marine Litter Research</t>
  </si>
  <si>
    <t>MARINE ANTHROPOGENIC LITTER</t>
  </si>
  <si>
    <t>Plastic; History; Environmental impact; Entanglement; Ingestion; Microplastics</t>
  </si>
  <si>
    <t>MAN-MADE DEBRIS; PERSISTENT ORGANIC POLLUTANTS; PLASTIC PARTICLE POLLUTION; FULMAR FULMARUS-GLACIALIS; ANTARCTIC FUR SEALS; SURFACE WATERS; NEW-ZEALAND; PROCELLARIIFORM SEABIRDS; GOUGH-ISLAND; FRESH-WATER</t>
  </si>
  <si>
    <t>This chapter traces the history of marine litter research from anecdotal reports of entanglement and plastic ingestion in the 1960s to the current focus on microplastics and their role in the transfer of persistent organic pollutants to marine food webs. The reports in Science of large numbers of plastic pellets in the North Atlantic in the early 1970s stimulated research interest in plastic litter at sea, with papers reporting plastics on the seafloor and impacting a variety of marine animals. The focus then shifted to high concentrations of plastic litter in the North Pacific, where novel studies reported the dynamics of stranded beach litter, the factors influencing plastic ingestion by seabirds, and trends in fur seal entanglement. By the early 1980s, growing concern about the potential impacts of marine litter resulted in a series of meetings on marine debris. The first two international conferences held in Honolulu by the US National Marine Fisheries Service played a key role in setting the research agenda for the next decade. By the end of the 1980s, most impacts of marine litter were reasonably well understood, and attention shifted to seeking effective solutions to tackle the marine litter problem. Research was largely restricted to monitoring trends in litter to assess the effectiveness of mitigation measures, until the last decade, when concern about microplastics coupled with the discovery of alarming densities of small plastic particles in the North Pacific 'garbage patch' (and other mid-ocean gyres) stimulated the current wave of research.</t>
  </si>
  <si>
    <t>[Ryan, Peter G.] Univ Cape Town, DST NRF Ctr Excellence, Percy FitzPatrick Inst, ZA-7701 Rondebosch, South Africa</t>
  </si>
  <si>
    <t>University of Cape Town; National Research Foundation - South Africa</t>
  </si>
  <si>
    <t>Ryan, PG (corresponding author), Univ Cape Town, DST NRF Ctr Excellence, Percy FitzPatrick Inst, ZA-7701 Rondebosch, South Africa.</t>
  </si>
  <si>
    <t>pryan31@gmail.com</t>
  </si>
  <si>
    <t>SPRINGER-VERLAG BERLIN</t>
  </si>
  <si>
    <t>BERLIN</t>
  </si>
  <si>
    <t>HEIDELBERGER PLATZ 3, D-14197 BERLIN, GERMANY</t>
  </si>
  <si>
    <t>978-3-319-16510-3; 978-3-319-16509-7</t>
  </si>
  <si>
    <t>10.1007/978-3-319-16510-3_1</t>
  </si>
  <si>
    <t>10.1007/978-3-319-16510-3</t>
  </si>
  <si>
    <t>BJ9IP</t>
  </si>
  <si>
    <t>WOS:000429300200003</t>
  </si>
  <si>
    <t>Kühn, S; Rebolledo, ELB; van Franeker, JA</t>
  </si>
  <si>
    <t>Kuhn, Susanne; Rebolledo, Elisa L. Bravo; van Franeker, Jan A.</t>
  </si>
  <si>
    <t>Deleterious Effects of Litter on Marine Life</t>
  </si>
  <si>
    <t>Marine debris; Plastic litter; Entanglement; Ingestion; Harm; Review</t>
  </si>
  <si>
    <t>PLASTIC PARTICLE POLLUTION; LOGGERHEAD SEA-TURTLES; DERELICT FISHING GEAR; ANTARCTIC FUR SEALS; NORTHWESTERN HAWAIIAN-ISLANDS; FULMAR FULMARUS-GLACIALIS; SHORT-TAILED SHEARWATERS; BOOBY SULA-LEUCOGASTER; GANNETS MORUS-BASSANUS; DEBRIS INGESTION</t>
  </si>
  <si>
    <t>In this review we report new findings concerning interaction between marine debris and wildlife. Deleterious effects and consequences of entanglement, consumption and smothering are highlighted and discussed. The number of species known to have been affected by either entanglement or ingestion of plastic debris has doubled since 1997, from 267 to 557 species among all groups of wildlife. For marine turtles the number of affected species increased from 86 to 100 % (now 7 of 7 species), for marine mammals from 43 to 66 % (now 81 of 123 species) and for seabirds from 44 to 50 % of species (now 203 of 406 species). Strong increases in records were also listed for fish and invertebrates, groups that were previously not considered in detail. In future records of interactions between marine debris and wildlife we recommend to focus on standardized data on frequency of occurrence and quantities of debris ingested. In combination with dedicated impact studies in the wild or experiments, this will allow more detailed assessments of the deleterious effects of marine debris on individuals and populations.</t>
  </si>
  <si>
    <t>[Kuhn, Susanne; Rebolledo, Elisa L. Bravo; van Franeker, Jan A.] IMARES Wageningen UR, POB 167, NL-1790 AD Den Burg, Texel, Netherlands</t>
  </si>
  <si>
    <t>Wageningen University &amp; Research</t>
  </si>
  <si>
    <t>Kühn, S (corresponding author), IMARES Wageningen UR, POB 167, NL-1790 AD Den Burg, Texel, Netherlands.</t>
  </si>
  <si>
    <t>susanne.kuehn@wur.nl</t>
  </si>
  <si>
    <t>Kuhn, Susanne/0000-0003-1052-7634</t>
  </si>
  <si>
    <t>10.1007/978-3-319-16510-3_4</t>
  </si>
  <si>
    <t>WOS:000429300200006</t>
  </si>
  <si>
    <t>Baylis, AMM; Orben, RA; Pistorius, P; Brickle, P; Staniland, I; Ratcliffe, N</t>
  </si>
  <si>
    <t>Baylis, Alastair M. M.; Orben, Rachael A.; Pistorius, Pierre; Brickle, Paul; Staniland, Iain; Ratcliffe, Norman</t>
  </si>
  <si>
    <t>Winter foraging site fidelity of king penguins breeding at the Falkland Islands</t>
  </si>
  <si>
    <t>NORTHERN FUR SEALS; MARINE PREDATOR; APTENODYTES-PATAGONICUS; SEASONAL-CHANGES; DIVING BEHAVIOR; STRATEGIES; AREA; POPULATION; SEABIRD; TACTICS</t>
  </si>
  <si>
    <t>Foraging site fidelity has profound consequences for individual fitness, population processes and the effectiveness of species conservation measures. Accordingly, quantifying site fidelity has become increasingly important in animal movement and habitat selection studies. To assess foraging site fidelity in king penguins (Aptenodytes patagonicus) breeding at the Falkland Islands (51.48A degrees S, 57.83A degrees W), we measured overlap in time spent in foraging areas (at a 0.1A degrees A xA 0.1A degrees grid resolution) between successive foraging trips and foraging route consistency during the crSche period. In total, 30 complete foraging trips from seven king penguins were recorded between April and October 2010. King penguins predominantly foraged on the highly productive Patagonian slope, to the north of the Falkland Islands [median foraging trip distance 213 km (SD = 215 km) and duration 12.8 days (SD = 14.7 days)]. Overlap in time spent in an area on consecutive foraging trips ranged between 2 and 73 % (mean 27 %, SD = 22 %). Bearing during the outbound portion of foraging trips was typically highly repeatable for individual birds, but foraging trip duration and distance were not. Travel during the outbound phase of foraging trips was consistent with the direction of the northward-flowing Falkland Current that may act as a directional cue or facilitate rapid transit to foraging areas. Flexibility in foraging trip distances and durations may be a response to changes in resource availability and changes in the energetic requirements of adults and chicks over an extended breeding cycle.</t>
  </si>
  <si>
    <t>[Baylis, Alastair M. M.] Deakin Univ, Ctr Integrat Ecol, Sch Life &amp; Environm Sci, Warrnambool, Vic 3280, Australia; [Baylis, Alastair M. M.] Falklands Conservat, Stanley FIQQ1ZZ, Falkland Island, England; [Baylis, Alastair M. M.; Brickle, Paul] Stanley Cottage, South Atlantic Environm Res Inst, Stanley FIQQ1ZZ, Falkland Island, England; [Orben, Rachael A.] Univ Calif Santa Cruz, Dept Ocean Sci, Long Marine Lab, Santa Cruz, CA 95060 USA; [Pistorius, Pierre] Nelson Mandela Metropolitan Univ, Percy Fitzpatrick Inst African Ornithol, Dept Zool, DST NRF Ctr Excellence, ZA-6031 Port Elizabeth, South Africa; [Staniland, Iain; Ratcliffe, Norman] British Antarctic Survey NERC, Cambridge CB3 0ET, England</t>
  </si>
  <si>
    <t>Deakin University; University of California System; University of California Santa Cruz; National Research Foundation - South Africa; Nelson Mandela University; UK Research &amp; Innovation (UKRI); Natural Environment Research Council (NERC); NERC British Antarctic Survey</t>
  </si>
  <si>
    <t>Baylis, AMM (corresponding author), Deakin Univ, Ctr Integrat Ecol, Sch Life &amp; Environm Sci, POB 423, Warrnambool, Vic 3280, Australia.</t>
  </si>
  <si>
    <t>al_baylis@yahoo.com.au</t>
  </si>
  <si>
    <t>Baylis, Alastair/H-9471-2019; Orben, Rachael A./H-9460-2019; Staniland, Iain/I-4725-2012</t>
  </si>
  <si>
    <t>Baylis, Alastair/0000-0002-5167-0472; Orben, Rachael A./0000-0002-0802-407X; Staniland, Iain/0000-0003-2736-9134; Pistorius, Pierre/0000-0001-6561-7069; Brickle, Paul/0000-0002-9870-3518</t>
  </si>
  <si>
    <t>World Wildlife Fund; Natural Environment Research Council [bas0100025] Funding Source: researchfish; NERC [bas0100025] Funding Source: UKRI</t>
  </si>
  <si>
    <t>World Wildlife Fund; Natural Environment Research Council(UK Research &amp; Innovation (UKRI)Natural Environment Research Council (NERC)); NERC(UK Research &amp; Innovation (UKRI)Natural Environment Research Council (NERC))</t>
  </si>
  <si>
    <t>Research was undertaken with support from the World Wildlife Fund. We thank C. Dockrill for securing funding, S. Adlard, S. Crofts and M. Reeves for assisting with field work and J. Cheek for granting access to Volunteer Point. We are grateful to three anonymous reviewers that improved earlier drafts of the manuscript. Research was conducted under the Falkland Islands Government research permit R18/2011.</t>
  </si>
  <si>
    <t>10.1007/s00227-014-2561-0</t>
  </si>
  <si>
    <t>WOS:000347405400008</t>
  </si>
  <si>
    <t>da Costa, PAS; Mincarone, MM; Braga, AD; Martins, AS; Lavrado, HP; Haimovici, M; Falcao, APD</t>
  </si>
  <si>
    <t>Silva da Costa, Paulo Alberto; Mincarone, Michael Maia; Braga, Adriana da Costa; Martins, Agnaldo Silva; Lavrado, Helena Passeri; Haimovici, Manuel; da Costa Falcao, Ana Paula</t>
  </si>
  <si>
    <t>Megafaunal communities along a depth gradient on the tropical Brazilian continental margin</t>
  </si>
  <si>
    <t>Abundance; assemblages; diversity; megafaunal</t>
  </si>
  <si>
    <t>OXYGEN MINIMUM ZONES; GULF-OF-MEXICO; ABYSSAL-PLAIN; HABITAT HETEROGENEITY; DECAPOD CRUSTACEANS; BENTHIC MEGAFAUNA; FISH ASSEMBLAGES; ORGANIC-MATTER; DEMERSAL FISH; NE ATLANTIC</t>
  </si>
  <si>
    <t>The species composition, abundance and diversity patterns of the epibenthic megafauna and fish community from the tropical Brazilian continental margin were analysed based on 42 bottom trawls from the Campos Basin continental shelf and slope. Trawls were collected aboard R/V Gyre during autumn 2008 from depths of 13 to 2030 m. Overall, 452 species belonging to five main taxa were identified: teleosts (Actinopterygii) were represented by 196 species, crustaceans by 113 species and echinoderms by 108 species. These three groups contributed 92% to the 452 taxa. Several species (289) were recorded only once or twice, and the species accumulation curves showed no signs of being close to reaching asymptotic values. A tendency of increasing diversity and richness with depth was observed. Analysis of the trawls showed the existence of megafaunal assemblages significantly associated with depth and water mass. The shelf group (13-100 m) had subgroups associated with Coastal Water (CW) and South Atlantic Central Water (SACW). The upper-slope group (376-501 m) was found exclusively under the influence of SACW. The mid- and lower-slope group (978-2030 m) had two subgroups associated with the presence of Antarctic Intermediate Water and North Atlantic Deep Water. The 39 typifying species contributed 90% to the global similarity. Teleosts and squids greatly contributed to the within-group similarity over the shelf, while decapods, echinoids and galatheids contributed to the upper-slope assemblage. Deep-sea isopods and decapods mostly contributed to the mid- and lower-slope assemblages.</t>
  </si>
  <si>
    <t>[Silva da Costa, Paulo Alberto; Braga, Adriana da Costa] Univ Fed Estado Rio de Janeiro, Dept Ecol &amp; Recursos Marinhos, BR-22290240 Rio De Janeiro, RJ, Brazil; [Mincarone, Michael Maia] Univ Fed Rio de Janeiro, Nucleo Ecol &amp; Desenvolvimento Socioambiental, Macae, Brazil; [Martins, Agnaldo Silva] Univ Fed Espirito Santo, Dept Oceanog &amp; Ecol, Vitoria, Brazil; [Lavrado, Helena Passeri] Univ Fed Rio de Janeiro, Dept Biol Marinha, Rio De Janeiro, Brazil; [Haimovici, Manuel] Fundacao Univ Rio Grande, Dept Oceanog, Rio Grande, Brazil; [da Costa Falcao, Ana Paula] Ctr Pesquisas &amp; Desenvolvimento Leopoldo Americo, Rio De Janeiro, Brazil</t>
  </si>
  <si>
    <t>Universidade Federal do Estado do Rio de Janeiro; Universidade Federal do Rio de Janeiro; Universidade Federal do Espirito Santo; Universidade Federal do Rio de Janeiro; Universidade Federal do Rio Grande</t>
  </si>
  <si>
    <t>da Costa, PAS (corresponding author), Univ Fed Estado Rio de Janeiro, Dept Ecol &amp; Recursos Marinhos, IBIO, ECB, Av Pasteur 458,Sala 410, BR-22290240 Rio De Janeiro, RJ, Brazil.</t>
  </si>
  <si>
    <t>paulocosta.unirio@gmail.com</t>
  </si>
  <si>
    <t>Martins, Agnaldo/F-1615-2011; Mincarone, Michael Maia/D-2820-2009; Lavrado, Helena/M-9737-2014</t>
  </si>
  <si>
    <t>Martins, Agnaldo/0000-0003-2160-1326; Mincarone, Michael Maia/0000-0003-0780-7854; Costa, Paulo A. S./0000-0002-7939-6428; Haimovici, Manuel/0000-0003-1741-8182; Lavrado, Helena/0000-0002-7275-7075</t>
  </si>
  <si>
    <t>CNPq [302.392/2010-6, 309282/2011-0]; FAPERJ [E-26/110.118/2010]</t>
  </si>
  <si>
    <t>This study is part of a larger project entitled 'HABITATS - Campos Basin Environmental Heterogeneity' conducted by 'CENPES/PETROBRAS'. PASC (302.392/2010-6), ASM and MH (309282/2011-0) are supported by CNPq. Financial support to MMM provided by FAPERJ (E-26/110.118/2010).</t>
  </si>
  <si>
    <t>10.1080/17451000.2015.1062521</t>
  </si>
  <si>
    <t>CW6EB</t>
  </si>
  <si>
    <t>WOS:000365089200004</t>
  </si>
  <si>
    <t>Baylis, AMM; Page, B; Staniland, I; Arnould, JPY; McKenzie, J</t>
  </si>
  <si>
    <t>Baylis, Alastair M. M.; Page, Brad; Staniland, Iain; Arnould, John P. Y.; McKenzie, Jane</t>
  </si>
  <si>
    <t>Taking the sting out of darting: Risks, restraint drugs and procedures for the chemical restraint of Southern Hemisphere otariids</t>
  </si>
  <si>
    <t>pinniped; conservation; ecology; telemetry; tagging; sea lion; fur seal; anesthesia; tranquilizer; Telazol; Zoletil</t>
  </si>
  <si>
    <t>ARCTOCEPHALUS-PUSILLUS-DORIFERUS; CALIFORNIA SEA LIONS; FUR SEALS; TILETAMINE-ZOLAZEPAM; EUMETOPIAS-JUBATUS; FORAGING BEHAVIOR; FALKLAND ISLANDS; DELIVERY SYSTEMS; IMMOBILIZATION; ANESTHESIA</t>
  </si>
  <si>
    <t>The need to manage otariid populations has necessitated the development of a wide range of capture methods. Chemical restraint by remote drug delivery (i.e., darting) is a highly selective method that can be used to facilitate otariid capture in a range of scenarios, when other methods may be impracticable. However, the risks associated with darting otariids are not widely known and guidelines necessary to promote and refine best practice do not exist. We review the risks associated with darting and in light of our findings, develop darting guidelines to help practitioners assess and minimize risks during capture, anesthesia and recovery. Published studies reveal that mortalities associated with darting predominantly result from complications during anesthetic maintenance (e.g., prolonged respiratory depression, apnea, or hyperthermia), rather than from complications during capture or recovery. In addition to monitoring vital signs and proper intervention, the risk of irreversible complications during anesthesia can be reduced by administering drug doses that are sufficient to enable the capture and masking of animals, after which anesthetic depth can be regulated using gas anesthesia.</t>
  </si>
  <si>
    <t>[Baylis, Alastair M. M.] Deakin Univ, Sch Life &amp; Environm Sci, Warrnambool, Vic 3280, Australia; [Page, Brad] South Australian Res &amp; Dev Inst Aquat Sci, West Beach, SA 5024, Australia; [Staniland, Iain] British Antarctic Survey, NERC, Cambridge CB3 0ET, England; [Arnould, John P. Y.] Deakin Univ, Sch Life &amp; Environm Sci, Burwood, Vic 3125, Australia</t>
  </si>
  <si>
    <t>Deakin University; UK Research &amp; Innovation (UKRI); Natural Environment Research Council (NERC); NERC British Antarctic Survey; Deakin University</t>
  </si>
  <si>
    <t>Baylis, AMM (corresponding author), Deakin Univ, Sch Life &amp; Environm Sci, POB 423, Warrnambool, Vic 3280, Australia.</t>
  </si>
  <si>
    <t>Baylis, Alastair/H-9471-2019; Staniland, Iain/I-4725-2012</t>
  </si>
  <si>
    <t>Baylis, Alastair/0000-0002-5167-0472; Staniland, Iain/0000-0003-2736-9134</t>
  </si>
  <si>
    <t>Falkland Islands Government; Shackleton Scholarship Fund; Project AWARE; Joint Nature Conservation Committee; Darwin Initiative; NERC [bas0100025] Funding Source: UKRI; Natural Environment Research Council [bas0100025] Funding Source: researchfish</t>
  </si>
  <si>
    <t>Falkland Islands Government; Shackleton Scholarship Fund; Project AWARE; Joint Nature Conservation Committee; Darwin Initiative; NERC(UK Research &amp; Innovation (UKRI)Natural Environment Research Council (NERC)); Natural Environment Research Council(UK Research &amp; Innovation (UKRI)Natural Environment Research Council (NERC))</t>
  </si>
  <si>
    <t>South American sea lion research was undertaken by AMMB, JPY and IJS (research permit R16/2012 and R04/2013). AMMB and IJS received research funding from the Falkland Islands Government, Shackleton Scholarship Fund, Project AWARE, Joint Nature Conservation Committee and the Darwin Initiative. Falklands Conservation and the South Atlantic Environmental Research Institute (SAERI) generously facilitated South American sea lion research through logistical support. Field work at the Falkland Islands was made possible with the assistance and expertise of K. Peters and R. Orben. T Gelatt, D. Hamer, and an anonymous reviewer provided valuable comments on earlier drafts.</t>
  </si>
  <si>
    <t>10.1111/mms.12148</t>
  </si>
  <si>
    <t>WOS:000346769200017</t>
  </si>
  <si>
    <t>Friedlaender, AS; Goldbogen, JA; Hazen, EL; Calambokidis, J; Southall, BL</t>
  </si>
  <si>
    <t>Friedlaender, Ari S.; Goldbogen, Jeremy A.; Hazen, Elliott L.; Calambokidis, John; Southall, Brandon L.</t>
  </si>
  <si>
    <t>Feeding performance by sympatric blue and fin whales exploiting a common prey resource</t>
  </si>
  <si>
    <t>ANTARCTIC KRILL; BEHAVIOR; ABUNDANCE</t>
  </si>
  <si>
    <t>[Friedlaender, Ari S.] Oregon State Univ, Hatfield Marine Sci Ctr, Marine Mammal Inst, Newport, OR 97365 USA; [Friedlaender, Ari S.; Southall, Brandon L.] Southall Environm Associates Inc, Aptos, CA 95003 USA; [Goldbogen, Jeremy A.] Stanford Univ, Hopkins Marine Stn, Dept Biol, Pacific Grove, CA 93950 USA; [Hazen, Elliott L.; Southall, Brandon L.] Inst Marine Sci, UC Santa Cruz Long Marine Lab, Santa Cruz, CA 95060 USA; [Hazen, Elliott L.] NOAA, SW Fisheries Sci Ctr, Div Environm Res, Pacific Grove, CA 93950 USA; [Calambokidis, John] Cascadia Res Collect, Olympia, WA 98501 USA</t>
  </si>
  <si>
    <t>Oregon State University; Stanford University; National Oceanic Atmospheric Admin (NOAA) - USA</t>
  </si>
  <si>
    <t>Friedlaender, AS (corresponding author), Oregon State Univ, Hatfield Marine Sci Ctr, Marine Mammal Inst, 2035 Marine Sci Dr, Newport, OR 97365 USA.</t>
  </si>
  <si>
    <t>ari.friedlaender@oregonstate.edu</t>
  </si>
  <si>
    <t>Hazen, Elliott/G-4149-2014; Goldbogen, Jeremy A./H-4287-2019</t>
  </si>
  <si>
    <t>Hazen, Elliott/0000-0002-0412-7178; Goldbogen, Jeremy A./0000-0002-4170-7294</t>
  </si>
  <si>
    <t>Marine Mammal Program within the U.S. Office of Naval Research</t>
  </si>
  <si>
    <t>Marine Mammal Program within the U.S. Office of Naval Research(Office of Naval Research)</t>
  </si>
  <si>
    <t>This research was supported by the Marine Mammal Program within the U.S. Office of Naval Research. The authors thank G. Schorr, E. Falcone, A. Stimpert, and S. DeRuiter and other members of the SOCAL-BRS for their contributions in the field. Research was conducted under NMFS scientific permit 14534, Duke IACUC #A049-12-02, and was consistent and approved through the U.S. Department of Defense Animal Care and Use Protocols. We confirm that we have no conflict of interest regarding the publishing of our manuscript as required by Marine Mammal Science.</t>
  </si>
  <si>
    <t>10.1111/mms.12134</t>
  </si>
  <si>
    <t>WOS:000346769200018</t>
  </si>
  <si>
    <t>Berta, A; Sumich, JL; Kovacs, KM</t>
  </si>
  <si>
    <t>Berta, Annalisa; Sumich, James L.; Kovacs, Kit M.</t>
  </si>
  <si>
    <t>Reproductive Structures, Strategies, and Patterns</t>
  </si>
  <si>
    <t>MARINE MAMMALS: EVOLUTIONARY BIOLOGY, 3RD EDITION</t>
  </si>
  <si>
    <t>SEALS HALICHOERUS-GRYPUS; SOUTHERN ELEPHANT SEALS; MALE HARBOR SEALS; DIFFERENTIAL MATERNAL INVESTMENT; WHALES MEGAPTERA-NOVAEANGLIAE; ODOBENUS-ROSMARUS-ROSMARUS; ANTARCTIC FUR SEALS; MALE MATING SUCCESS; HUMPBACK WHALES; ARCTOCEPHALUS-GAZELLA</t>
  </si>
  <si>
    <t>[Berta, Annalisa] San Diego State Univ, Dept Biol, San Diego, CA 92182 USA; [Sumich, James L.] Oregon State Univ, Dept Fisheries &amp; Wildlife, Corvallis, OR 97331 USA; [Kovacs, Kit M.] FRAM Ctr, Norwegian Polar Inst, Tromso, Norway; [Kovacs, Kit M.] Univ Ctr Svalbard UNIS, Svalbard, Norway</t>
  </si>
  <si>
    <t>California State University System; San Diego State University; Oregon State University; Norwegian Polar Institute; University Centre Svalbard (UNIS)</t>
  </si>
  <si>
    <t>Berta, A (corresponding author), San Diego State Univ, Dept Biol, San Diego, CA 92182 USA.</t>
  </si>
  <si>
    <t>ELSEVIER ACADEMIC PRESS INC</t>
  </si>
  <si>
    <t>525 B STREET, SUITE 1900, SAN DIEGO, CA 92101-4495 USA</t>
  </si>
  <si>
    <t>978-0-12-397257-6; 978-0-12-397002-2</t>
  </si>
  <si>
    <t>+</t>
  </si>
  <si>
    <t>10.1016/B978-0-12-397002-2.00013-2</t>
  </si>
  <si>
    <t>10.1016/C2011-0-07338-6</t>
  </si>
  <si>
    <t>BM9UL</t>
  </si>
  <si>
    <t>WOS:000471751400014</t>
  </si>
  <si>
    <t>Clapham, PJ</t>
  </si>
  <si>
    <t>Clapham, Phillip J.</t>
  </si>
  <si>
    <t>Japan's whaling following the International Court of Justice ruling: Brave New World - Or business as usual?</t>
  </si>
  <si>
    <t>Whaling; International Whaling Commission; Japan; Scientific whaling; International Court of Justice</t>
  </si>
  <si>
    <t>ISSUE</t>
  </si>
  <si>
    <t>Since 1987, Japan has conducted extensive special permit whaling (scientific whaling) in the Antarctic and North Pacific. This has been viewed by many as a way to circumvent the International Whaling Commission's (IWC) moratorium on commercial whaling, which was implemented in 1985. Recently, Australia took Japan to the International Court of Justice (ICJ) over this issue. Using various criteria, the Court ruled that Japan's whaling was not for purposes of scientific research as required by Article VIII of the International Convention for the Regulation of Whaling, and ordered Japan to immediately cease its JARPA II whaling program in the Antarctic. Despite optimism that the Court's ruling might spell the end of Japanese whaling in the Antarctic and even elsewhere, Japan has indicated that it will redesign its whaling programs and continue operations. Based upon Japan's history at the IWC, I argue here that this was an expected outcome; I predict the course of events over the next months, and suggest that the ICJ ruling, while satisfying as an independent vindication of Japan's critics, represents little more than a temporary setback for that nation's whaling enterprise. (C) 2014 Elsevier Ltd. All rights reserved.</t>
  </si>
  <si>
    <t>South Pacific Whale Res Consortium, Avarua, Rarotonga, Cook Islands</t>
  </si>
  <si>
    <t>University of the South Pacific</t>
  </si>
  <si>
    <t>Clapham, PJ (corresponding author), South Pacific Whale Res Consortium, Box 3069, Avarua, Rarotonga, Cook Islands.</t>
  </si>
  <si>
    <t>phillip.clapham@gmail.com</t>
  </si>
  <si>
    <t>10.1016/j.marpol.2014.08.011</t>
  </si>
  <si>
    <t>WOS:000348003700029</t>
  </si>
  <si>
    <t>Davies, SJ; Lamb, HF; Roberts, SJ</t>
  </si>
  <si>
    <t>Croudace, IW; Rothwell, RG</t>
  </si>
  <si>
    <t>Davies, Sarah J.; Lamb, Henry F.; Roberts, Stephen J.</t>
  </si>
  <si>
    <t>Micro-XRF Core Scanning in Palaeolimnology: Recent Developments</t>
  </si>
  <si>
    <t>MICRO-XRF STUDIES OF SEDIMENT CORES: APPLICATIONS OF A NON-DESTRUCTIVE TOOL FOR THE ENVIRONMENTAL SCIENCES</t>
  </si>
  <si>
    <t>Developments in Paleoenvironmental Research</t>
  </si>
  <si>
    <t>Lake sediments; Palaeolimnology; XRF core scanning; Environmental proxies; In-lake processes; Flood histories; Varves</t>
  </si>
  <si>
    <t>LAGUNA-POTROK-AIKE; LOS ESTADOS 54.4-DEGREES-S; LATE-GLACIAL CHRONOLOGY; LAST 2 MILLENNIA; ENVIRONMENTAL-CHANGES; VARVED SEDIMENTS; LAKE-SEDIMENTS; CLIMATE-CHANGE; PRECIPITATION CHANGES; SOUTHERN PATAGONIA</t>
  </si>
  <si>
    <t>Within the last ten years, micro-XRF (mu XRF) core scanning has become an important addition to the suite of techniques for investigating lacustrine sediments. Most studies to date have focused on records of detrital material. These have typically used elements such as Si, K, Ca, Ti, Fe, Rb, Sr and Zr as single element profiles or ratios. Inferences are made about changing catchment dynamics such as glacier advance and retreat, variations in run-off and soil erosion, weathering rates and processes and grain-size fluctuations. These can be linked, depending on the context of the individual basin, to factors such as climatic variability, meteorological events, seismic activity, tephra deposition or anthropogenic disturbance such as agriculture or deforestation. Studies of in-lake dynamics focus on elements affected by redox changes (e.g., Fe, Mn) or those which can be produced authigenically either as a result of evaporative concentration or biological processes (e.g., Ca). Here, we review the use of mu XRF core scanning on lake sediments and summarise the range of elements and ratios that have been applied as a reference point for users. We consider some of the challenges involved in interpreting elemental data, given the wide variety of internal and external factors that can affect lake sediment composition.</t>
  </si>
  <si>
    <t>[Davies, Sarah J.; Lamb, Henry F.] Aberystwyth Univ, Dept Geog &amp; Earth Sci, Inst Geog Hist Polit &amp; Psychol, Aberystwyth SY23 3DB, Dyfed, Wales; [Roberts, Stephen J.] British Antarctic Survey, Cambridge CB3 0ET, England</t>
  </si>
  <si>
    <t>Aberystwyth University; UK Research &amp; Innovation (UKRI); Natural Environment Research Council (NERC); NERC British Antarctic Survey</t>
  </si>
  <si>
    <t>Davies, SJ (corresponding author), Aberystwyth Univ, Dept Geog &amp; Earth Sci, Inst Geog Hist Polit &amp; Psychol, Aberystwyth SY23 3DB, Dyfed, Wales.</t>
  </si>
  <si>
    <t>sjd@aber.ac.uk</t>
  </si>
  <si>
    <t>Davis, Susan D/GZL-2361-2022; Davies, Sarah/ITT-3963-2023; Davis, Susan A/JPK-7279-2023</t>
  </si>
  <si>
    <t>Lamb, Henry Francis/0000-0003-0025-0766; Roberts, Stephen/0000-0003-3407-9127</t>
  </si>
  <si>
    <t>NERC [NE/D012996/1, bas0100030, NE/D011604/1, NE/K014560/1, NE/F003056/1] Funding Source: UKRI</t>
  </si>
  <si>
    <t>NERC(UK Research &amp; Innovation (UKRI)Natural Environment Research Council (NERC))</t>
  </si>
  <si>
    <t>PO BOX 17, 3300 AA DORDRECHT, NETHERLANDS</t>
  </si>
  <si>
    <t>1571-5299</t>
  </si>
  <si>
    <t>978-94-017-9849-5; 978-94-017-9848-8</t>
  </si>
  <si>
    <t>DEV PALEOENVIRON RES</t>
  </si>
  <si>
    <t>Dev. Paleoenviron. Res.</t>
  </si>
  <si>
    <t>10.1007/978-94-017-9849-5_7</t>
  </si>
  <si>
    <t>10.1007/978-94-017-9849-5</t>
  </si>
  <si>
    <t>Environmental Sciences; Geology</t>
  </si>
  <si>
    <t>BI0KS</t>
  </si>
  <si>
    <t>WOS:000404898700008</t>
  </si>
  <si>
    <t>Nair, A; Mohan, R; Shetye, S; Gazi, S; Jafar, SA</t>
  </si>
  <si>
    <t>Nair, Abhilash; Mohan, Rahul; Shetye, Suhas; Gazi, Sahina; Jafar, Syed A.</t>
  </si>
  <si>
    <t>Trigonium curvatus sp nov and Trigonium arcticum (Bacillariophyceae) from the surface sediments of Prydz Bay, East Antarctica</t>
  </si>
  <si>
    <t>Benthic diatom; epiphyte; sea-ice; taxonomy; Southern Ocean</t>
  </si>
  <si>
    <t>BRIGHTWELL CLEVE; SEA-ICE; DIATOMS; CIRCULATION; VANHEURCK; OCEAN</t>
  </si>
  <si>
    <t>Here we propose a new species of genus Trigonium namely Trigonium curvatus from the surface sediments of coastal Antarctica. A comparative study was done between Trigonium curvatus and Trigonium arcticum to find out the differential morphological characters. Trigonium curvatus is differentiated from the earlier described Trigonium arcticum on the basis of valve morphology such as the presence of clustered rimoportulae at centre of the valve, concave sides of the valve, smaller areolae, constricted structure of areolae and fewer pores surrounding areolae. On the contrary, in Trigonium arcticum rimoportulae are absent or inconspicuous, sides of the frustules are convex/straight and it has larger areolae which appear to be flattened with more pores encircling it. Both species show basic resemblance to genus Trigonium such as triangular valve structure, centrally radiating areolae and valve apices comprised of pseudocelli. Hence, it is proposed that Trigonium curvatus is different from the originally described Trigonium arcticum and is a new species of genus Trigonium.</t>
  </si>
  <si>
    <t>[Nair, Abhilash; Mohan, Rahul; Gazi, Sahina; Jafar, Syed A.] Natl Ctr Antarctic &amp; Ocean Res, Vasco Da Gama 403804, Goa, India; [Shetye, Suhas] Natl Inst Oceanog, Panaji 403004, Goa, India</t>
  </si>
  <si>
    <t>Ministry of Earth Sciences (MoES) - India; National Centre for Polar and Ocean Research (NCPOR); Council of Scientific &amp; Industrial Research (CSIR) - India; CSIR - National Institute of Oceanography (NIO)</t>
  </si>
  <si>
    <t>Nair, A (corresponding author), Natl Ctr Antarctic &amp; Ocean Res, Vasco Da Gama 403804, Goa, India.</t>
  </si>
  <si>
    <t>abhi00777@gmail.com</t>
  </si>
  <si>
    <t>Jafar, Syed A/G-2477-2010</t>
  </si>
  <si>
    <t>Ministry of Earth Sciences (MoES)</t>
  </si>
  <si>
    <t>We wish to thank Ministry of Earth Sciences (MoES) and Director, NCAOR for supporting the Indian Scientific Expedition to Antarctica (ISEA). We also thank voyage leader of the 31st ISEA, Dr. Rajesh Asthana for the support during the field work. We express our gratitude towards the Antarctic Sciences division, NCAOR, for the contributions made during the lab analysis and development of this manuscript. This is the NCAOR contribution number 22/2014.</t>
  </si>
  <si>
    <t>WOS:000358765300005</t>
  </si>
  <si>
    <t>Malinverno, E; Triantaphyllou, MV; Dimiza, MD</t>
  </si>
  <si>
    <t>Malinverno, Elisa; Triantaphyllou, Maria V.; Dimiza, Margarita D.</t>
  </si>
  <si>
    <t>Coccolithophore assemblage distribution along a temperate to polar gradient in the West Pacific sector of the Southern Ocean (January 2005)</t>
  </si>
  <si>
    <t>INA Workshop on Extant Coccolithophores Research (Coccolithophores)</t>
  </si>
  <si>
    <t>OCT 05-10, 2014</t>
  </si>
  <si>
    <t>Hellen Ctr Marine Res, Crete, GREECE</t>
  </si>
  <si>
    <t>Hellen Ctr Marine Res</t>
  </si>
  <si>
    <t>EMILIANIA-HUXLEYI PRYMNESIOPHYCEAE; SEA-SURFACE DISTRIBUTION; LATE AUSTRAL SUMMER; CALCAREOUS NANNOPLANKTON; ATLANTIC-OCEAN; PHYTOPLANKTON ASSEMBLAGES; OPTICAL-PROPERTIES; CARBON FIXATION; INDIAN SECTOR; NORTH-SEA</t>
  </si>
  <si>
    <t>We document surface coccolithophore species composition along a N-S transect from New Zealand to the Ross Sea, across the fronts of the Antarctic Circumpolar Current. Emiliania huxleyi is the most abundant coccolithophore species throughout, with high concentration in the northernmost samples, in the Polar Frontal Zone and at the Polar Front. Three E. huxleyi morphotypes, A, B/C and O were recognized and show different biogeographic distributions along the investigated transect. Coccolithophore distribution appears to be strongly controlled by the location of oceanographic fronts, with minor species (Calcidiscus leptoporus, Syracosphaera spp., Acanthoica quattrospina, Umbellosphaera tenuis, Corisphaera strigilis and other holococcolithophores) largely restricted to the northern Sub-Antarctic Zone, only showing minor occurrence in the southern Sub-Antarctic Zone and being very rare in the Polar Frontal Zone. Our data confirm previous findings and add new information on the biogeography of minor coccolithophore species in relation with oceanographic features. Overall, integration with previous data on the southern extent distribution of E. huxleyi showed no significant temporal shifts in the polar dynamic perspective of the species since early observations.</t>
  </si>
  <si>
    <t>[Malinverno, Elisa] Univ Milano Bicocca, Dept Earth &amp; Environm Sci, Milan, Italy; [Triantaphyllou, Maria V.; Dimiza, Margarita D.] Univ Athens, Fac Geol &amp; Geoenvironm, Athens, Greece</t>
  </si>
  <si>
    <t>University of Milano-Bicocca; National &amp; Kapodistrian University of Athens</t>
  </si>
  <si>
    <t>Malinverno, E (corresponding author), Univ Milano Bicocca, Dept Earth &amp; Environm Sci, Milan, Italy.</t>
  </si>
  <si>
    <t>elisa.malinverno@unimib.it</t>
  </si>
  <si>
    <t>Triantaphyllou, Maria/AAL-7877-2021; Dimiza, Margarita/A-6857-2015</t>
  </si>
  <si>
    <t>Triantaphyllou, Maria/0000-0001-7508-7508; Malinverno, Elisa/0000-0002-9124-5155; Dimiza, Margarita/0000-0002-9809-1902</t>
  </si>
  <si>
    <t>DK1VR</t>
  </si>
  <si>
    <t>WOS:000374703600007</t>
  </si>
  <si>
    <t>Saavedra-Pellitero, M; Baumann, KH</t>
  </si>
  <si>
    <t>Saavedra-Pellitero, Mariem; Baumann, Karl-Heinz</t>
  </si>
  <si>
    <t>Comparison of living and surface sediment coccolithophore assemblages in the Pacific sector of the Southern Ocean</t>
  </si>
  <si>
    <t>NORWEGIAN-GREENLAND SEA; ANTARCTIC CIRCUMPOLAR CURRENT; LATE AUSTRAL SUMMER; ATLANTIC-OCEAN; EMILIANIA-HUXLEYI; SPECIES COMPOSITION; EXPORT PRODUCTION; UPWELLING REGION; NORTH-ATLANTIC; FRONTAL ZONE</t>
  </si>
  <si>
    <t>This study examined recent coccolith surface sediment assemblages across the Pacific sector of the Southern Ocean (from Punta Arenas, Chile to Wellington, New Zealand). Twenty five stations located within 44.4 degrees S to 65.4 degrees S and 80.1 degrees W to 174.5 degrees E were selected in order to assess if and how the surface sediment assemblages reflect the present-day coccolithophore community and surface-water oceanographic conditions. The highest numbers of coccoliths in the surface sediments are reached near the East Pacific Rise and close to the Subtropical Front, at the New Zealand Margin (&gt;6x10(9) coccoliths/g of sediment). The dominant taxa are Emiliania huxleyi (including types A, B, B/C and C), Calcidiscus leptoporus, Gephyrocapsa spp. (including G. muellerae, G. oceanica and G. ericsonii), Umbellosphaera tenuis and Coccolithus braarudii. Despite the recognition of species morphotypes being hampered by carbonate dissolution at some locations, we observed that numbers generally decrease southward until almost a monospecific and sporadic record of E. huxleyi (types B/C and C) and C. leptoporus south of the Polar Front occurs. The recent coccolithophore distribution was compared to already published living coccolithophore distributions (i.e., water column samples collected at the same specific locations) showing a fairly similar pattern. Combining the numbers of cells/l and coccoliths/g of sediment, different coccolithophore assemblages were established coincident with areas bounded by the major surface oceanographic fronts, i.e. the Subantarctic Zone and the Polar Front Zone.</t>
  </si>
  <si>
    <t>[Saavedra-Pellitero, Mariem; Baumann, Karl-Heinz] Univ Bremen, Dept Geosci, POB 330440, D-28334 Bremen, Germany</t>
  </si>
  <si>
    <t>University of Bremen</t>
  </si>
  <si>
    <t>Saavedra-Pellitero, M (corresponding author), Univ Bremen, Dept Geosci, POB 330440, D-28334 Bremen, Germany.</t>
  </si>
  <si>
    <t>msaavedr@uni-bremen.de</t>
  </si>
  <si>
    <t>Saavedra-Pellitero, Mariem/I-7468-2019</t>
  </si>
  <si>
    <t>Saavedra-Pellitero, Mariem/0000-0003-0621-7932</t>
  </si>
  <si>
    <t>WOS:000374703600008</t>
  </si>
  <si>
    <t>Berlincourt, M; Arnould, JPY</t>
  </si>
  <si>
    <t>Berlincourt, Maud; Arnould, John P. Y.</t>
  </si>
  <si>
    <t>Breeding short-tailed shearwaters buffer local environmental variability in south-eastern Australia by foraging in Antarctic waters</t>
  </si>
  <si>
    <t>MOVEMENT ECOLOGY</t>
  </si>
  <si>
    <t>Procellariiforms; Movement; Foraging ecology; Reproductive performance; Geolocation; Southern Ocean</t>
  </si>
  <si>
    <t>WHITE-CHINNED PETRELS; HABITAT USE; SPATIAL-DISTRIBUTION; SEABIRD ASSEMBLAGES; ANIMAL MOVEMENT; PUP PRODUCTION; BASS STRAIT; SEA-ICE; CHICK; LONG</t>
  </si>
  <si>
    <t>Background: Establishing patterns of movements of free-ranging animals in marine ecosystems is crucial for a better understanding of their feeding ecology, life history traits and conservation. As central place foragers, the habitat use of nesting seabirds is heavily influenced by the resources available within their foraging range. We tested the prediction that during years with lower resource availability, short-tailed shearwaters (Puffinus tenuirostris) provisioning chicks should increase their foraging effort, by extending their foraging range and/or duration, both when foraging in neritic (short trips) and distant oceanic waters (long trips). Using both GPS and geolocation data-loggers, at-sea movements and habitat use were investigated over three breeding seasons (2012-14) at two colonies in southeastern Australia. Results: Most individuals performed daily short foraging trips over the study period and inter-annual variations observed in foraging parameters where mainly due to few individuals from Griffith Island, performing 2-day trips in 2014. When performing long foraging trips, this study showed that individuals from both colonies exploited similar zones in the Southern Ocean. The results of this study suggest that individuals could increase their foraging range while exploiting distant feeding zones, which could indicate that short-tailed shearwaters forage in Antarctic waters not only to maintain their body condition but may also do so to buffer against local environmental stochasticity. Lower breeding performances were associated with longer foraging trips to distant oceanic waters in 2013 and 2014 indicating they could mediate reductions in food availability around the breeding colonies by extending their foraging range in the Southern Ocean. Conclusions: This study highlights the importance of foraging flexibility as a fundamental aspect of life history in coastal/pelagic marine central place foragers living in highly variable environments and how these foraging strategies are use to buffer this variability.</t>
  </si>
  <si>
    <t>[Berlincourt, Maud; Arnould, John P. Y.] Deakin Univ, Sch Life &amp; Environm Sci, Burwood, Vic 3125, Australia</t>
  </si>
  <si>
    <t>Deakin University</t>
  </si>
  <si>
    <t>Berlincourt, M (corresponding author), Deakin Univ, Sch Life &amp; Environm Sci, Burwood, Vic 3125, Australia.</t>
  </si>
  <si>
    <t>mberlinc@deakin.edu.au</t>
  </si>
  <si>
    <t>Holsworth Wildife Research Endowment; Birds Australia; M.A. Ingram Trust</t>
  </si>
  <si>
    <t>We are grateful for the assistance of the many fieldworkers involved in the study. We thank in particular Marion Kriloff, Emily R. Butler, Rachael W. Herman, Lucie Faulquier, Emmanuelle Portier, Melanie R. Wells, Aymeric Fromant and Melody Lim. We warmly thank Parks Victoria for the logistical support provided at Gabo Island, especially Leo Op Den Brouw and Geoff Sharpe. We acknowledge Ian Jonsen for making the R package bsam available on his personal website and Clara Peron for her valuable comments and suggestions on data analysis. This project was supported financially by research grants from the Holsworth Wildife Research Endowment, Birds Australia and M.A. Ingram Trust.</t>
  </si>
  <si>
    <t>BMC</t>
  </si>
  <si>
    <t>CAMPUS, 4 CRINAN ST, LONDON N1 9XW, ENGLAND</t>
  </si>
  <si>
    <t>2051-3933</t>
  </si>
  <si>
    <t>MOV ECOL</t>
  </si>
  <si>
    <t>Mov. Ecol.</t>
  </si>
  <si>
    <t>10.1186/s40462-015-0044-7</t>
  </si>
  <si>
    <t>V33BV</t>
  </si>
  <si>
    <t>WOS:000215741800016</t>
  </si>
  <si>
    <t>Bon, C; Della Penna, A; d'Ovidio, F; Arnould, JYP; Poupart, T; Bost, CA</t>
  </si>
  <si>
    <t>Bon, Cecile; Della Penna, Alice; d'Ovidio, Francesco; Arnould, John Y. P.; Poupart, Timothee; Bost, Charles-Andre</t>
  </si>
  <si>
    <t>Influence of oceanographic structures on foraging strategies: Macaroni penguins at Crozet Islands</t>
  </si>
  <si>
    <t>SOUTHERN-OCEAN; EUDYPTES-CHRYSOLOPHUS; PHYTOPLANKTON BLOOM; ANIMAL BEHAVIOR; KING PENGUINS; CIRCULATION; VICINITY; FRONTS; SEA; ZOOPLANKTON</t>
  </si>
  <si>
    <t>Background: In the open ocean, eddies and associated structures (fronts, filaments) have strong influences on the foraging activities of top-predators through the enhancement and the distribution of marine productivity, zooplankton and fish communities. Investigating how central place foragers, such as penguins, find and use these physical structures is crucial to better understanding their at-sea distribution. In the present study, we compared the travel heading and speed of the world's most abundant penguin, the Macaroni penguin (Eudyptes chrysolophus), with the distribution of surface physical structures (large-scale fronts, eddies and filaments). Results: The study was performed during December 2012 in the Crozet Archipelago (46.42 degrees S; 51.86 degrees E), South Indian Ocean. Six males at incubation stage were equipped with GPS loggers to get their trajectories. We used Eulerian and Lagrangian methods to locate large-scale fronts, mesoscale eddies (10-100 km) and part of the sub-mesoscale structures (&lt;10 km, filaments) at the surface of the ocean. By comparing the positions of birds and these structures, we show that Macaroni penguins: i) target the sub Antarctic Front; ii) increase their foraging activity within a highly dynamic area, composed of eddy fields and filamentary structures; and iii) travel in the same direction as the predominant currents. Conclusions: We show that penguins adjust their travel speed and movement during their whole trips in relation with the oceanographic structures visited. At a large scale, we hypothesize that Macaroni penguins target the sub Antarctic Front to find profitable patches of their main prey. At finer scale, Macaroni penguin may adopt a horizontal drifting behavior in strong currents, which could be a way to minimize costs of displacement.</t>
  </si>
  <si>
    <t>[Bon, Cecile; Poupart, Timothee; Bost, Charles-Andre] Univ La Rochelle, CNRS, UMR 7372, Ctr Etud Biol Chize, F-79360 Villiers En Bois, France; [Della Penna, Alice] UPMC Univ Paris 06, Sorbonne Univ, UMR 7159, LOCEAN IPSL, F-75005 Paris, France; [Della Penna, Alice] Univ Paris Diderot, CSIRO UTAS Quantitat Marine Sci Program, IMAS, Hobart, Tas 7001, Australia; [d'Ovidio, Francesco] UPMC Univ Paris 06, Sorbonne Univ, UMR 7159, LOCEAN IPSL, F-75005 Paris, France; [Arnould, John Y. P.] Deakin Univ, Fac Sci Engn &amp; Built Environm, Sch Life &amp; Environm Sci, Burwood, Vic 3125, Australia</t>
  </si>
  <si>
    <t>La Rochelle Universite; Centre National de la Recherche Scientifique (CNRS); CNRS - Institute of Ecology &amp; Environment (INEE); Museum National d'Histoire Naturelle (MNHN); Centre National de la Recherche Scientifique (CNRS); CNRS - National Institute for Earth Sciences &amp; Astronomy (INSU); Sorbonne Universite; Commonwealth Scientific &amp; Industrial Research Organisation (CSIRO); Sorbonne Universite; Centre National de la Recherche Scientifique (CNRS); CNRS - National Institute for Earth Sciences &amp; Astronomy (INSU); Museum National d'Histoire Naturelle (MNHN); Deakin University</t>
  </si>
  <si>
    <t>Bon, C (corresponding author), Univ La Rochelle, CNRS, UMR 7372, Ctr Etud Biol Chize, F-79360 Villiers En Bois, France.</t>
  </si>
  <si>
    <t>cecile.bon@cebc.cnrs.fr</t>
  </si>
  <si>
    <t>d'Ovidio, Francesco/ABA-8461-2021</t>
  </si>
  <si>
    <t>Della Penna, Alice/0000-0002-7579-3610; d'Ovidio, Francesco/0000-0002-9664-7778</t>
  </si>
  <si>
    <t>Institut Polaire Francais Paul Emile Victor (IPEV) [394]; Terres Australes et Antarctiques Francaises (TAAF); EUBEST penguins project [07.032700/2012/634945/SUB/B2]; Region Poitou-Charentes; Conseil General des Deux Sevres; Cnes</t>
  </si>
  <si>
    <t>Institut Polaire Francais Paul Emile Victor (IPEV); Terres Australes et Antarctiques Francaises (TAAF); EUBEST penguins project; Region Poitou-Charentes(Region Nouvelle-Aquitaine); Conseil General des Deux Sevres(Region Nouvelle-Aquitaine); Cnes(Centre National D'etudes Spatiales)</t>
  </si>
  <si>
    <t>The authors sincerely thank T. Powolny and all fieldworkers who helped with data collection. The present work was supported financially and logistically by the Institut Polaire Francais Paul Emile Victor (IPEV, Program No. 394, leader C.A. Bost) and the Terres Australes et Antarctiques Francaises (TAAF) and the EUBEST penguins project No 07.032700/2012/634945/SUB/B2. CB's work was funded by a grant of the Region Poitou-Charentes and by the Conseil General des Deux Sevres. The altimeter products were produced by Ssalto/Duacs and distributed by Aviso with support from Cnes. Chlorophyll images were obtained by the GLOBCOLOUR project. We are especially indebted to L.G. Halsey for improving the English and helpful comments to the manuscript.</t>
  </si>
  <si>
    <t>10.1186/s40462-015-0057-2</t>
  </si>
  <si>
    <t>WOS:000215741800032</t>
  </si>
  <si>
    <t>Curtice, C; Johnston, DW; Ducklow, H; Gales, N; Halpin, PN; Friedlaender, AS</t>
  </si>
  <si>
    <t>Curtice, Corrie; Johnston, David W.; Ducklow, Hugh; Gales, Nick; Halpin, Patrick N.; Friedlaender, Ari S.</t>
  </si>
  <si>
    <t>Modeling the spatial and temporal dynamics of foraging movements of humpback whales (Megaptera novaeangliae) in the Western Antarctic Peninsula</t>
  </si>
  <si>
    <t>Humpback whale; Foraging; Western Antarctic Peninsula; Antarctic krill; Satellite telemetry; Space-time utilization distribution; Product kernel</t>
  </si>
  <si>
    <t>AUSTRAL FALL; SEASONAL VARIABILITY; EUPHAUSIA-SUPERBA; CLIMATE-CHANGE; HOME-RANGE; SEA-ICE; KRILL; AGGREGATIONS; ZOOPLANKTON; ASSEMBLAGES</t>
  </si>
  <si>
    <t>Background: A population of humpback whales (Megaptera novaeangliae) spends the austral summer feeding on Antarctic krill (Euphausia superba) along the Western Antarctic Peninsula (WAP). These whales acquire their annual energetic needs during an episodic feeding season in high latitude waters that must sustain long-distance migration and fasting on low-latitude breeding grounds. Antarctic krill are broadly distributed along the continental shelf and nearshore waters during the spring and early summer, and move closer to land during late summer and fall, where they overwinter under the protective and nutritional cover of sea ice. We apply a novel space-time utilization distribution method to test the hypothesis that humpback whale distribution reflects that of krill: spread broadly during summer with increasing proximity to shore and associated embayments during fall. Results: Humpback whales instrumented with satellite-linked positional telemetry tags (n = 5), show decreased home range size, amount of area used, and increased proximity to shore over the foraging season. Conclusions: This study applies a new method to model the movements of humpback whales in the WAP region throughout the feeding season, and presents a baseline for future observations of the seasonal changes in the movement patterns and foraging behavior of humpback whales (one of several krill-predators affected by climate-driven changes) in the WAP marine ecosystem. As the WAP continues to warm, it is prudent to understand the ecological relationships between sea-ice dependent krill and krill predators, as well as the interactions among recovering populations of krill predators that may be forced into competition for a shared food resource.</t>
  </si>
  <si>
    <t>[Curtice, Corrie] Duke Univ, Marine Lab, Nicholas Sch Environm, Marine Geospatial Ecol Lab, Beaufort, NC 28516 USA; [Johnston, David W.; Friedlaender, Ari S.] Duke Univ, Marine Lab, Nicholas Sch Environm, Div Marine Sci &amp; Conservat, Beaufort, NC 28516 USA; [Ducklow, Hugh] Columbia Univ, Lamont Doherty Earth Observ, Palisades, NY 10964 USA; [Gales, Nick] Australian Antarctic Div, Kingston, Tas, Australia; [Halpin, Patrick N.] Duke Univ, Nicholas Sch Environm, Marine Geospatial Ecol Lab, Durham, NC 27708 USA; [Friedlaender, Ari S.] Oregon State Univ, Hatfield Marine Sci Ctr, Marine Mammal Inst, Newport, OR 97365 USA</t>
  </si>
  <si>
    <t>Duke University; Duke University; Columbia University; Australian Antarctic Division; Duke University; Oregon State University</t>
  </si>
  <si>
    <t>Curtice, C (corresponding author), Duke Univ, Marine Lab, Nicholas Sch Environm, Marine Geospatial Ecol Lab, Beaufort, NC 28516 USA.</t>
  </si>
  <si>
    <t>corrie.curtice@duke.edu</t>
  </si>
  <si>
    <t>Johnston, David/0000-0003-2424-036X</t>
  </si>
  <si>
    <t>Duke University IACUC [A049-112-02]; [ANT-0823101]; Office of Polar Programs (OPP); Directorate For Geosciences [1440435] Funding Source: National Science Foundation</t>
  </si>
  <si>
    <t>Duke University IACUC; ; Office of Polar Programs (OPP); Directorate For Geosciences(National Science Foundation (NSF)NSF - Directorate for Geosciences (GEO))</t>
  </si>
  <si>
    <t>All whale research was conducted under grant award ANT-0823101 and NMFS permit 14097, ACA permit 2009-013, and Duke University IACUC A049-112-02. Research was conducted under a collaboration with the National Science Foundation Office of Polar Program's Palmer Long-term Ecological Research Program and the Australian Antarctic division, and we thank the investigators of this project for their support. We would also like to thank the Captain, crew, and marine technicians of the ARSV Laurence M Gould for their support. Three anonymous reviewers contributed greatly to the strength and clarity of this manuscript.</t>
  </si>
  <si>
    <t>10.1186/s40462-015-0041-x</t>
  </si>
  <si>
    <t>WOS:000215741800013</t>
  </si>
  <si>
    <t>Kappes, MA; Shaffer, SA; Tremblay, Y; Foley, DG; Palacios, DM; Bograd, SJ; Costa, DP</t>
  </si>
  <si>
    <t>Kappes, Michelle A.; Shaffer, Scott A.; Tremblay, Yann; Foley, David G.; Palacios, Daniel M.; Bograd, Steven J.; Costa, Daniel P.</t>
  </si>
  <si>
    <t>Reproductive constraints influence habitat accessibility, segregation, and preference of sympatric albatross species</t>
  </si>
  <si>
    <t>Laysan albatross; Black-footed albatross; Foraging behavior; Activity patterns; Spatial segregation; Habitat selection; Satellite tracking; Geolocation; Spatial modeling</t>
  </si>
  <si>
    <t>SEA-SURFACE TEMPERATURE; ANTARCTIC FUR SEALS; NORTH PACIFIC; FORAGING BEHAVIOR; WANDERING ALBATROSSES; SEASONAL-CHANGES; INTERANNUAL VARIABILITY; PROVISIONING BEHAVIOR; SATELLITE TELEMETRY; SEXUAL SEGREGATION</t>
  </si>
  <si>
    <t>Background: The spatiotemporal distribution of animals is dependent on a suite of factors, including the distribution of resources, interactions within and between species, physiological limitations, and requirements for reproduction, dispersal, or migration. During breeding, reproductive constraints play a major role in the distribution and behavior of central place foragers, such as pelagic seabirds. We examined the foraging behavior and marine habitat selection of Laysan (Phoebastria immutabilis) and black-footed (P. nigripes) albatrosses throughout their eight month breeding cycle at Tern Island, Northwest Hawaiian Islands to evaluate how variable constraints of breeding influenced habitat availability and foraging decisions. We used satellite tracking and light-based geolocation to determine foraging locations of individuals, and applied a biologically realistic null usage model to generate control locations and model habitat preference under a case-control design. Remotely sensed oceanographic data were used to characterize albatross habitats in the North Pacific. Results: Individuals of both species ranged significantly farther and for longer durations during incubation and chick-rearing compared to the brooding period. Interspecific segregation of core foraging areas was observed during incubation and chick-rearing, but not during brooding. At-sea activity patterns were most similar between species during brooding; neither species altered foraging effort to compensate for presumed low prey availability and high energy demands during this stage. Habitat selection during long-ranging movements was most strongly associated with sea surface temperature for both species, with a preference for cooler ocean temperatures compared to overall availability. During brooding, lower explanatory power of habitat models was likely related to the narrow range of ocean temperatures available for selection. Conclusions: Laysan and black-footed albatrosses differ from other albatross species in that they breed in an oligotrophic marine environment. During incubation and chick-rearing, they travel to cooler, more productive waters, but are restricted to the low-productivity environment near the colony during brooding, when energy requirements are greatest. Compared to other albatross species, Laysan and black-footed albatrosses spend a greater proportion of time in flight when foraging, especially during the brooding period; this strategy may be adaptive for locating dispersed prey in an oligotrophic environment.</t>
  </si>
  <si>
    <t>[Kappes, Michelle A.; Shaffer, Scott A.; Tremblay, Yann; Costa, Daniel P.] Univ Calif Santa Cruz, Dept Ecol &amp; Evolutionary Biol, 100 Shaffer Rd, Santa Cruz, CA 95060 USA; [Foley, David G.; Palacios, Daniel M.; Bograd, Steven J.] NOAA Fisheries, Environm Res Div, Southwest Fisheries Sci Ctr, Pacific Grove, CA 93950 USA; [Foley, David G.; Palacios, Daniel M.] Univ Hawaii Manoa, Joint Inst Marine &amp; Atmospher Res, Honolulu, HI 96822 USA</t>
  </si>
  <si>
    <t>University of California System; University of California Santa Cruz; National Oceanic Atmospheric Admin (NOAA) - USA; University of Hawaii System; University of Hawaii Manoa</t>
  </si>
  <si>
    <t>Kappes, MA (corresponding author), Oregon State Univ, Dept Fisheries &amp; Wildlife, Corvallis, OR 97331 USA.</t>
  </si>
  <si>
    <t>michelle.kappes@oregonstate.edu</t>
  </si>
  <si>
    <t>Palacios, Daniel M./B-9180-2008; Bograd, Steven/AAA-4824-2021; Costa, Daniel Paul/E-2616-2013; Shaffer, Scott/D-5015-2009</t>
  </si>
  <si>
    <t>Palacios, Daniel M./0000-0001-7069-7913; Costa, Daniel Paul/0000-0002-0233-5782; Tremblay, Yann/0000-0002-4653-9269; Shaffer, Scott/0000-0002-7751-5059</t>
  </si>
  <si>
    <t>National Ocean Partnership Program [N00014-02-11012]; Office of Naval Research [N00014-00-1-0880, N00014-03-1-0651]; Gordon and Betty Moore Foundation; David and Lucille Packard Foundation; Alfred P. Sloan Foundation; UCSC Regents Fellowship; Chancellor's Dissertation-Year Fellowship; Friends of Long Marine Lab Research Award; STEPS Institute Graduate Research Award</t>
  </si>
  <si>
    <t>National Ocean Partnership Program; Office of Naval Research(Office of Naval Research); Gordon and Betty Moore Foundation(Gordon and Betty Moore Foundation); David and Lucille Packard Foundation(The David &amp; Lucile Packard Foundation); Alfred P. Sloan Foundation(Alfred P. Sloan Foundation); UCSC Regents Fellowship; Chancellor's Dissertation-Year Fellowship; Friends of Long Marine Lab Research Award; STEPS Institute Graduate Research Award</t>
  </si>
  <si>
    <t>The authors dedicate this manuscript to the memory of our colleague and friend, David Foley. We thank Angela Anders, Jill Awkerman, Daniel Barton, Sarah Chisholm, Melinda Conners, Kirsten Lindquist, Frank Mayer, Scott Seganti, and many U.S. Fish and Wildlife Service volunteers for invaluable assistance in the field. We also thank the Hawaiian Islands National Wildlife Refuge, U.S. Fish and Wildlife Service, Department of the Interior, for permission to conduct research on Tern Island and logistical support. Lindsay Young conducted the gender analysis. Alan Swithenbank and Steve Teo provided the SST-correction algorithm for light-based geolocation data. Jason Matthiopoulos and Ewan Wakefield provided helpful suggestions for defining accessibility and selecting control locations. SeaWiFS chlorophyll-a and photosynthetically available radiation were provided by NASA's Goddard Space Flight Center. QuikSCAT wind data were provided by NASA's Jet Propulsion Laboratory at the California Institute of Technology. Pathfinder SST data were obtained from NOAA's National Oceanographic Data Center. AMSR-E SST data were obtained from Remote Sensing Systems Inc. GOES SST data were obtained from NOAA Satellites and Information. Sea surface height anomaly data were obtained from AVISO/Centre National d'Etudes Spatiales, and ETOPO2 data from NOAA's National Geophysical Data Center. This research was part of the Tagging of Pacific Pelagics (TOPP) program, funded in part by the National Ocean Partnership Program (N00014-02-11012), the Office of Naval Research (N00014-00-1-0880 &amp; N00014-03-1-0651), the Gordon and Betty Moore, David and Lucille Packard, and Alfred P. Sloan Foundations. M.A.K. was supported by a UCSC Regents Fellowship and Chancellor's Dissertation-Year Fellowship, a Friends of Long Marine Lab Research Award, and a STEPS Institute Graduate Research Award. All protocols employed in this study were approved by the Institutional Animal Care and Use Committees at UCSC. Henri Weimerskirch and Bruce Lyon provided thoughtful comments and suggestions which helped improve the quality of this manuscript. M.A.K. dedicates this work to the memory of her father, Stanislav Antolos.</t>
  </si>
  <si>
    <t>10.1186/s40462-015-0063-4</t>
  </si>
  <si>
    <t>WOS:000215741800034</t>
  </si>
  <si>
    <t>Widmann, M; Kato, A; Ben Raymond,; Angelier, F; Arthur, B; Chastel, O; Pelle, M; Raclot, T; Ropert-Coudert, Y</t>
  </si>
  <si>
    <t>Widmann, Michel; Kato, Akiko; Ben Raymond; Angelier, Frederic; Arthur, Benjamin; Chastel, Olivier; Pelle, Marie; Raclot, Thierry; Ropert-Coudert, Yan</t>
  </si>
  <si>
    <t>Habitat use and sex-specific foraging behaviour of Adlie penguins throughout the breeding season in Adelie Land, East Antarctica</t>
  </si>
  <si>
    <t>Adelie penguin; Marine Protected Areas; Bio-logging; Foraging behaviour; Sea-ice distribution; Polynya; Adelie Land</t>
  </si>
  <si>
    <t>Background: Marine predators are ecosystem sentinels because their foraging behaviour and reproductive success reflect the variability occurring in the lower trophic levels of the ecosystem. In an era of environmental change, monitoring top predators species can provide valuable insights into the zones of ecological importance that need to be protected. In this context, we monitored the Adelie penguin (Pygoscelis adeliae) as a bio-indicator near Dumont d'Urville, an area of the East Antarctic sector currently being considered for the establishment of a Marine Protected Area ( MPA), using GPS-based tracking tags during the 2012/13 austral summer breeding season. Results: The habitat use and foraging areas of the penguins differed by breeding stage and sex and were strongly associated with patterns in bathymetry and sea-ice distribution. The first trips, undertaken during the incubation phase, were longer than those during the guard phase and were associated with the northern limit of the sea-ice extent. During the guard phase, birds strongly depended on access to a polynya, a key feature in Antarctic marine ecosystem, in the vicinity of the colony. The opening of the ice-free area was synchronous with the hatching of chicks. Moreover, a sex-specific use of foraging habitat observed only after hatching suggests sex-specific differences in the diet in response to intra-specific competition. Conclusions: Sea-ice features that could be affected by the climate change were important factors for the use of foraging habitat by the Adlie penguins. The extent of the foraging area observed in this study is congruent with the area of the proposed MPA. However, both penguin behavior and their environment should be monitored carefully.</t>
  </si>
  <si>
    <t>[Widmann, Michel] Ecole Normale Super Lyon, 46 Allee Italie, F-96364 Lyon 07, France; [Widmann, Michel; Kato, Akiko; Pelle, Marie; Raclot, Thierry; Ropert-Coudert, Yan] CNRS, UMR7178, F-67037 Strasbourg, France; [Kato, Akiko; Raclot, Thierry; Ropert-Coudert, Yan] Univ Strasbourg, IPHC, F-67087 Strasbourg, France; [Ben Raymond] Australian Govt, Dept Environm, Australian Antarctic Div, Kingston, Tas 7050, Australia; [Kato, Akiko; Angelier, Frederic; Chastel, Olivier; Ropert-Coudert, Yan] Ctr Etud Biol Chize, CNRS, UPR 1934, F-79360 Villiers En Bois, France; [Ben Raymond; Arthur, Benjamin] Univ Tasmania, Inst Marine &amp; Antarctic Studies, Hobart, Tas 7001, Australia</t>
  </si>
  <si>
    <t>Ecole Normale Superieure de Lyon (ENS de LYON); Universites de Strasbourg Etablissements Associes; Universite de Strasbourg; Centre National de la Recherche Scientifique (CNRS); CNRS - National Institute of Nuclear and Particle Physics (IN2P3); Universites de Strasbourg Etablissements Associes; Universite de Strasbourg; Australian Antarctic Division; Centre National de la Recherche Scientifique (CNRS); University of Tasmania</t>
  </si>
  <si>
    <t>Widmann, M (corresponding author), Ecole Normale Super Lyon, 46 Allee Italie, F-96364 Lyon 07, France.</t>
  </si>
  <si>
    <t>michel.widmann6@gmail.com</t>
  </si>
  <si>
    <t>Kato, Akiko/W-2447-2019</t>
  </si>
  <si>
    <t>Kato, Akiko/0000-0002-8947-3634</t>
  </si>
  <si>
    <t>Institut Polaire Francais Paul-Emile Victor [1091-l'AMMER]; Centre National de la Recherche Scientifique (Programme Zone Atelier de Recherches sur l'Environnement Antarctique et Subantarctique, ZATA); WWF</t>
  </si>
  <si>
    <t>Institut Polaire Francais Paul-Emile Victor; Centre National de la Recherche Scientifique (Programme Zone Atelier de Recherches sur l'Environnement Antarctique et Subantarctique, ZATA); WWF</t>
  </si>
  <si>
    <t>This work was financially and logistically supported by the Institut Polaire Francais Paul-Emile Victor (Programme 1091-l'AMMER), the Centre National de la Recherche Scientifique (Programme Zone Atelier de Recherches sur l'Environnement Antarctique et Subantarctique, ZATA), and by grants from the WWF with many thanks to Rod Downie. We are grateful to N. Chatelain, M. Bruecker and F. Crenner who customized the GPS units at the IPHC. We are also grateful to M. Tissier for her help in habitat use optimization at the IPHC, C. Bousquet and T. Kamiya for statistical discussion, A. Tarroux, L. Pelletier and A- M. Thierry for their R advice, and G. Lamy for first and last passage time. Finally, we thank two anonymous reviewers for their comments that greatly improved our manuscript.</t>
  </si>
  <si>
    <t>10.1186/s40462-015-0052</t>
  </si>
  <si>
    <t>WOS:000215741800030</t>
  </si>
  <si>
    <t>Jones, DH; Gudmundsson, GH</t>
  </si>
  <si>
    <t>Jones, D. H.; Gudmundsson, G. H.</t>
  </si>
  <si>
    <t>Tracking B-31 iceberg with two aircraft-deployed sensors</t>
  </si>
  <si>
    <t>NATURAL HAZARDS AND EARTH SYSTEM SCIENCES</t>
  </si>
  <si>
    <t>Icebergs are a natural hazard to maritime operations in polar regions. Iceberg populations are increasing, as is the demand for access to both Arctic and Antarctic seas. Soon the ability to reliably track icebergs may become a necessity for continued operational safety. The temporal and spatial coverage of remote sensing instruments is limited, and must be supplemented with in situ measurements. In this paper we describe the design of a tracking sensor that can be deployed from a fixed-wing aircraft during surveys of Antarctic icebergs, and detail the results of its first deployment operation on iceberg B-31.</t>
  </si>
  <si>
    <t>[Jones, D. H.; Gudmundsson, G. H.] British Antarctic Survey, Cambridge CB3 0ET, England</t>
  </si>
  <si>
    <t>Gudmundsson, GH (corresponding author), British Antarctic Survey, Madingley Rd, Cambridge CB3 0ET, England.</t>
  </si>
  <si>
    <t>ghg@bas.ac.uk</t>
  </si>
  <si>
    <t>Gudmundsson, Gudmundur Hilmar/0000-0003-4236-5369; Gudmundsson, Gudmundur Hilmar/0000-0003-4236-5369; Jones, David/0000-0003-2379-909X</t>
  </si>
  <si>
    <t>Natural Environment Research Council [NE/I007156/1]; NERC [bas0100034, NE/I007156/1] Funding Source: UKRI; Natural Environment Research Council [bas0100034, NE/I007156/1] Funding Source: researchfish</t>
  </si>
  <si>
    <t>This study is part of the British Antarctic Survey Polar Science for Planet Earth Programme. It was funded by The Natural Environment Research Council (NE/I007156/1).</t>
  </si>
  <si>
    <t>1561-8633</t>
  </si>
  <si>
    <t>1684-9981</t>
  </si>
  <si>
    <t>NAT HAZARD EARTH SYS</t>
  </si>
  <si>
    <t>Nat. Hazards Earth Syst. Sci.</t>
  </si>
  <si>
    <t>10.5194/nhess-15-1243-2015</t>
  </si>
  <si>
    <t>Geosciences, Multidisciplinary; Meteorology &amp; Atmospheric Sciences; Water Resources</t>
  </si>
  <si>
    <t>Geology; Meteorology &amp; Atmospheric Sciences; Water Resources</t>
  </si>
  <si>
    <t>CL7CG</t>
  </si>
  <si>
    <t>WOS:000357127100012</t>
  </si>
  <si>
    <t>Boyd, PW; Lennartz, ST; Glover, DM; Doney, SC</t>
  </si>
  <si>
    <t>Boyd, Philip W.; Lennartz, Sinikka T.; Glover, David M.; Doney, Scott C.</t>
  </si>
  <si>
    <t>Biological ramifications of climate-change-mediated oceanic multi-stressors</t>
  </si>
  <si>
    <t>NATURE CLIMATE CHANGE</t>
  </si>
  <si>
    <t>PHYTOPLANKTON COMMUNITY; SOUTHERN-OCEAN; IRON; TEMPERATURE; GROWTH; LIGHT; PROCHLOROCOCCUS; RATIOS; CARBON; ACIDIFICATION</t>
  </si>
  <si>
    <t>Climate change is altering oceanic conditions in a complex manner, and the concurrent amendment of multiple properties will modify environmental stress for primary producers. So far, global modelling studies have focused largely on how alteration of individual properties will affect marine life. Here, we use global modelling simulations in conjunction with rotated factor analysis to express model projections in terms of regional trends in concomitant changes to biologically influential multi-stressors. Factor analysis demonstrates that regionally distinct patterns of complex oceanic change are evident globally. Preliminary regional assessments using published evidence of phytoplankton responses to complex change reveal a wide range of future responses to interactive multi-stressors with &lt;20-300% shifts in phytoplankton physiological rates, and many unexplored potential interactions. In a future ocean, provinces will encounter different permutations of change that will probably alter the dominance of key phytoplankton groups and modify regional productivity, ecosystem structure and biogeochemistry. Consideration of regionally distinct multi-stressor patterns can help guide laboratory and field studies as well as the interpretation of interactive multi-stressors in global models.</t>
  </si>
  <si>
    <t>[Boyd, Philip W.] Univ Tasmania, Inst Marine &amp; Antarctic Studies, Hobart, Tas 7005, Australia; [Lennartz, Sinikka T.] Tech Univ Carolo Wilhelmina Braunschweig, Inst Geoecol, D-38106 Braunschweig, Germany; [Lennartz, Sinikka T.] Geomar, Helmholtz Ctr Oceanog Res, D-24105 Kiel, Germany; [Glover, David M.; Doney, Scott C.] Woods Hole Oceanog Inst, Dept Marine Chem &amp; Geochem, Woods Hole, MA 02543 USA</t>
  </si>
  <si>
    <t>University of Tasmania; Braunschweig University of Technology; Helmholtz Association; GEOMAR Helmholtz Center for Ocean Research Kiel; Woods Hole Oceanographic Institution</t>
  </si>
  <si>
    <t>Philip.boyd@utas.edu.au</t>
  </si>
  <si>
    <t>Doney, Scott/F-9247-2010; /AAL-3738-2021; Boyd, Philip/J-7624-2014</t>
  </si>
  <si>
    <t>Doney, Scott/0000-0002-3683-2437; Lennartz, Sinikka/0000-0001-7040-149X; Boyd, Philip/0000-0001-7850-1911</t>
  </si>
  <si>
    <t>Center for Microbial Oceanography Research and Education (C-MORE) a National Science Foundation Science and Technology Center [EF-0424599]; IMAS, University of Tasmania; H. Biester and Heinrich-Boell-Foundation</t>
  </si>
  <si>
    <t>Center for Microbial Oceanography Research and Education (C-MORE) a National Science Foundation Science and Technology Center; IMAS, University of Tasmania; H. Biester and Heinrich-Boell-Foundation</t>
  </si>
  <si>
    <t>S.C.D. acknowledges support from the Center for Microbial Oceanography Research and Education (C-MORE; grant EF-0424599), a National Science Foundation Science and Technology Center. P.W.B. acknowledges support from IMAS, University of Tasmania. S.T.L. acknowledges support from H. Biester and Heinrich-Boell-Foundation.</t>
  </si>
  <si>
    <t>NATURE PORTFOLIO</t>
  </si>
  <si>
    <t>HEIDELBERGER PLATZ 3, BERLIN, 14197, GERMANY</t>
  </si>
  <si>
    <t>1758-678X</t>
  </si>
  <si>
    <t>1758-6798</t>
  </si>
  <si>
    <t>NAT CLIM CHANGE</t>
  </si>
  <si>
    <t>Nat. Clim. Chang.</t>
  </si>
  <si>
    <t>10.1038/NCLIMATE2441</t>
  </si>
  <si>
    <t>AW8LQ</t>
  </si>
  <si>
    <t>WOS:000346513900022</t>
  </si>
  <si>
    <t>Kuhnt, W; Holbourn, A; Xu, J; Opdyke, B; De Deckker, P; Röhl, U; Mudelsee, M</t>
  </si>
  <si>
    <t>Kuhnt, Wolfgang; Holbourn, Ann; Xu, Jian; Opdyke, Bradley; De Deckker, Patrick; Roehl, Ursula; Mudelsee, Manfred</t>
  </si>
  <si>
    <t>Southern Hemisphere control on Australian monsoon variability during the late deglaciation and Holocene</t>
  </si>
  <si>
    <t>NATURE COMMUNICATIONS</t>
  </si>
  <si>
    <t>SEA-LEVEL; SUMMER MONSOON; CLIMATE-CHANGE; SUNDA SHELF; LAST; RAINFALL; PACIFIC; DESERT; TRENDS; RECORD</t>
  </si>
  <si>
    <t>The evolution of the Australian monsoon in relation to high-latitude temperature fluctuations over the last termination remains highly enigmatic. Here we integrate high-resolution riverine runoff and dust proxy data from X-ray fluorescence scanner measurements in four well-dated sediment cores, forming a NE-SW transect across the Timor Sea. Our records reveal that the development of the Australian monsoon closely followed the deglacial warming history of Antarctica. A minimum in riverine runoff documents dry conditions throughout the region during the Antarctic Cold Reversal (15-12.9 ka). Massive intensification of the monsoon coincided with Southern Hemisphere warming and intensified greenhouse forcing over Australia during the atmospheric CO2 rise at 12.9-10 ka. We relate the earlier onset of the monsoon in the Timor Strait (13.4 ka) to regional changes in landmass exposure during deglacial sea-level rise. A return to dryer conditions occurred between 8.1 and 7.3 ka following the early Holocene runoff maximum.</t>
  </si>
  <si>
    <t>[Kuhnt, Wolfgang; Holbourn, Ann] Univ Kiel, Inst Geosci, D-24118 Kiel, Germany; [Xu, Jian] Northwest Univ, State Key Lab Continental Dynam, Xian 710069, Peoples R China; [Xu, Jian] Northwest Univ, Dept Geol, Xian 710069, Peoples R China; [Opdyke, Bradley; De Deckker, Patrick] Australian Natl Univ, Res Sch Earth Sci, Canberra, ACT 2601, Australia; [Roehl, Ursula] Univ Bremen, MARUM Zentrum Marine Umweltwissensch, D-28359 Bremen, Germany; [Mudelsee, Manfred] Climate Risk Anal, D-37581 Bad Gandersheim, Germany</t>
  </si>
  <si>
    <t>University of Kiel; Northwest University Xi'an; Northwest University Xi'an; Australian National University; University of Bremen</t>
  </si>
  <si>
    <t>Kuhnt, W (corresponding author), Univ Kiel, Inst Geosci, Ludewig Meynstr 10-14, D-24118 Kiel, Germany.</t>
  </si>
  <si>
    <t>wk@gpi.uni-kiel.de</t>
  </si>
  <si>
    <t>Röhl, Ursula/G-5986-2011; Mudelsee, Manfred/C-6063-2018</t>
  </si>
  <si>
    <t>Röhl, Ursula/0000-0001-9469-7053; Mudelsee, Manfred/0000-0002-2364-9561; Holbourn, Ann/0000-0002-3167-0862; Xu, Jian/0000-0002-7725-3423</t>
  </si>
  <si>
    <t>German Bundesministerium fur Bildung und Forschung [SO-185, VITAL, 03G0185A]; Deutsche Forschungsgemeinschaft (DFG) [KU 649/28-1]</t>
  </si>
  <si>
    <t>German Bundesministerium fur Bildung und Forschung(Federal Ministry of Education &amp; Research (BMBF)); Deutsche Forschungsgemeinschaft (DFG)(German Research Foundation (DFG))</t>
  </si>
  <si>
    <t>We are grateful to V. Lukies, D. Mikschl, M. Aquit, N. Andersen, D. Garbe-Schonberg and the crews of R.V. Sonne and R.V. Marion Dufresne for technical support. We thank M. Huls and A. Dreves for AMS analyses at the Leibniz Laboratory for Radiometric Dating and Isotope Research, Kiel. This study was funded by the German Bundesministerium fur Bildung und Forschung (SO-185, VITAL, 03G0185A) and the Deutsche Forschungsgemeinschaft (DFG, KU 649/28-1).</t>
  </si>
  <si>
    <t>NATURE PUBLISHING GROUP</t>
  </si>
  <si>
    <t>MACMILLAN BUILDING, 4 CRINAN ST, LONDON N1 9XW, ENGLAND</t>
  </si>
  <si>
    <t>2041-1723</t>
  </si>
  <si>
    <t>NAT COMMUN</t>
  </si>
  <si>
    <t>Nat. Commun.</t>
  </si>
  <si>
    <t>10.1038/ncomms6916</t>
  </si>
  <si>
    <t>CA2MI</t>
  </si>
  <si>
    <t>WOS:000348742100005</t>
  </si>
  <si>
    <t>Williams, G; Maksym, T; Wilkinson, J; Kunz, C; Murphy, C; Kimball, P; Singh, H</t>
  </si>
  <si>
    <t>Williams, G.; Maksym, T.; Wilkinson, J.; Kunz, C.; Murphy, C.; Kimball, P.; Singh, H.</t>
  </si>
  <si>
    <t>Thick and deformed Antarctic sea ice mapped with autonomous underwater vehicles</t>
  </si>
  <si>
    <t>NATURE GEOSCIENCE</t>
  </si>
  <si>
    <t>AMUNDSEN SEAS; WEDDELL SEA; BELLINGSHAUSEN; TRENDS; VARIABILITY; IMPACT; WINTER; DRAFT; MODEL; ROSS</t>
  </si>
  <si>
    <t>Satellites have documented trends in Antarctic sea-ice extent and its variability for decades, but estimating sea-ice thickness in the Antarctic from remote sensing data remains challenging. In situ observations needed for validation of remote sensing data and sea-ice models are limited; most have been restricted to a few point measurements on selected ice floes, or to visual shipboard estimates. Here we present three-dimensional (3D) floe-scale maps of sea-ice draft for ten floes, compiled from two springtime expeditions by an autonomous underwater vehicle to the near-coastal regions of the Weddell, Bellingshausen, and Wilkes Land sectors of Antarctica. Mean drafts range from 1.4 to 5.5 m, with maxima up to 16 m. We also find that, on average, 76% of the ice volume is deformed ice. Our surveys indicate that the floes are much thicker and more deformed than reported by most drilling and ship-based measurements of Antarctic sea ice. We suggest that thick ice in the near-coastal and interior pack may be under-represented in existing in situ assessments of Antarctic sea ice and hence, on average, Antarctic sea ice may be thicker than previously thought.</t>
  </si>
  <si>
    <t>[Williams, G.] Univ Tasmania, Inst Antarctic &amp; Marine Sci, Hobart, Tas 7004, Australia; [Williams, G.] Antarctic Climate &amp; Ecosyst Cooperat Res Ctr, Hobart, Tas 7004, Australia; [Maksym, T.; Kunz, C.; Kimball, P.; Singh, H.] Woods Hole Oceanog Res Inst, Woods Hole, MA 02543 USA; [Wilkinson, J.] British Antarctic Survey, Cambridge CB2 1RT, England; [Kunz, C.] Google Inc, Mountain View, CA 94043 USA; [Murphy, C.] Bluefin Robot, Quincy, MA 02169 USA</t>
  </si>
  <si>
    <t>University of Tasmania; Antarctic Climate &amp; Ecosystems Cooperative Research Centre (ACE CRC); UK Research &amp; Innovation (UKRI); Natural Environment Research Council (NERC); NERC British Antarctic Survey; Google Incorporated</t>
  </si>
  <si>
    <t>Williams, G (corresponding author), Univ Tasmania, Inst Antarctic &amp; Marine Sci, Hobart, Tas 7004, Australia.</t>
  </si>
  <si>
    <t>guy.darvall.williams@gmail.com; tmaksym@whoi.edu; jeremy.wilkinson@bas.ac.uk</t>
  </si>
  <si>
    <t>Australian Government's Cooperative Research Centres through the Antarctic Climate and Ecosystem Cooperative Research Centre; NERC grant [NE/H009620/1]; Australian Antarctic Science [4073]; NSF [OPP-1142075, ANT-1039951]; Directorate For Geosciences; Office of Polar Programs (OPP) [1142075] Funding Source: National Science Foundation; Natural Environment Research Council [NE/H009582/1, NE/H009620/1, bas0100023, NE/H009582/2] Funding Source: researchfish; NERC [NE/H009582/1, NE/H009582/2, bas0100023, NE/H009620/1] Funding Source: UKRI</t>
  </si>
  <si>
    <t>Australian Government's Cooperative Research Centres through the Antarctic Climate and Ecosystem Cooperative Research Centre(Australian GovernmentDepartment of Industry, Innovation and ScienceCooperative Research Centres (CRC) Programme); NERC grant(UK Research &amp; Innovation (UKRI)Natural Environment Research Council (NERC)); Australian Antarctic Science; NSF(National Science Foundation (NSF));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</si>
  <si>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We are grateful for the professionalism of the officers,crew and technical staff of the RSS J. C. Ross (IceBell) and RV Aurora Australis (SIPEX-II). J. Pietro from the Woods Hole Oceanographic Institution and R. Frost and P. Alexander from the Australian Maritime College at the University of Tasmania provided assistance in the field. K. Meiners, A. Steer, P. Heil and R. Massom (AAD), and R. Scharein (UVic) provided ice and snow properties data. C. Dietz (UTAS-CSL), A. Moy (AAD) and E. Rohling (NOC) analysed the oxygen isotope data. This work was supported by the Australian Government's Cooperative Research Centres Programme through the Antarctic Climate and Ecosystem Cooperative Research Centre. Support for the IceBell cruise was supplied by the British Antarctic Survey and NERC grant NE/H009620/1. Support for the SIPEX-2 cruise was through the Australian Antarctic Science Grant No. 4073. T.M. was supported in part by NSF grant OPP-1142075. H.S. was supported by NSF grant ANT-1039951.</t>
  </si>
  <si>
    <t>75 VARICK ST, 9TH FLR, NEW YORK, NY 10013-1917 USA</t>
  </si>
  <si>
    <t>1752-0894</t>
  </si>
  <si>
    <t>1752-0908</t>
  </si>
  <si>
    <t>NAT GEOSCI</t>
  </si>
  <si>
    <t>Nat. Geosci.</t>
  </si>
  <si>
    <t>10.1038/NGEO2299</t>
  </si>
  <si>
    <t>AX3FF</t>
  </si>
  <si>
    <t>WOS:000346825000017</t>
  </si>
  <si>
    <t>Brat, K; Homolka, P; Cornelissen, G; Merta, Z; Homolka, M; Rihacek, I; Sevcik, P</t>
  </si>
  <si>
    <t>Brat, Kristian; Homolka, Pavel; Cornelissen, Germaine; Merta, Zdenek; Homolka, Martin; Rihacek, Ivan; Sevcik, Pavel</t>
  </si>
  <si>
    <t>Chronobiological changes in arterial blood pressure in participants of the 5th and 6th Czech Antarctic Scientific Expeditions</t>
  </si>
  <si>
    <t>NEUROENDOCRINOLOGY LETTERS</t>
  </si>
  <si>
    <t>Antarctica; extreme environment; 24-hour blood pressure monitoring; Halberg cosinor analysis; blood pressure variability; circadian variability</t>
  </si>
  <si>
    <t>HYPERTENSION</t>
  </si>
  <si>
    <t>OBJECTIVE: To evaluate potential changes in arterial blood pressure (ABP) and heart rate (HR) during a 2-month stay in Antarctica, using chronobiological analysis. METHODS: An observational study performed at Mendel research base, Antarctica, during 2011 and 2012. The studied group consisted of 24 participants of the 5th and 6th Czech Antarctic Scientific Expeditions. Three series of 24-hour ABP monitoring were performed, of these two in Antarctica and one in the Czech Republic. Chronobiological analyses of the data were performed (Halberg Chronobiology Center, Minnesota) using population-mean cosinor. The values of MESOR (Midline Estimating Statistic Of Rhythm), double amplitude and the acrophase were obtained for SBP (Systolic Blood Pressure), DBP (Diastolic Blood Pressure) and HR. These rhythm characteristics were compared between the two locations by parameter tests and by the paired t-test. RESULTS: On the average, the MESORs of SBP, DBP and HR were significantly higher in Antarctica than in the Czech Republic, as were the double amplitudes of the 12-hour component of SBP and DBP. High prevalence of CHAT (Circadian Hyper-Amplitude-Tension) was detected in Antarctica (8/24 = 33%); only 2 persons had CHAT in the Czech Republic (chi(2)=3.945, p=0.047). CONCLUSIONS: A prolonged stay in Antarctica clearly affected certain chronobiological parameters of ABP and HR.</t>
  </si>
  <si>
    <t>[Brat, Kristian; Merta, Zdenek] Masaryk Univ, Univ Hosp Brno, Dept Resp Dis, Brno, Czech Republic; [Brat, Kristian; Homolka, Pavel; Merta, Zdenek; Rihacek, Ivan] Masaryk Univ, Fac Med, Brno, Czech Republic; [Homolka, Pavel] Masaryk Univ, Dept Sports Med &amp; Rehabil, St Annes Univ Hosp, Brno, Czech Republic; [Homolka, Pavel] Masaryk Univ, Int Clin Res Ctr, Brno, Czech Republic; [Cornelissen, Germaine] Univ Minnesota, Halberg Chronobiol Ctr, Minneapolis, MN USA; [Homolka, Martin] St Annes Univ Hosp, Int Clin Res Ctr, Brno, Czech Republic; [Homolka, Martin] Mendel Univ Brno, Dept Management, Brno, Czech Republic; [Rihacek, Ivan] Masaryk Univ, Dept Internal Med 2, St Annes Univ Hosp, Brno, Czech Republic; [Sevcik, Pavel] Univ Ostrava, Univ Hosp Ostrava, Dept Anaesthesiol &amp; Intens Care Med, Ostrava, Czech Republic; [Sevcik, Pavel] Univ Ostrava, Fac Med, Ostrava, Czech Republic</t>
  </si>
  <si>
    <t>University Hospital Brno; Masaryk University Brno; Masaryk University Brno; St Anne's University Hospital Brno (FNUSA-ICRC); Masaryk University Brno; Masaryk University Brno; St Anne's University Hospital Brno (FNUSA-ICRC); University of Minnesota System; University of Minnesota Twin Cities; St Anne's University Hospital Brno (FNUSA-ICRC); Mendel University in Brno; St Anne's University Hospital Brno (FNUSA-ICRC); Masaryk University Brno; University of Ostrava; University Hospital Ostrava; University of Ostrava</t>
  </si>
  <si>
    <t>Homolka, P (corresponding author), St Annes Univ Hosp, Dept Sports Med &amp; Rehabil, Pekarska 53, Brno 65691, Czech Republic.</t>
  </si>
  <si>
    <t>pavel.homolka@fnusa.cz</t>
  </si>
  <si>
    <t>Sevcik, Pavel/G-6052-2017; Brat, Kristian/ABE-8121-2020; , Ivan/F-7871-2017</t>
  </si>
  <si>
    <t>Sevcik, Pavel/0000-0003-1635-7832; , Ivan/0000-0003-2434-5807</t>
  </si>
  <si>
    <t>Ministry of Health, Czech Republic - conceptual development of research organization (FNBr) [65269705]; European Regional Development Fund - Project FNUSA-ICRC [CZ.1.05/1.1.00/02.0123]; Ministry of Health, Czech Republic - grant IGA [NT13434-4/2012]; Halberg Chronobiologic Fund; Supercomputing Institute at the University of Minnesota</t>
  </si>
  <si>
    <t>Ministry of Health, Czech Republic - conceptual development of research organization (FNBr); European Regional Development Fund - Project FNUSA-ICRC; Ministry of Health, Czech Republic - grant IGA; Halberg Chronobiologic Fund; Supercomputing Institute at the University of Minnesota(University of Minnesota System)</t>
  </si>
  <si>
    <t>Supported by Ministry of Health, Czech Republic - conceptual development of research organization (FNBr, 65269705).; Supported by European Regional Development Fund - Project FNUSA-ICRC (Reg. No. CZ.1.05/1.1.00/02.0123) and Ministry of Health, Czech Republic - grant IGA (NT13434-4/2012).; Supported by the Halberg Chronobiologic Fund and the Supercomputing Institute at the University of Minnesota (GC).</t>
  </si>
  <si>
    <t>MAGHIRA &amp; MAAS PUBLICATIONS</t>
  </si>
  <si>
    <t>STOCKHOLM</t>
  </si>
  <si>
    <t>PO BOX 26132, S-100 41 STOCKHOLM, SWEDEN</t>
  </si>
  <si>
    <t>0172-780X</t>
  </si>
  <si>
    <t>NEUROENDOCRINOL LETT</t>
  </si>
  <si>
    <t>Neuroendocrinol. Lett.</t>
  </si>
  <si>
    <t>Endocrinology &amp; Metabolism; Neurosciences</t>
  </si>
  <si>
    <t>Endocrinology &amp; Metabolism; Neurosciences &amp; Neurology</t>
  </si>
  <si>
    <t>CE6DS</t>
  </si>
  <si>
    <t>WOS:000351927400013</t>
  </si>
  <si>
    <t>Young, JN; Goldman, JAL; Kranz, SA; Tortell, PD; Morel, FMM</t>
  </si>
  <si>
    <t>Young, Jodi N.; Goldman, Johanna A. L.; Kranz, Sven A.; Tortell, Philippe D.; Morel, Francois M. M.</t>
  </si>
  <si>
    <t>Slow carboxylation of Rubisco constrains the rate of carbon fixation during Antarctic phytoplankton blooms</t>
  </si>
  <si>
    <t>NEW PHYTOLOGIST</t>
  </si>
  <si>
    <t>carboxylation; cold water; diatoms; phytoplankton; primary production; psychrophilic; Rubisco; Western Antarctic Peninsula (WAP)</t>
  </si>
  <si>
    <t>LOW-TEMPERATURE; ROSS SEA; ADAPTATION; PRODUCTIVITY; ACCLIMATION</t>
  </si>
  <si>
    <t>High-latitude oceans are areas of high primary production despite temperatures that are often well below the thermal optima of enzymes, including the key Calvin Cycle enzyme, Ribulose 1,5 bisphosphate carboxylase oxygenase (Rubisco). We measured carbon fixation rates, protein content and Rubisco abundance and catalytic rates during an intense diatom bloom in the Western Antarctic Peninsula (WAP) and in laboratory cultures of a psychrophilic diatom (Fragilariopsis cylindrus). At -1 degrees C, the Rubisco turnover rate, k(cat)(c), was 0.4Cs(-1) per site and the half saturation constant for CO2 was 15M (vs c. 3Cs(-1) per site and 50M at 20 degrees C). To achieve high carboxylation rates, psychrophilic diatoms increased Rubisco abundance to c. 8% of biomass (vs c. 0.6% at 20 degrees C), along with their total protein content, resulting in a low carbon:nitrogen ratio of c. 5. In psychrophilic diatoms, Rubisco must be almost fully active and near CO2 saturation to achieve carbon fixation rates observed in the WAP. Correspondingly, total protein concentrations were close to the highest ever measured in phytoplankton and likely near the maximum possible. We hypothesize that this high protein concentration, like that of Rubisco, is necessitated by slow enzyme rates, and that carbon fixation rates in the WAP are near a theoretical maximum.</t>
  </si>
  <si>
    <t>[Young, Jodi N.; Goldman, Johanna A. L.; Kranz, Sven A.; Morel, Francois M. M.] Princeton Univ, Dept Geosci, Princeton, NJ 08544 USA; [Tortell, Philippe D.] Univ British Columbia, Dept Earth Ocean &amp; Atmospher Sci, Vancouver, BC V5Z 1M9, Canada</t>
  </si>
  <si>
    <t>Princeton University; University of British Columbia</t>
  </si>
  <si>
    <t>Young, JN (corresponding author), Princeton Univ, Dept Geosci, Princeton, NJ 08544 USA.</t>
  </si>
  <si>
    <t>jny@princeton.edu</t>
  </si>
  <si>
    <t>Morel, Francois M M/A-8107-2008; Kranz, Sven/ABG-9009-2020</t>
  </si>
  <si>
    <t>Tortell, Philippe/0000-0003-0212-2151</t>
  </si>
  <si>
    <t>US National Science Foundation [OPP 1043593, EF 1040965, OCE 0825192]; Natural Science and Engineering Research Council of Canada; Directorate For Geosciences; Office of Polar Programs (OPP) [1043593] Funding Source: National Science Foundation; Emerging Frontiers; Direct For Biological Sciences [1040965] Funding Source: National Science Foundation</t>
  </si>
  <si>
    <t>US National Science Foundation(National Science Foundation (NSF)); Natural Science and Engineering Research Council of Canada(Natural Sciences and Engineering Research Council of Canada (NSERC)); Directorate For Geosciences; Office of Polar Programs (OPP)(National Science Foundation (NSF)NSF - Directorate for Geosciences (GEO)); Emerging Frontiers; Direct For Biological Sciences(National Science Foundation (NSF)NSF - Directorate for Biological Sciences (BIO))</t>
  </si>
  <si>
    <t>We wish to acknowledge the exceptional assistance provided by the science support and administrative staff at Palmer Station and the entire Palmer LTER science team, with particular thanks to Hugh Ducklow. We also wish to thank Jay Pinckney for running the HPLC samples. We also thank three anonymous reviewers for the helpful comments by three anonymous reviewers. This study was funded by the US National Science Foundation (OPP 1043593, EF 1040965 and OCE 0825192). Funding to P.D.T. was provided by the Natural Science and Engineering Research Council of Canada.</t>
  </si>
  <si>
    <t>0028-646X</t>
  </si>
  <si>
    <t>1469-8137</t>
  </si>
  <si>
    <t>NEW PHYTOL</t>
  </si>
  <si>
    <t>New Phytol.</t>
  </si>
  <si>
    <t>10.1111/nph.13021</t>
  </si>
  <si>
    <t>AU4QL</t>
  </si>
  <si>
    <t>WOS:000345596700020</t>
  </si>
  <si>
    <t>Yagi, N; Kato, H; Kitakado, T</t>
  </si>
  <si>
    <t>Yagi, Nobuyuki; Kato, Hidehiro; Kitakado, Toshihide</t>
  </si>
  <si>
    <t>Examining the March 2014 judgement of International Court of Justice on Whaling in the Antarctic</t>
  </si>
  <si>
    <t>NIPPON SUISAN GAKKAISHI</t>
  </si>
  <si>
    <t>Japanese</t>
  </si>
  <si>
    <t>[Yagi, Nobuyuki] Univ Tokyo, Grad Sch Agr &amp; Life Sci, Bunkyo Ku, Tokyo 1138657, Japan; [Kato, Hidehiro] Tokyo Univ Marine Sci &amp; Technol, Dept Ocean Sci, Minato Ku, Tokyo 1088477, Japan; [Kitakado, Toshihide] Tokyo Univ Marine Sci &amp; Technol, Dept Marine Biosci, Minato Ku, Tokyo 1088477, Japan</t>
  </si>
  <si>
    <t>University of Tokyo; Tokyo University of Marine Science &amp; Technology; Tokyo University of Marine Science &amp; Technology</t>
  </si>
  <si>
    <t>Yagi, N (corresponding author), Univ Tokyo, Grad Sch Agr &amp; Life Sci, Bunkyo Ku, Tokyo 1138657, Japan.</t>
  </si>
  <si>
    <t>yagi@fs.a.u-tokyo.ac.jp</t>
  </si>
  <si>
    <t>Kitakado, Toshihide/O-1944-2014; Yagi, Nobuyuki/IZE-1746-2023; Yagi, Nobuyuki/ADE-0612-2022</t>
  </si>
  <si>
    <t>Yagi, Nobuyuki/0000-0002-7140-8498; Yagi, Nobuyuki/0000-0002-7140-8498</t>
  </si>
  <si>
    <t>JAPANESE SOC FISHERIES SCIENCE</t>
  </si>
  <si>
    <t>C/O TOKYO UNIV FISHERIES, KONAN 4, MINATO, TOKYO, 108-8477, JAPAN</t>
  </si>
  <si>
    <t>0021-5392</t>
  </si>
  <si>
    <t>1349-998X</t>
  </si>
  <si>
    <t>NIPPON SUISAN GAKK</t>
  </si>
  <si>
    <t>Nippon Suisan Gakkaishi</t>
  </si>
  <si>
    <t>10.2331/suisan.81.1001</t>
  </si>
  <si>
    <t>CY1OC</t>
  </si>
  <si>
    <t>WOS:000366175900009</t>
  </si>
  <si>
    <t>Moronuki, H</t>
  </si>
  <si>
    <t>Moronuki, Hideki</t>
  </si>
  <si>
    <t>I-1. Findings of the Court on the case Whaling in the Antarctic (Australia v. Japan: New Zealand intervening)</t>
  </si>
  <si>
    <t>[Moronuki, Hideki] Fisheries Agcy Japan, Chiyoda Ku, Tokyo 1008907, Japan</t>
  </si>
  <si>
    <t>Moronuki, H (corresponding author), Fisheries Agcy Japan, Chiyoda Ku, Tokyo 1008907, Japan.</t>
  </si>
  <si>
    <t>10.2331/suisan.81.1002</t>
  </si>
  <si>
    <t>WOS:000366175900010</t>
  </si>
  <si>
    <t>Pastene, LA; Bando, T</t>
  </si>
  <si>
    <t>Pastene, Luis A.; Bando, Takeharu</t>
  </si>
  <si>
    <t>II-1. Scientific outputs from the Japanese Whale Research Programs under Special Permit in the Antarctic (JARPA/JARPAII)</t>
  </si>
  <si>
    <t>BALAENOPTERA-BONAERENSIS; SOUTHERN-OCEAN; AREAS IV; TRENDS</t>
  </si>
  <si>
    <t>[Pastene, Luis A.; Bando, Takeharu] Inst Cetacean Res, Chuo Ku, Tokyo 1040055, Japan</t>
  </si>
  <si>
    <t>Pastene, LA (corresponding author), Inst Cetacean Res, Chuo Ku, Tokyo 1040055, Japan.</t>
  </si>
  <si>
    <t>WOS:000366175900012</t>
  </si>
  <si>
    <t>Sakamoto, S</t>
  </si>
  <si>
    <t>Sakamoto, Shigeki</t>
  </si>
  <si>
    <t>II-4. Diplomatisation of Science: A view from international law on the court findings for the ICJ case on Whaling in the Antarctic (Australia v. Japan: New Zealand intervening)</t>
  </si>
  <si>
    <t>[Sakamoto, Shigeki] Doshisya Univ, Fac Law, Kamigyo Ku, Kyoto 6028580, Japan</t>
  </si>
  <si>
    <t>Sakamoto, S (corresponding author), Doshisya Univ, Fac Law, Kamigyo Ku, Kyoto 6028580, Japan.</t>
  </si>
  <si>
    <t>10.2331/suisan.81.1007</t>
  </si>
  <si>
    <t>WOS:000366175900015</t>
  </si>
  <si>
    <t>Grooms, I; Majda, AJ; Smith, KS</t>
  </si>
  <si>
    <t>Grooms, Ian; Majda, Andrew J.; Smith, K. Shafer</t>
  </si>
  <si>
    <t>Stochastic superparameterization in a quasigeostrophic model of the Antarctic Circumpolar Current</t>
  </si>
  <si>
    <t>Stochastic parameterization; Mesoscale parameterization; Superparameterization; Southern Ocean</t>
  </si>
  <si>
    <t>WIND-DRIVEN; EDDY FLUXES; GENERAL-CIRCULATION; MULTISCALE MODELS; COMPLEX-SYSTEMS; OCEAN; PARAMETERIZATION; BACKSCATTER; EDDIES; STABILITY</t>
  </si>
  <si>
    <t>Stochastic superparameterization, a stochastic parameterization framework based on a multiscale formalism, is developed for mesoscale eddy parameterization in coarse-resolution ocean modeling. The framework of stochastic superparameterization is reviewed and several configurations are implemented and tested in a quasigeostrophic channel model - an idealized representation of the Antarctic Circumpolar Current. Five versions of the Gent-McWilliams (GM) parameterization are also implemented and tested for comparison. Skill is measured using the time-mean and temporal variability separately, and in combination using the relative entropy in the single-point statistics. Among all the models, those with the more accurate mean state have the less accurate variability, and vice versa. Stochastic superparameterization results in improved climate fidelity in comparison with GM parameterizations as measured by the relative entropy. In particular, configurations of stochastic superparameterization that include stochastic Reynolds stress terms in the coarse model equations, corresponding to kinetic energy backscatter, perform better than models that only include isopycnal height smoothing. (C) 2014 Elsevier Ltd. All rights reserved.</t>
  </si>
  <si>
    <t>[Grooms, Ian; Majda, Andrew J.; Smith, K. Shafer] NYU, Courant Inst Math Sci, Ctr Atmosphere Ocean Sci, New York, NY 10012 USA; [Majda, Andrew J.; Smith, K. Shafer] NYU Abu Dhabi, Ctr Prototype Climate Modelling, Abu Dhabi, U Arab Emirates</t>
  </si>
  <si>
    <t>New York University; New York University Abu Dhabi</t>
  </si>
  <si>
    <t>Grooms, I (corresponding author), NYU, Courant Inst Math Sci, Ctr Atmosphere Ocean Sci, 251 Mercer St, New York, NY 10012 USA.</t>
  </si>
  <si>
    <t>grooms@cims.nyu.edu</t>
  </si>
  <si>
    <t>Smith, Kendall/A-4581-2017</t>
  </si>
  <si>
    <t>Smith, Kendall/0000-0003-0740-3067; GROOMS, IAN/0000-0002-4678-7203</t>
  </si>
  <si>
    <t>Office of Naval Research [N00014-11-1-0306, ONR-DRI N00014-10-1-0554]; NSF Collaborations in Mathematical Geosciences program [DMS-1025468]</t>
  </si>
  <si>
    <t>Office of Naval Research(Office of Naval Research); NSF Collaborations in Mathematical Geosciences program</t>
  </si>
  <si>
    <t>This research of A.J.M. is partially supported by the Office of Naval Research Grants N00014-11-1-0306 and ONR-DRI N00014-10-1-0554. This research of I. G. and K. S. S. is supported by the NSF Collaborations in Mathematical Geosciences program, Grant DMS-1025468. The authors thank L.-P. Nadeau for the use of his eddy-resolving QG model, and Malte Jansen and two anonymous reviewers whose suggestions strengthened the presentation.</t>
  </si>
  <si>
    <t>10.1016/j.ocemod.2014.10.001</t>
  </si>
  <si>
    <t>WOS:000346737500001</t>
  </si>
  <si>
    <t>Philibert, R; Waldron, H; Clark, D</t>
  </si>
  <si>
    <t>Philibert, R.; Waldron, H.; Clark, D.</t>
  </si>
  <si>
    <t>A geographical and seasonal comparison of nitrogen uptake by phytoplankton in the Southern Ocean</t>
  </si>
  <si>
    <t>ISOTOPE-DILUTION MODELS; IRON-LIGHT INTERACTIONS; MARGINAL ICE-ZONE; NITRIFICATION RATES; AUSTRAL SUMMER; UPTAKE REGIME; AMMONIUM; TEMPERATURE; LIMITATION; MARINE</t>
  </si>
  <si>
    <t>The impact of light and nutrients (such as silicate and iron) availability on nitrogen uptake and primary production vary seasonally and regionally in the Southern Ocean. The seasonal cycle of nitrogen uptake by phytoplankton in the Southern Ocean is not fully resolved over an annual scale due to the lack of winter in situ measurements. In this study, nitrate and ammonium uptake rates were measured using N-15 tracers during a winter cruise in July 2012 and a summer cruise in February-March 2013. The winter cruise consisted of two legs: leg 1 extended from Cape Town to the ice margin along the GoodHope line and leg 2 stretched from the ice margin to Marion Island. The summer cruise was mostly focused on the subantarctic zone of the Atlantic sector. In winter, nitrogen uptake rates were measured at 55 and 1% of the surface photosynthetically active radiation (sPAR). The summer uptake rates were measured at four light depths corresponding to 55, 30, 10 and 3% sPAR. The integrated nitrate uptake rates during the winter cruise ranged from 0.17 to 5.20 mmol N m(-2)d(-1) (average 1.14 mmol N m(-2)d(-1)) while the ammonium uptake rates ranged from 0.60 to 32.86 mmol N m(-2)d(-1) (average 6.73 mmol N m(-2)d(-1)). During the summer cruise, the mean-integrated nitrate uptake rate was 0.20 mmol N m(-2)d(-1) with a range between 0.10 and 0.38 mmol N m(-2)d(-1). The integrated ammonium uptake rate averaged 4.39 mmol N m(-2)d(-1) and ranged from 1.12 to 9.05 mmol N m(-2)d(-1). The factors controlling nitrogen uptake in winter and summer were investigated. During the winter cruise, it was found that the different nitrogen uptake regimes were not separated by the fronts of the Antarctic Circumpolar Current (ACC). Light (in terms of day length) and ammonium concentration had the most influence on the nitrogen uptake. In the summer, increases in the mixed layer depth (MLD) resulted in increased nitrogen uptake rates. This suggests that the increases in the MLD could be alleviating nutrient limitations experienced by the phytoplankton at the end of summer.</t>
  </si>
  <si>
    <t>[Philibert, R.; Waldron, H.] Univ Cape Town, Dept Oceanog, ZA-7925 Cape Town, South Africa; [Clark, D.] Plymouth Marine Lab, Plymouth, Devon, England</t>
  </si>
  <si>
    <t>University of Cape Town; Plymouth Marine Laboratory</t>
  </si>
  <si>
    <t>Philibert, R (corresponding author), Univ Cape Town, Dept Oceanog, ZA-7925 Cape Town, South Africa.</t>
  </si>
  <si>
    <t>raissaphilibert@gmail.com</t>
  </si>
  <si>
    <t>EU; SAMMOC; SANAP-NRF programme; University of Cape Town; SANAP; Natural Environment Research Council [pml010002] Funding Source: researchfish; NERC [pml010002] Funding Source: UKRI</t>
  </si>
  <si>
    <t>EU(European Union (EU)); SAMMOC; SANAP-NRF programme; University of Cape Town; SANAP; Natural Environment Research Council(UK Research &amp; Innovation (UKRI)Natural Environment Research Council (NERC)); NERC(UK Research &amp; Innovation (UKRI)Natural Environment Research Council (NERC))</t>
  </si>
  <si>
    <t>This work was supported through the EU FP7 Greenseas programme. R. Philibert has been supported by bursaries under SAMMOC, a joint SANAP-NRF programme and the University of Cape Town. The authors thank SANAP for their support during the research voyage and Raymond Roman for nutrient analyses. The authors acknowledge M. J. Gibberd and Nina Lester for conducting the sampling during the summer cruise. R. Philibert thanks the MicroB3 consortium for the workshop on multivariate statistics. R. Philibert would also like to thank S. Thomalla for the hydrographic, POC and PON data. We would also like to thank the anonymous reviewers from their extremely helpful comments.</t>
  </si>
  <si>
    <t>10.5194/os-11-251-2015</t>
  </si>
  <si>
    <t>WOS:000352488400003</t>
  </si>
  <si>
    <t>Tim, N; Zorita, E; Hünicke, B</t>
  </si>
  <si>
    <t>Tim, N.; Zorita, E.; Huenicke, B.</t>
  </si>
  <si>
    <t>Decadal variability and trends of the Benguela upwelling system as simulated in a high-resolution ocean simulation</t>
  </si>
  <si>
    <t>SEA-SURFACE TEMPERATURE; EL-NINO; GREENHOUSE-GAS; CLIMATE INDEX; ATLANTIC; FUTURE; CYCLE; OSCILLATION; ATMOSPHERE; ECOSYSTEM</t>
  </si>
  <si>
    <t>Detecting the atmospheric drivers of the Benguela upwelling systems is essential to understand its present variability and its past and future changes. We present a statistical analysis of a high-resolution (0.1 degrees) ocean-only simulation driven by observed atmospheric fields over the last 60 years with the aim of identifying the large-scale atmospheric drivers of upwelling variability and trends. The simulation is found to reproduce well the seasonal cycle of upwelling intensity, with a maximum in the June-August season in North Benguela and in the December-February season in South Benguela. The statistical analysis of the interannual variability of upwelling focuses on its relationship to atmospheric variables (sea level pressure, 10m wind, wind stress). The relationship between upwelling and the atmospheric variables differ somewhat in the two regions, but generally the correlation patterns reflect the common atmospheric pattern favouring upwelling: southerly wind/wind stress, strong subtropical anticyclone, and an ocean-land sea level pressure gradient. In addition, the statistical link between upwelling and large-scale climate variability modes was analysed. The El Nino-Southern Oscillation and the Antarctic Oscillation exert some influence on austral summer upwelling velocities in South Benguela. The decadal evolution and the long-term trends of simulated upwelling and of ocean-minus-land air pressure gradient do not agree with Bakun's hypothesis that anthropogenic climate change should generally intensify coastal upwelling.</t>
  </si>
  <si>
    <t>[Tim, N.; Zorita, E.; Huenicke, B.] Inst Coastal Res, Helmholtz Zentrum Geesthacht, D-21502 Geesthacht, Germany</t>
  </si>
  <si>
    <t>Helmholtz Association; Helmholtz-Zentrum Hereon</t>
  </si>
  <si>
    <t>Tim, N (corresponding author), Inst Coastal Res, Helmholtz Zentrum Geesthacht, Max Planck Str 1, D-21502 Geesthacht, Germany.</t>
  </si>
  <si>
    <t>nele.tim@hzg.de</t>
  </si>
  <si>
    <t>Tim, Nele/0000-0002-6336-5897</t>
  </si>
  <si>
    <t>German Federal Ministry of Education and Research (BMBF, Germany); Research Centre of the Helmholtz Association</t>
  </si>
  <si>
    <t>German Federal Ministry of Education and Research (BMBF, Germany)(Federal Ministry of Education &amp; Research (BMBF)); Research Centre of the Helmholtz Association(Helmholtz Association)</t>
  </si>
  <si>
    <t>The German Federal Ministry of Education and Research (BMBF, Germany) supported this study as part of the Geochemistry and Ecology of the Namibian Upwelling System (GENUS) project. This research also benefited from frequent discussions in the Cluster of Excellence Integrated Climate System Analysis and Prediction (CliSAP).; The article processing charges for this open-access publication were covered by a Research Centre of the Helmholtz Association.</t>
  </si>
  <si>
    <t>10.5194/os-11-483-2015</t>
  </si>
  <si>
    <t>CQ5OV</t>
  </si>
  <si>
    <t>WOS:000360655800002</t>
  </si>
  <si>
    <t>Benjamins, S; Dale, AC; Hastie, G; Waggitt, JJ; Lea, MA; Scott, B; Wilson, B</t>
  </si>
  <si>
    <t>Hughes, RN; Hughes, DJ; Smith, IP; Dale, AC</t>
  </si>
  <si>
    <t>Benjamins, Steven; Dale, Andrew C.; Hastie, Gordon; Waggitt, James J.; Lea, Mary-Anne; Scott, Beth; Wilson, Ben</t>
  </si>
  <si>
    <t>CONFUSION REIGNS? A REVIEW OF MARINE MEGAFAUNA INTERACTIONS WITH TIDAL-STREAM ENVIRONMENTS</t>
  </si>
  <si>
    <t>OCEANOGRAPHY AND MARINE BIOLOGY: AN ANNUAL REVIEW, VOL 53</t>
  </si>
  <si>
    <t>Oceanography and Marine Biology</t>
  </si>
  <si>
    <t>BOTTLE-NOSED DOLPHINS; PORPOISES PHOCOENA-PHOCOENA; SAN-JUAN ISLANDS; PENGUINS SPHENISCUS MAGELLANICUS; SHAGS PHALACROCORAX-ARISTOTELIS; WHALES DELPHINAPTERUS-LEUCAS; GUILLEMOTS CEPPHUS-GRYLLE; SEALS PHOCA-VITULINA; HARBOR PORPOISES; HABITAT USE</t>
  </si>
  <si>
    <t>Energetic tidal-stream environments are characterized by frequent, variable, yet broadly predictable currents containing ephemeral flow structures that change across multiple spatio-temporal scales. Marine mammals and seabirds (marine megafauna) often frequent such sites, but increasingly these locations are targeted for renewable energy extraction; little is known, however, about how marine megafauna use these habitats and any potential impacts. This review aims to summarize existing knowledge concerning usage by marine megafauna and considers their wider ecological significance. The review describes the physical processes occurring within tidal-stream environments that generate the oceanographic structures of potential ecological relevance, such as jets, boils, eddies, and fronts. Important physical features of these environments include lateral transport, turbulence-driven 3-dimensional flow structure at various spatial scales, and upwelling. Foraging opportunities appear to be the main attractor to marine megafauna, likely driven by enhanced prey abundance, vulnerability, or diversity. Many megafauna associate with particular tidal phases, current strengths, and flow structures, most likely in response to tidally forced prey distribution and behaviours. Occupancy patterns, distributions, and foraging behaviours are discussed. Local site fidelity by 'tidal-stream experts' suggest non-uniform conservation risks within larger metapopulations. The review discusses data-gathering techniques and associated challenges, the significance of scaling, and information gaps.</t>
  </si>
  <si>
    <t>[Benjamins, Steven; Dale, Andrew C.; Wilson, Ben] Scottish Assoc Marine Sci, Oban PA37 1QA, Argyll, Scotland; [Hastie, Gordon] Univ St Andrews, Sea Mammal Res Unit, Scottish Oceans Inst, St Andrews KY16 8LB, Fife, Scotland; [Waggitt, James J.; Scott, Beth] Univ Aberdeen, Aberdeen AB24 STZ, Scotland; [Lea, Mary-Anne] Univ Tasmania, Inst Marine &amp; Antarctic Studies, Battery Point, Tas 7004, Australia</t>
  </si>
  <si>
    <t>UHI Millennium Institute; University of St Andrews; University of Aberdeen; University of Tasmania</t>
  </si>
  <si>
    <t>Benjamins, S (corresponding author), Scottish Assoc Marine Sci, Oban PA37 1QA, Argyll, Scotland.</t>
  </si>
  <si>
    <t>steven.benjamins@sams.ac.uk; andrew.dale@sams.ac.uk; gdh10@st-andrews.ac.uk; r0ljjw11@abdn.ac.uk; MaryAnne.Lea@utas.edu.au; b.e.scott@abdn.ac.uk; ben.wilson@sams.ac.uk</t>
  </si>
  <si>
    <t>Hastie, Gordon D/D-8860-2011; Dale, Andrew C/H-4847-2012; Scott, Beth E/A-7617-2014; Lea, Mary-Anne/E-9054-2013</t>
  </si>
  <si>
    <t>Dale, Andrew C/0000-0002-9256-7770; Scott, Beth E/0000-0001-5412-3952; Benjamins, Steven/0000-0001-5457-3494; Hastie, Gordon/0000-0002-9773-2755; Lea, Mary-Anne/0000-0001-8318-9299</t>
  </si>
  <si>
    <t>Natural Environment Research Council [NE/J004308/1, NE/J004340/1] Funding Source: researchfish; NERC [NE/J004308/1, NE/J004340/1] Funding Source: UKRI</t>
  </si>
  <si>
    <t>Natural Environment Research Council(UK Research &amp; Innovation (UKRI)Natural Environment Research Council (NERC)); NERC(UK Research &amp; Innovation (UKRI)Natural Environment Research Council (NERC))</t>
  </si>
  <si>
    <t>CRC PRESS-TAYLOR &amp; FRANCIS GROUP</t>
  </si>
  <si>
    <t>BOCA RATON</t>
  </si>
  <si>
    <t>6000 BROKEN SOUND PARKWAY NW, STE 300, BOCA RATON, FL 33487-2742 USA</t>
  </si>
  <si>
    <t>0078-3218</t>
  </si>
  <si>
    <t>978-1-4987-0545-5</t>
  </si>
  <si>
    <t>OCEANOGR MAR BIOL</t>
  </si>
  <si>
    <t>Oceanogr. Mar. Biol.</t>
  </si>
  <si>
    <t>10.1201/b18733</t>
  </si>
  <si>
    <t>BD8NU</t>
  </si>
  <si>
    <t>WOS:000364174100001</t>
  </si>
  <si>
    <t>Kouliev, T; Cui, V</t>
  </si>
  <si>
    <t>Kouliev, Timur; Cui, Victoria</t>
  </si>
  <si>
    <t>Treatment and prevention of infection following bites of the Antarctic fur seal (Arctocephalus gazella)</t>
  </si>
  <si>
    <t>OPEN ACCESS EMERGENCY MEDICINE</t>
  </si>
  <si>
    <t>zoonotic; polar tourism; prophylaxis; seal finger; expedition medicine</t>
  </si>
  <si>
    <t>In recent decades, an increasing number of people have traveled to sub-Antarctic and Antarctic regions each year for research, tourism, and resource exploitation. Hunting of Antarctic fur seals (Arctocephalus gazella) almost pushed the species to extinction in the early 1900s, but populations have since shown rapid and substantial recovery. The species' range has re-expanded to include several islands south of the Antarctic Convergence, most notably South Georgia, and now overlaps with many popular Antarctic travel destinations. Both male and female fur seals can become extremely aggressive when provoked, and their bites, if not properly treated, pose a significant risk of infection by microorganisms not usually encountered in cases of animal bites. In this report, we present the case of a patient treated for a fur seal bite during an Antarctic expedition cruise, review the literature concerning seal bites, and suggest the use of antibiotic prophylaxis to prevent complications.</t>
  </si>
  <si>
    <t>[Kouliev, Timur] Beijing United Family Hosp, Beijing, Peoples R China; [Cui, Victoria] Columbia Univ, Dept Biol Sci, New York, NY 10027 USA</t>
  </si>
  <si>
    <t>Columbia University</t>
  </si>
  <si>
    <t>Cui, V (corresponding author), 6401 Deer Hollow Lane, Austin, TX 78750 USA.</t>
  </si>
  <si>
    <t>cui.victoria@gmail.com</t>
  </si>
  <si>
    <t>DOVE MEDICAL PRESS LTD</t>
  </si>
  <si>
    <t>ALBANY</t>
  </si>
  <si>
    <t>PO BOX 300-008, ALBANY, AUCKLAND 0752, NEW ZEALAND</t>
  </si>
  <si>
    <t>1179-1500</t>
  </si>
  <si>
    <t>OPEN ACCESS EMERG M</t>
  </si>
  <si>
    <t>Open Access Emerg. Med.</t>
  </si>
  <si>
    <t>10.2147/OAEM.S75442</t>
  </si>
  <si>
    <t>Emergency Medicine</t>
  </si>
  <si>
    <t>V14RP</t>
  </si>
  <si>
    <t>WOS:000214498400003</t>
  </si>
  <si>
    <t>Nakanishi, M; Nakamura, Y; Coffin, MF; Hoernle, K; Werner, R</t>
  </si>
  <si>
    <t>Neal, CR; Sager, WW; Sano, T; Erba, E</t>
  </si>
  <si>
    <t>Nakanishi, Masao; Nakamura, Yasuyuki; Coffin, Millard F.; Hoernle, Kaj; Werner, Reinhard</t>
  </si>
  <si>
    <t>Topographic expression of the Danger Islands Troughs and implications for the tectonic evolution of the Manihiki Plateau, western equatorial Pacific Ocean</t>
  </si>
  <si>
    <t>ORIGIN, EVOLUTION, AND ENVIRONMENTAL IMPACT OF OCEANIC LARGE IGNEOUS PROVINCES</t>
  </si>
  <si>
    <t>Geological Society of America Special Papers</t>
  </si>
  <si>
    <t>TRIPLE JUNCTION; ONTONG-JAVA; TRANSFORM-FAULT; HISTORY; BASALTS; SYSTEM; MOTION; EAST</t>
  </si>
  <si>
    <t>The Manihiki Plateau in the western equatorial Pacific Ocean is a Cretaceous Large Igneous Province. Several studies have proposed that the Manihiki Plateau was formed by the same mantle plume that formed the Ontong Java and Hikurangi plateaus ca. 125 Ma. Recent multibeam bathymetric surveys of the Manihiki Plateau reveal the morphology of the Danger Islands Troughs (DIT), Suvarov Trough, which are systems of deep troughs within the plateau. The troughs divide the Manihiki Plateau into three distinct provinces, the North Plateau, the Western Plateaus, and the High Plateau. The DIT between the High Plateau and Western Plateaus comprises four en echelon troughs. With one exception, all segments of the DIT are bordered by steep escarpments, to 1500 m high. The basins of the DIT are smooth. Elongated northeast-southwest-striking scarps are common in the southernmost DIT and at the junction between the DIT and Suvarov Trough. The features revealed by the new bathymetric data indicate that a sinistral strike-slip tectonic environment formed the DIT during the break-up into the Manihiki and Hikurangi plateaus, whereas the Suvarov Trough developed after the formation of the DIT.</t>
  </si>
  <si>
    <t>[Nakanishi, Masao] Chiba Univ, Grad Sch Sci, Inage Ku, 1-33 Yayoi Cho, Chiba, Chiba 2638522, Japan; [Nakamura, Yasuyuki] Japan Agcy Marine Earth Sci &amp; Technol, Res &amp; Dev Ctr Earthquake &amp; Tsunami, Kanazawa Ku, 3173-25 Showa Machi, Yokohama, Kanagawa 2360001, Japan; [Coffin, Millard F.] Univ Tasmania, Inst Marine &amp; Antarctic Studies, Private Bag 129, Hobart, Tas 7001, Australia; [Hoernle, Kaj; Werner, Reinhard] GEOMAR Helmholtz Ctr Ocean Res Kiel, Wischhofstr 1-3, D-24148 Kiel, Germany</t>
  </si>
  <si>
    <t>Chiba University; Japan Agency for Marine-Earth Science &amp; Technology (JAMSTEC); University of Tasmania; Helmholtz Association; GEOMAR Helmholtz Center for Ocean Research Kiel</t>
  </si>
  <si>
    <t>Nakanishi, M (corresponding author), Chiba Univ, Grad Sch Sci, Inage Ku, 1-33 Yayoi Cho, Chiba, Chiba 2638522, Japan.</t>
  </si>
  <si>
    <t>Werner, Reinhard/AAF-5445-2021; Nakanishi, Masao/R-6731-2019; Hoernle, Kaj/AAF-9500-2021; Coffin, Millard/H-4619-2011</t>
  </si>
  <si>
    <t>Coffin, Millard/0000-0001-9960-0038; Nakamura, Yasuyuki/0000-0001-6750-2791; Nakanishi, Masao/0000-0003-3433-9662</t>
  </si>
  <si>
    <t>Japanese Society for the Promotion of Science; Japanese Ministry of Education, Culture, Sports, Science, and Technology; German Ministry for Education and Research; Grants-in-Aid for Scientific Research [26302010, 15K05261] Funding Source: KAKEN</t>
  </si>
  <si>
    <t>Japanese Society for the Promotion of Science(Ministry of Education, Culture, Sports, Science and Technology, Japan (MEXT)Japan Society for the Promotion of Science); Japanese Ministry of Education, Culture, Sports, Science, and Technology(Ministry of Education, Culture, Sports, Science and Technology, Japan (MEXT)); German Ministry for Education and Research(Federal Ministry of Education &amp; Research (BMBF)); Grants-in-Aid for Scientific Research(Ministry of Education, Culture, Sports, Science and Technology, Japan (MEXT)Japan Society for the Promotion of ScienceGrants-in-Aid for Scientific Research (KAKENHI))</t>
  </si>
  <si>
    <t>We are especially grateful to the officers, crew, and marine technicians of the R/V Hakuho-maru and R/V Sonne for professional support, and to the scientific parties of the cruises KH-03-1 Leg 5, KH-05-2 Leg 1, KH-10-4 Leg 2, and SO193 for their help during the cruises. We acknowledge Edward L. Winterer for permission to make copies of the onboard seismic reflection profiles used in Winterer et al. (1974) for cruises KH-03-1 Leg 5 and KH-10-4 Leg 2, and are grateful to Toshitsugu Yamazaki for providing the multibeam data obtained during the cruise KR99-12 by R/V Kairei before the cruise KH-03-1 Leg 5. Acknowledgment is also made to the Bathymetric Data Centre at Bundesamt fur Seeschifffahrt und Hydrographie and the National Oceanic and Atmospheric Administration National Geophysical Data Center for providing multibeam data. Generic Mapping Tools (GMT-SYSTEM; Wessel and Smith, 1998) was used to process data and make all of the figures. We thank Yujiro Ogawa for helpful discussion, and the editors of this volume and reviewers for their comments. Cruises by R/V Hakuho-maru were supported by the Japanese Society for the Promotion of Science and the Japanese Ministry of Education, Culture, Sports, Science, and Technology. Cruise SO193 was funded by the German Ministry for Education and Research.</t>
  </si>
  <si>
    <t>GEOLOGICAL SOC AMER INC</t>
  </si>
  <si>
    <t>3300 PENROSE PL, PO BOX 9140, BOULDER, CO 80301 USA</t>
  </si>
  <si>
    <t>0072-1077</t>
  </si>
  <si>
    <t>978-0-8137-2511-6</t>
  </si>
  <si>
    <t>GEOL SOC AM SPEC PAP</t>
  </si>
  <si>
    <t>10.1130/2015.2511(11)</t>
  </si>
  <si>
    <t>Engineering, Ocean; Geology; Geosciences, Multidisciplinary</t>
  </si>
  <si>
    <t>BP1PK</t>
  </si>
  <si>
    <t>WOS:000540462000012</t>
  </si>
  <si>
    <t>Tomita, N; Mizutani, Y; Trathan, PN; Niizuma, Y</t>
  </si>
  <si>
    <t>Tomita, Naoki; Mizutani, Yuichi; Trathan, Philip N.; Niizuma, Yasuaki</t>
  </si>
  <si>
    <t>Relationship between non-breeding migratory movements and stable isotopes of nitrogen and carbon from primary feathers of Black-tailed Gull Larus crassirostris</t>
  </si>
  <si>
    <t>Black-tailed Gull; delta C-13 and delta N-15; Diet; Migratory movement; Non-breeding period</t>
  </si>
  <si>
    <t>SHEARWATERS CALONECTRIS-LEUCOMELAS; SEA-SURFACE TEMPERATURE; STREAKED SHEARWATERS; TROPHIC RELATIONSHIPS; REPRODUCTIVE SUCCESS; WINTER DISTRIBUTION; NONBREEDING PERIOD; NORTH PACIFIC; SEABIRDS; DIET</t>
  </si>
  <si>
    <t>Various seabird foraging strategies during the non-breeding season have recently been revealed by combining the use of bio-logging devices and the study of stable isotopic signatures (delta N-15 and delta C-13) from various tissues. In this study. we used these combined methods to determine the relationships between stable isotopic signatures in Black-tailed Gulls Torus crassirostris primary feathers and the areas in which the feathers are presumed to have been grown. The fifth primary (P5) feathers are replaced during late August, and although the migratory movements for seven of the eight gulls studied during this replacement period differed, the isotopic (delta N-15 and delta C-13 values were similar. These values indicated that the seven gulls fed on a wide range of prey from krill to demersal fish species. The isotopic values from P5 for the individual gull that moved southward after breeding, were much higher than for the seven other birds. In contrast, all eight gulls showed a relatively narrow distribution during the replacement of their outermost primaries (P10), which were replaced during mid October and November. However, the isotopic values from P10 of the individual that moved southward during replacement of P5 were also much higher. The unique isotopic values of this gull might indicate specialization in anthropogenic food resources or high trophic level resources through the migration period, regardless of location. Contrary to previous studies, our research did not detect links between migratory movements and stable isotopic signatures from feathers in Torus gulls migrating through a relatively narrow range and having considerable individual variation in diet.</t>
  </si>
  <si>
    <t>[Tomita, Naoki; Niizuma, Yasuaki] Meijo Univ, Fac Agr, Tenpaku Ku, Nagoya, Aichi 4688502, Japan; [Mizutani, Yuichi] Nagoya Univ, Grad Sch Environm Studies, Chikusa Ku, Nagoya, Aichi 4648601, Japan; [Trathan, Philip N.] British Antarctic Survey, NERC, Cambridge CB3 0ET, England</t>
  </si>
  <si>
    <t>Meijo University; Nagoya University; UK Research &amp; Innovation (UKRI); Natural Environment Research Council (NERC); NERC British Antarctic Survey</t>
  </si>
  <si>
    <t>Tomita, N (corresponding author), Yamashina Inst Ornithol, Div Avian Conservat, 115 Konoyama, Abiko, Chiba 2701145, Japan.</t>
  </si>
  <si>
    <t>tomita@yamashina.or.jp</t>
  </si>
  <si>
    <t>Ministry of Education, Culture, Sport, Science, and Technology, Japan (MEXT) [S0801056]; NERC [bas0100025] Funding Source: UKRI; Natural Environment Research Council [bas0100025] Funding Source: researchfish; Grants-in-Aid for Scientific Research [26550052] Funding Source: KAKEN</t>
  </si>
  <si>
    <t>Ministry of Education, Culture, Sport, Science, and Technology, Japan (MEXT)(Ministry of Education, Culture, Sports, Science and Technology, Japan (MEXT));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</si>
  <si>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would like to thank T. Yamamoto and A. Takahashi for their help with analysis of tracking data of GLSs, N. Yamamoto for her help with preparation of feather samples for stable isotope analysis, and A. Narita for his help with data collection on Kabushima. We greatly appreciate K. Kazama, the editor, and two anonymous reviewers for their critical and helpful comments on the manuscript and Mark Brazil for correcting the English used in the manuscript. The Japanese Environmental Ministry and Agency for Cultural Affairs gave permission to work on Kabushima. This work was supported by the Strategic Research Foundation Grant-aided Project for Private Universities (S0801056) from the Ministry of Education, Culture, Sport, Science, and Technology, Japan (MEXT).</t>
  </si>
  <si>
    <t>10.2326/osj.14.3</t>
  </si>
  <si>
    <t>WOS:000349459700002</t>
  </si>
  <si>
    <t>Park, J; Park, J</t>
  </si>
  <si>
    <t>Park, Jungjae; Park, Jina</t>
  </si>
  <si>
    <t>Pollen-based temperature reconstructions from Jeju island, South Korea and its implication for coastal climate of East Asia during the late Pleistocene and early Holocene</t>
  </si>
  <si>
    <t>Temperature reconstructions; Pollen; Late Pleistocene and early Holocene; Last deglaciation; Korea; East Asia</t>
  </si>
  <si>
    <t>WINTER MONSOON VARIABILITY; NORTH-ATLANTIC; OKINAWA TROUGH; EQUATORIAL PACIFIC; LAST DEGLACIATION; CHINA SEA; JAPAN; VEGETATION; COHERENCE; PROGRESS</t>
  </si>
  <si>
    <t>We derived statistically robust, Weighted Averaging Partial Least Squares (WAPLS) transfer functions using modern surface pollen samples from Mt. Halla in Jeju Island, Korea. Pollen-based temperature reconstructions were performed by applying the best transfer function to lake sediments from Hanon maar paleolake in the southern part of Jeju Island. These quantitatively reconstructed temperatures were thereafter adjusted for the lack of warm analogue with the aid of Japanese and Russian transfer functions. Our temperature reconstructions demonstrated that annual mean temperatures during the Last Glacial Maximum (LGM) were similar to 8.5 degrees C, i.e., about 8 degrees C lower than the present, and that the Younger Dryas (YD) cooling amplitude was similar to 1.5 degrees C between Bolling-Allerod (BA) (similar to 113 degrees C) and YD (similar to 9.8 degrees C). Spectral and wavelet analyses on detrended paleotemperatures identified significant periodicities at 1340 years, primarily after 13,000 cal yr BP. The influence of Antarctic deglacial climate on the western North Pacific probably decreased with increasing northern latitude, as expected. Our results and Borneo oxygen isotope data showed very high correlation, indicating that Jeju Island was substantially influenced by the deglacial variabilities of the western Pacific warm pool via the Kuroshio Current. The climate of the study area seemed to have been mainly controlled by variation in the Atlantic Meridional Overturning Circulation (AMOC) before the beginning of the last deglaciation and subsequently by variation in the Western Tropical Pacific (WTP) Sea Surface Temperature (SST). We present significant information on the correlation of the late Pleistocene climate change with the Greenland oxygen isotope data and western North Pacific SST records. This correlation bridges the gap between terrestrial records, which mostly show AMOC variability, and oceanic records, which show WTP variability. These study results will increase our understanding of regional-scale climate change during the late Pleistocene and Early Holocene. (C) 2014 Elsevier B.V. All rights reserved.</t>
  </si>
  <si>
    <t>[Park, Jungjae; Park, Jina] Seoul Natl Univ, Dept Geog, Seoul 151742, South Korea; [Park, Jungjae] Seoul Natl Univ, Inst Korean Reg Studies, Seoul 151742, South Korea</t>
  </si>
  <si>
    <t>Seoul National University (SNU); Seoul National University (SNU)</t>
  </si>
  <si>
    <t>Park, J (corresponding author), Seoul Natl Univ, Dept Geog, Seoul 151742, South Korea.</t>
  </si>
  <si>
    <t>jungjaep@snu.ac.kr</t>
  </si>
  <si>
    <t>National Research Foundation of Korea Grant - Korean Government [NRF-2013R1A1A2006864, NRF2012S1A5A8022554]</t>
  </si>
  <si>
    <t>National Research Foundation of Korea Grant - Korean Government</t>
  </si>
  <si>
    <t>This research was supported by the National Research Foundation of Korea Grant funded by the Korean Government (NRF-2013R1A1A2006864 and NRF2012S1A5A8022554). Northern ECS SST data in Fig. 9 were kindly provided by Dr. Y. Kubota (National Museum of Nature and Science, Japan). We thank the editor, Prof. D. Xu, and an anonymous reviewer for their useful comments and suggestions for improving the manuscript.</t>
  </si>
  <si>
    <t>10.1016/j.palaeo.2014.10.005</t>
  </si>
  <si>
    <t>WOS:000347862400033</t>
  </si>
  <si>
    <t>Bais, AF; McKenzie, RL; Bernhard, G; Aucamp, PJ; Ilyas, M; Madronich, S; Tourpali, K</t>
  </si>
  <si>
    <t>Bais, A. F.; McKenzie, R. L.; Bernhard, G.; Aucamp, P. J.; Ilyas, M.; Madronich, S.; Tourpali, K.</t>
  </si>
  <si>
    <t>Ozone depletion and climate change: impacts on UV radiation</t>
  </si>
  <si>
    <t>PHOTOCHEMICAL &amp; PHOTOBIOLOGICAL SCIENCES</t>
  </si>
  <si>
    <t>SINGLE SCATTERING ALBEDO; SOLAR ULTRAVIOLET-RADIATION; GROUND-BASED MEASUREMENTS; AEROSOL OPTICAL DEPTH; LONG-TERM MEASUREMENTS; VISIBILITY TRENDS; ORGANIC-CARBON; BROWN CARBON; SEA-ICE; SPECTRAL IRRADIANCE</t>
  </si>
  <si>
    <t>We assess the importance of factors that determine the intensity of UV radiation at the Earth's surface. Among these, atmospheric ozone, which absorbs UV radiation, is of considerable importance, but other constituents of the atmosphere, as well as certain consequences of climate change, can also be major influences. Further, we assess the variations of UV radiation observed in the past and present, and provide projections for the future. Of particular interest are methods to measure or estimate UV radiation at the Earth's surface. These are needed for scientific understanding and, when they are sufficiently sensitive, they can serve as monitors of the effectiveness of the Montreal Protocol and its amendments. Also assessed are several aspects of UV radiation related to biological effects and health. The implications for ozone and UV radiation from two types of geoengineering methods that have been proposed to combat climate change are also discussed. In addition to ozone effects, the UV changes in the last two decades, derived from measurements, have been influenced by changes in aerosols, clouds, surface reflectivity, and, possibly, by solar activity. The positive trends of UV radiation observed after the mid-1990s over northern mid-latitudes are mainly due to decreases in clouds and aerosols. Despite some indications from measurements at a few stations, no statistically significant decreases in UV-B radiation attributable to the beginning of the ozone recovery have yet been detected. Projections for erythemal irradiance (UVery) suggest the following changes by the end of the 21st century (2090-2100) relative to the present time (2010-2020): (1) Ozone recovery (due to decreasing ozone-depleting substances and increasing greenhouse gases) would cause decreases in UVery, which will be highest (up to 40%) over Antarctica. Decreases would be small (less than 10%) outside the southern Polar Regions. A possible decline of solar activity during the 21st century might affect UV-B radiation at the surface indirectly through changes induced in stratospheric ozone. (2) The projected changes in cloud cover would lead to relatively small effects (less than 3%), except at northern high latitudes where increases in cloud cover could lead to decreases in UVery by up to 7%. (3) Reductions in reflectivity due to the melting of sea-ice in the Arctic would lead to decreases of UVery by up to 10%, while at the margins of the Antarctic the decreases would be smaller (2-3%). The melting of the sea-ice would expose the ocean surface formerly covered by ice to UV-B radiation up to 10 times stronger than before. (4) The expected improvement of air-quality and reductions of aerosols over the most populated areas of the northern hemisphere may result in 10-20% increases in UVery, except over China where even larger increases are projected. The projected aerosol effect for the southern hemisphere is generally very small. Aerosols are possibly the most important factor for future UV levels over heavily populated areas, but their projected effects are the most uncertain.</t>
  </si>
  <si>
    <t>[Bais, A. F.; Tourpali, K.] Aristotle Univ Thessaloniki, Lab Atmospher Phys, Campus Box 149, Thessaloniki 54124, Greece; [McKenzie, R. L.] Natl Inst Water &amp; Atmospher Res, NIWA Lauder, Omakau, Central Otago, New Zealand; [Bernhard, G.] Biospher Inc, San Diego, CA 92110 USA; [Aucamp, P. J.] Ptersa Environm Management Consultants, ZA-0043 Faerie Glen, South Africa; [Ilyas, M.] Univ Malaysia Perlis, Sch Environm Engn, Kangar, Malaysia; [Madronich, S.] Natl Ctr Atmospher Res, Boulder, CO 80307 USA</t>
  </si>
  <si>
    <t>Aristotle University of Thessaloniki; National Institute of Water &amp; Atmospheric Research (NIWA) - New Zealand; Universiti Malaysia Perlis; National Center Atmospheric Research (NCAR) - USA</t>
  </si>
  <si>
    <t>Bais, AF (corresponding author), Aristotle Univ Thessaloniki, Lab Atmospher Phys, Campus Box 149, Thessaloniki 54124, Greece.</t>
  </si>
  <si>
    <t>abais@auth.gr</t>
  </si>
  <si>
    <t>Bernhard, Germar H/B-4460-2018; Madronich, Sasha/D-3284-2015; Tourpali, Kleareti/M-5269-2014; Bais, Alkiviadis F/D-2230-2009; Bernhard, Germar/AAZ-7169-2020</t>
  </si>
  <si>
    <t>Madronich, Sasha/0000-0003-0983-1313; Bais, Alkiviadis F/0000-0003-3899-2001; Bernhard, Germar/0000-0002-1264-0756; McKenzie, Richard Lloyd/0000-0002-4484-7057; Tourpali, Kleareti/0000-0003-4111-6176</t>
  </si>
  <si>
    <t>U.S. National Science Foundation [ARC-1203250]; New Zealand Government's Ministry for the Environment; Ministry of Business, Innovation and Employment's research [C01X1008]; [FP7-SPACE-2012-313188]; Division Of Polar Programs; Directorate For Geosciences [1203250] Funding Source: National Science Foundation; New Zealand Ministry of Business, Innovation &amp; Employment (MBIE) [C01X1008] Funding Source: New Zealand Ministry of Business, Innovation &amp; Employment (MBIE)</t>
  </si>
  <si>
    <t>U.S. National Science Foundation(National Science Foundation (NSF)); New Zealand Government's Ministry for the Environment; Ministry of Business, Innovation and Employment's research(New Zealand Ministry of Business, Innovation and Employment (MBIE)); ; Division Of Polar Programs; Directorate For Geosciences(National Science Foundation (NSF)NSF - Directorate for Geosciences (GEO)); New Zealand Ministry of Business, Innovation &amp; Employment (MBIE)(New Zealand Ministry of Business, Innovation and Employment (MBIE))</t>
  </si>
  <si>
    <t>We acknowledge the contribution of Ilias Fountoulakis, PhD student at the Aristotle University of Thessaloniki, in the modelling of UV radiation projections. GB's contribution was supported by the U.S. National Science Foundation (grant ARC-1203250). KT's contribution was supported by the project FP7-SPACE-2012-313188. Richard McKenzie's participation was sponsored by the New Zealand Government's Ministry for the Environment, and supported through the Ministry of Business, Innovation and Employment's research contract C01X1008.</t>
  </si>
  <si>
    <t>1474-905X</t>
  </si>
  <si>
    <t>1474-9092</t>
  </si>
  <si>
    <t>PHOTOCH PHOTOBIO SCI</t>
  </si>
  <si>
    <t>Photochem. Photobiol. Sci.</t>
  </si>
  <si>
    <t>10.1039/c4pp90032d</t>
  </si>
  <si>
    <t>Biochemistry &amp; Molecular Biology; Biophysics; Chemistry, Physical</t>
  </si>
  <si>
    <t>Biochemistry &amp; Molecular Biology; Biophysics; Chemistry</t>
  </si>
  <si>
    <t>AW9HC</t>
  </si>
  <si>
    <t>WOS:000346567000004</t>
  </si>
  <si>
    <t>Choi, JI; Yoon, M; Lim, S; Kim, GH; Park, H</t>
  </si>
  <si>
    <t>Choi, Jong-il; Yoon, Minchul; Lim, Sangyong; Kim, Gwang Hoon; Park, Hyun</t>
  </si>
  <si>
    <t>Effect of gamma irradiation on physiological and proteomic changes of Arctic Zygnema sp (Chlorophyta, Zygnematales)</t>
  </si>
  <si>
    <t>PHYCOLOGIA</t>
  </si>
  <si>
    <t>2D-electrophoresis; Antioxidant; Arctic Zygnema sp.; Gamma irradiation</t>
  </si>
  <si>
    <t>ULTRAVIOLET-B RADIATION; ULTRASTRUCTURAL-CHANGES; PHENOLIC-COMPOUNDS; PHOTOSYSTEM-II; CELL-DIVISION; FRESH-WATER; UV; PLANTS; ZYGNEMATOPHYCEAE; STREPTOPHYTA</t>
  </si>
  <si>
    <t>In this study, the effect of ionizing radiation on an Arctic alga was examined by assessing photosynthetic efficiency, antioxidant capacity, and proteomic changes. Arctic Zygnema sp. was gamma-irradiated at doses of 1, 3, and 5 kGy and showed serious cell damage after irradiation with the 5 kGy dose. The photosynthetic efficiency markedly decreased in gamma-irradiated Zygnema sp.; whereas, antioxidant capacity significantly increased. To investigate changes in protein expression levels, two-dimensional electrophoresis was performed. Thirty-nine protein spots were differently expressed. Several proteins, both upregulated and downregulated, were identified as photosynthesis-related proteins, confirming an important effect of gamma irradiation on the photosynthetic process. On the one hand, proteins similar to those involved in energy metabolism, isoprene biosynthesis, and protein biosynthesis were significantly downregulated. On the other hand, proteins related to DNA repair, quinone oxireductase, regulation of microtubules, and cell wall biogenesis were upregulated in gamma-irradiated Zygnema sp. These results provide insights on the effects of gamma irradiation on Zygnema sp. that can aid the interpretation of response mechanisms of Arctic algae to ionizing radiation.</t>
  </si>
  <si>
    <t>[Choi, Jong-il] Chonnam Natl Univ, Dept Biotechnol &amp; Bioengn, Kwangju 500757, South Korea; [Yoon, Minchul; Lim, Sangyong] Korea Atom Energy Res Inst, Adv Radiat Technol Inst, Jeongup 580185, South Korea; [Kim, Gwang Hoon] Kongju Natl Univ, Dept Biol, Kong Ju 314701, South Korea; [Park, Hyun] Korea Polar Res Inst, Inchon 406840, South Korea</t>
  </si>
  <si>
    <t>Chonnam National University; Korea Atomic Energy Research Institute (KAERI); Kongju National University; Korea Institute of Ocean Science &amp; Technology (KIOST); Korea Polar Research Institute (KOPRI)</t>
  </si>
  <si>
    <t>Choi, JI (corresponding author), Chonnam Natl Univ, Dept Biotechnol &amp; Bioengn, Kwangju 500757, South Korea.</t>
  </si>
  <si>
    <t>choiji01@jnu.ac.kr</t>
  </si>
  <si>
    <t>Choi, Jong-Il/P-7476-2018; Kim, Gwang Hoon/L-2266-2017</t>
  </si>
  <si>
    <t>Kim, Gwang Hoon/0000-0001-8177-6107; Kim, Gwang Hoon/0000-0002-0009-8277</t>
  </si>
  <si>
    <t>Ministry of Oceans and Fisheries [213004-04-3-SBA30]; Chonnam National University; Nuclear R&amp;D program of the Ministry of Science, ICT &amp; Future Planning (MSIP); Antarctic organisms: Cold-Adaptation Mechanisms - Korea Polar Research Institute [PE14070]; Golden Seed Project</t>
  </si>
  <si>
    <t>Ministry of Oceans and Fisheries; Chonnam National University; Nuclear R&amp;D program of the Ministry of Science, ICT &amp; Future Planning (MSIP); Antarctic organisms: Cold-Adaptation Mechanisms - Korea Polar Research Institute; Golden Seed Project</t>
  </si>
  <si>
    <t>This research was supported by Golden Seed Project, Ministry of Oceans and Fisheries (213004-04-3-SBA30), the research supporting program by Chonnam National University 2013, by the Nuclear R&amp;D program of the Ministry of Science, ICT &amp; Future Planning (MSIP), and by the 'Antarctic organisms: Cold-Adaptation Mechanisms' and its application grant (PE14070) funded by the Korea Polar Research Institute.</t>
  </si>
  <si>
    <t>0031-8884</t>
  </si>
  <si>
    <t>2330-2968</t>
  </si>
  <si>
    <t>Phycologia</t>
  </si>
  <si>
    <t>10.2216/14-106.1</t>
  </si>
  <si>
    <t>CR8QD</t>
  </si>
  <si>
    <t>WOS:000361617900002</t>
  </si>
  <si>
    <t>Jiménez, RS; Hepburn, CD; Hyndes, GA; McLeod, RJ; Hurd, CL</t>
  </si>
  <si>
    <t>Jimenez, Rocio Suarez; Hepburn, Christopher D.; Hyndes, Glenn A.; McLeod, Rebecca J.; Hurd, Catriona L.</t>
  </si>
  <si>
    <t>Contributions of an annual invasive kelp to native algal assemblages: algal resource allocation and seasonal connectivity across ecotones</t>
  </si>
  <si>
    <t>Carbon flux; Invasive seaweeds; Macrolgal wrack; Native drift; Temporal variations; Undaria pinnatifida</t>
  </si>
  <si>
    <t>SARGASSUM-MUTICUM PHAEOPHYTA; UNDARIA-PINNATIFIDA; NEW-ZEALAND; TEMPORAL VARIATION; SANDY BEACHES; BROWN-ALGAE; FOOD; MARINE; ESTABLISHMENT; MACROALGAE</t>
  </si>
  <si>
    <t>The consequences of macroalgal invasions for coastal ecosystem structure and food webs remain poorly understood. We investigated the relative contribution of the invasive kelp Undaria pinnatifida (Heterokontophyta), which has an annual life cycle, to the composition of algal assemblages in subtidal rocky reefs and in the wrack of nearby surf zones and sandy beaches in southern New Zealand. Undaria pinnatifida made substantial contributions to the density and percent cover (up to 75%) of algal communities in the subtidal habitats studied, suggesting that it influences the living habitat and food resources in subtidal temperate reefs. In comparison, its contribution to the drift in the surf zone and algal wrack that accumulated on sandy beach habitats was low (usually, &lt; 25%) compared with native kelps, although it occasionally contributed up to 75% of the drift biomass. This difference likely reflects the lack of buoyancy of U. pinnatifida compared with native kelp species, limiting its capacity to act as a vector for the transfer of carbon across coastal landscapes. In contrast to the native perennial algae, U. pinnatifida's contribution to algal communities in subtidal habitats was inconsistent through time, with the greatest percent cover in early summer (December) and the lowest in early winter (April). Such a temporal pattern in the biomass of wrack and drift U. pinnatifida in beach and surf-zone habitats was, however, less apparent. Our findings suggest that the strongly seasonal and highly invasive U. pinnatifida has the potential to influence carbon fluxes and faunal communities in subtidal food webs, but that such effects are unlikely to be transferred across coastal habitats.</t>
  </si>
  <si>
    <t>[Jimenez, Rocio Suarez] Univ Otago, Dept Bot, Dunedin 9054, New Zealand; [Hepburn, Christopher D.] Univ Otago, Dept Marine Sci, Dunedin 9054, New Zealand; [Hyndes, Glenn A.] Edith Cowan Univ, Sch Nat Sci, Ctr Marine Ecosyst Res, Perth, WA 6027, Australia; [McLeod, Rebecca J.] Univ Otago, Dept Chem, Dunedin 9054, New Zealand; [Hurd, Catriona L.] Univ Tasmania, Inst Marine &amp; Antarctic Studies, Hobart, Tas 7001, Australia</t>
  </si>
  <si>
    <t>University of Otago; University of Otago; Edith Cowan University; University of Otago; University of Tasmania</t>
  </si>
  <si>
    <t>Jiménez, RS (corresponding author), Univ Otago, Dept Bot, Dunedin 9054, New Zealand.</t>
  </si>
  <si>
    <t>suaro006@student.otago.ac.nz</t>
  </si>
  <si>
    <t>McLeod, Rebecca J/H-4147-2011; Hyndes, G.a./AAB-6619-2019; Hurd, Catriona/J-2411-2013</t>
  </si>
  <si>
    <t>Hyndes, G.a./0000-0002-3525-1665; Hurd, Catriona/0000-0001-9965-4917</t>
  </si>
  <si>
    <t>management committee of East Otago Taiapure (local fishing reserve); Otago University Doctoral Scholarship; Department of Botany, University of Otago; Foundation for Research, Science and Technology (FRST) from the National Institute of Water and Atmospheric Research Ltd., Biodiversity and Biosecurity OBI [C01X0502]; FRST Science and Technology Postdoctoral Fellowship [UOOX0814]; New Zealand Ministry of Business, Innovation &amp; Employment (MBIE) [UOOX0814] Funding Source: New Zealand Ministry of Business, Innovation &amp; Employment (MBIE)</t>
  </si>
  <si>
    <t>management committee of East Otago Taiapure (local fishing reserve); Otago University Doctoral Scholarship; Department of Botany, University of Otago; Foundation for Research, Science and Technology (FRST) from the National Institute of Water and Atmospheric Research Ltd., Biodiversity and Biosecurity OBI; FRST Science and Technology Postdoctoral Fellowship; New Zealand Ministry of Business, Innovation &amp; Employment (MBIE)(New Zealand Ministry of Business, Innovation and Employment (MBIE))</t>
  </si>
  <si>
    <t>We sincerely thank S. Bell, M. Desmond, T. Stephens, P. Subritzky, C. Cornwall, P. Fernandez, P. Leal, Y. Feng and P. Jones for field assistance. We thank and acknowledge the support of the management committee of East Otago Taiapure (local fishing reserve) within which much of this research was conducted. This study was funded by an Otago University Doctoral Scholarship to RSJ, performance-based research funding from the Department of Botany, University of Otago to CLH, a Foundation for Research, Science and Technology (FRST) subcontract to CLH from the National Institute of Water and Atmospheric Research Ltd., Biodiversity and Biosecurity OBI (C01X0502) and a FRST Science and Technology Postdoctoral Fellowship to RJM (UOOX0814).</t>
  </si>
  <si>
    <t>10.2216/15-39.1</t>
  </si>
  <si>
    <t>CX0PD</t>
  </si>
  <si>
    <t>WOS:000365398100009</t>
  </si>
  <si>
    <t>Durrant, HMS; Barrett, NS; Edgar, GJ; Coleman, MA; Burridge, CP</t>
  </si>
  <si>
    <t>Durrant, Halley M. S.; Barrett, Neville S.; Edgar, Graham J.; Coleman, Melinda A.; Burridge, Christopher P.</t>
  </si>
  <si>
    <t>Shallow phylogeographic histories of key species in a biodiversity hotspot</t>
  </si>
  <si>
    <t>Australia; Ecklonia; Lessonia; Macrocystis; Phyllospora; Phylogeography; Pleistocene</t>
  </si>
  <si>
    <t>GENETIC DIVERSITY; CLIMATE-CHANGE; DURVILLAEA-ANTARCTICA; CRYPTIC DIVERSITY; HOT-SPOT; KELP; PHAEOPHYCEAE; AUSTRALIA; PATTERNS; FLOW</t>
  </si>
  <si>
    <t>Biodiversity hotspots may result from the retention of lineages through past climatic changes, local diversification of lineages or the accumulation of lineages derived from elsewhere. Different phylogeographic structuring is anticipated for taxa derived under these scenarios. Here we examine phylogeographic variation in four macroalgae that are dominant in a marine biodiversity hotspot and provide habitat for a range of other taxa, potentially influencing their diversity as well. Samples of Ecklonia radiata (Phaeophyceae), Macrocystis pyrifera (Phaeophyceae), Phyllospora comosa (Phaeophyceae) and Lessonia corrugata (Phaeophyceae) collected from 34 sites in south-east Australia - a recognized temperate marine biodiversity hotspot - were sequenced for the chloroplast Rubisco spacer region (rbcL) and mitochondrial cytochrome c oxidase subunit I (COI). Phylogeographic variation was limited to single shallow breaks within E. radiata and L. corrugata, corresponding to a recognized transition between biogeographic provinces, while P. comosa and M. pyrifera lacked spatial variation. The limited phylogeographic variation observed, in conjunction with phylogenetic relationships to other populations or congeneric species, suggests that each of these dominant habitat-forming species are recent arrivals (&lt;3 million years ago [Mya]) into the biodiversity hotspot. This contrasts starkly with expectations that dominant taxa in hotspots should reflect lineages that have adapted and persisted in these environments and raises concerns for the future of these ecosystems under climate change scenarios.</t>
  </si>
  <si>
    <t>[Durrant, Halley M. S.; Burridge, Christopher P.] Univ Tasmania, Sch Biol Sci, Hobart, Tas 7001, Australia; [Barrett, Neville S.; Edgar, Graham J.] Univ Tasmania, Inst Marine &amp; Antarctic Studies, Hobart, Tas 7001, Australia; [Coleman, Melinda A.] NSW Fisheries, Dept Primary Ind, Coffs Harbour, NSW 2450, Australia; [Coleman, Melinda A.] So Cross Univ, Natl Marine Sci Ctr, Coffs Harbour, NSW 2450, Australia</t>
  </si>
  <si>
    <t>University of Tasmania; University of Tasmania; NSW Department of Primary Industries; Southern Cross University</t>
  </si>
  <si>
    <t>Durrant, HMS (corresponding author), Univ Tasmania, Sch Biol Sci, Private Bag 55, Hobart, Tas 7001, Australia.</t>
  </si>
  <si>
    <t>halley.durrant@utas.edu.au</t>
  </si>
  <si>
    <t>Coleman, Melinda A/R-5563-2016; Edgar, Graham/AAY-3797-2020; Burridge, Chris/L-4392-2019; Burridge, Christopher/J-2653-2012; Barrett, Neville/J-7593-2014</t>
  </si>
  <si>
    <t>Coleman, Melinda A/0000-0003-2623-633X; Edgar, Graham/0000-0003-0833-9001; Burridge, Christopher/0000-0002-8185-6091; Barrett, Neville/0000-0002-6167-1356</t>
  </si>
  <si>
    <t>Australian Research Council Linkage Grant [LP100200122]; Holsworth Wildlife Research Endowment; University of Tasmania</t>
  </si>
  <si>
    <t>Australian Research Council Linkage Grant(Australian Research Council); Holsworth Wildlife Research Endowment; University of Tasmania</t>
  </si>
  <si>
    <t>This research was funded by grants from the Australian Research Council Linkage Grant LP100200122 (awarded to GE), the Holsworth Wildlife Research Endowment and the University of Tasmania. Authors would like to thank Liz Oh, Rick Stewart-Smith, Mailie Gall, Bryan Woods, Steffan Howe, Dave Miller, Alecia Bellgrove, Peter Unmack, Adam Smolenski and Nick Beeton for help with sample collections and statistical analyses.</t>
  </si>
  <si>
    <t>10.2216/15-24.1</t>
  </si>
  <si>
    <t>CX8ZT</t>
  </si>
  <si>
    <t>WOS:000365995200002</t>
  </si>
  <si>
    <t>Wang, Y; Wang, ZM</t>
  </si>
  <si>
    <t>Wang, Ye; Wang, Zhaomin</t>
  </si>
  <si>
    <t>Contribution of surface roughness to simulations of historical deforestation</t>
  </si>
  <si>
    <t>PHYSICS AND CHEMISTRY OF THE EARTH</t>
  </si>
  <si>
    <t>Surface roughness; Modeling; Deforestation</t>
  </si>
  <si>
    <t>TROPICAL DEFORESTATION; THERMOHALINE CIRCULATION; CLIMATE RESPONSE; LAND; VEGETATION; MODEL; SENSITIVITY; ATMOSPHERE; IMPACT; AMAZON</t>
  </si>
  <si>
    <t>Surface roughness which partitions surface net radiation into energy fluxes is a key parameter for estimation of biosphere-atmosphere interactions and climate variability. An earth system model of intermediate complexity (EMIC), MPM-2, is used to derive the impact of surface roughness on climate from simulations of historical land cover change effects. The direct change in surface roughness leads to a global surface warming of 0.08 degrees C through altering the turbulence in the boundary layer. The regional temperature response to surface roughness associated deforestation is very strong at northern mid-latitudes with a most prominent warming of 0.72 degrees C around 50 degrees N in the Eurasia continent during summer. They can be explained mainly as direct and indirect consequences of decreases in surface albedo and increases in precipitation in response to deforestation, although there are a few significant changes in precipitation. There is also a prominent warming of 0.25 degrees C around 40 degrees N in the North American continent. This study indicates that land surface roughness plays a significant role which is comparable with the whole land conversion effect in climate change. Therefore, further investigation of roughness climate-relationship is needed to incorporate these aspects. (C) 2015 Elsevier Ltd. All rights reserved.</t>
  </si>
  <si>
    <t>[Wang, Ye] Nanjing Univ Aeronaut &amp; Astronaut, Coll Civil Aviat, Nanjing 210016, Peoples R China; [Wang, Zhaomin] British Antarctic Survey, Cambridge CB3 0ET, England</t>
  </si>
  <si>
    <t>Nanjing University of Aeronautics &amp; Astronautics; UK Research &amp; Innovation (UKRI); Natural Environment Research Council (NERC); NERC British Antarctic Survey</t>
  </si>
  <si>
    <t>Wang, Y (corresponding author), Nanjing Univ Aeronaut &amp; Astronaut, Coll Civil Aviat, Nanjing 210016, Peoples R China.</t>
  </si>
  <si>
    <t>National Natural Science Foundation-Youth Science Fund [41305055]; Major Project of Chinese National Programs for Fundamental Research and Development (973 Program) [2010CB950903]; NERC [bas0100033] Funding Source: UKRI; Natural Environment Research Council [bas0100033] Funding Source: researchfish</t>
  </si>
  <si>
    <t>National Natural Science Foundation-Youth Science Fund(National Natural Science Foundation of China (NSFC)); Major Project of Chinese National Programs for Fundamental Research and Development (973 Program)(National Basic Research Program of China); NERC(UK Research &amp; Innovation (UKRI)Natural Environment Research Council (NERC)); Natural Environment Research Council(UK Research &amp; Innovation (UKRI)Natural Environment Research Council (NERC))</t>
  </si>
  <si>
    <t>This research was supported by National Natural Science Foundation-Youth Science Fund Project (Grant No. 41305055) and Major Project of Chinese National Programs for Fundamental Research and Development (973 Program) (Grant No. 2010CB950903).</t>
  </si>
  <si>
    <t>1474-7065</t>
  </si>
  <si>
    <t>1873-5193</t>
  </si>
  <si>
    <t>PHYS CHEM EARTH</t>
  </si>
  <si>
    <t>Phys. Chem. Earth</t>
  </si>
  <si>
    <t>87-88</t>
  </si>
  <si>
    <t>10.1016/j.pce.2015.08.014</t>
  </si>
  <si>
    <t>DA3LB</t>
  </si>
  <si>
    <t>WOS:000367697200014</t>
  </si>
  <si>
    <t>Sterken, M; Verleyen, E; Jones, VJ; Hodgson, DA; Vyverman, W; Sabbe, K; Van de Vijver, B</t>
  </si>
  <si>
    <t>Sterken, Mieke; Verleyen, Elie; Jones, Vivienne J.; Hodgson, Dominic A.; Vyverman, Wim; Sabbe, Koen; Van de Vijver, Bart</t>
  </si>
  <si>
    <t>An illustrated and annotated checklist of freshwater diatoms (Bacillariophyta) from Livingston, Signy and Beak Island (Maritime Antarctic Region)</t>
  </si>
  <si>
    <t>PLANT ECOLOGY AND EVOLUTION</t>
  </si>
  <si>
    <t>Diatom taxonomy; biogeography; endemic; Antarctic Peninsula; freshwater</t>
  </si>
  <si>
    <t>JAMES-ROSS-ISLAND; SOUTH SHETLAND ISLANDS; LUTICOLA TAXA BACILLARIOPHYTA; SP NOV.; SPECIES BACILLARIOPHYCEAE; ECOLOGY; LAKES; DISTANTES; REVISION; COMMUNITIES</t>
  </si>
  <si>
    <t>Background and aims - Non-marine diatom communities in the Antarctic Region are characterized by a typical species composition, dominated by a large number of Antarctic endemic species. Despite recent advances in our knowledge about the diversity and biogeography of non-marine Antarctic diatoms, the flora of many Antarctic localities is still only poorly known, which can result in incorrect conceptions of species' distributions. The present paper provides a taxonomically consistent illustrated checklist of the diatom flora observed in recent and (sub)fossil non-marine sediments of three islands in the proximity of the northern Antarctic Peninsula, namely; Signy Island (South Orkneys), Livingston Island (South Shetlands) and Beak Island (James Ross Island group). Methods - The diatom flora of 66 samples collected from a wide variety of lakes and localities on the three above-mentioned islands has been studied using light and scanning electron microscopy. The biogeographical distribution of the composing taxa has been assessed on the basis of quality-checked distribution data from the recent literature. Key results - One hundred and two diatom taxa, belonging to thirty-four genera, were observed. Pinnularia (twelve taxa), Chamaepinnularia, Luticola, Planothidium, Psammothidium and Stauroneis (seven taxa each), Nitzschia (six taxa), Humidophila and Navicula (five taxa each) proved to be the most species-rich genera. Original morphometric data (including length, width and stria density) and illustrations are presented for all taxa observed. Forty-one species are hitherto only known from the Antarctic region. The exact taxonomic identity of twenty species remains uncertain and requires further study. It is suspected that many of these will also turn out to be restricted to the Antarctic region, suggesting that about half of all taxa observed are probably endemic to the Antarctic. Conclusions - The diatom flora of the three investigated localities comprises a large proportion of typical Antarctic taxa, many of which have only recently been split off from their presumably cosmopolitan relatives.</t>
  </si>
  <si>
    <t>[Sterken, Mieke; Verleyen, Elie; Vyverman, Wim; Sabbe, Koen] Univ Ghent, Protistol &amp; Aquat Ecol, BE-9000 Ghent, Belgium; [Jones, Vivienne J.] UCL, Dept Geog, London WC1E 6BT, England; [Hodgson, Dominic A.] British Antarctic Survey, NERC, Cambridge CB3 0ET, England; [Van de Vijver, Bart] Bot Garden Meise, Dept Bryophyta, BE-1860 Meise, Belgium; [Van de Vijver, Bart] Univ Antwerp, Dept Biol, ECOBE, BE-2610 Antwerp, Belgium</t>
  </si>
  <si>
    <t>Ghent University; University of London; University College London; UK Research &amp; Innovation (UKRI); Natural Environment Research Council (NERC); NERC British Antarctic Survey; University of Antwerp</t>
  </si>
  <si>
    <t>Van de Vijver, B (corresponding author), Bot Garden Meise, Dept Bryophyta, Nieuwelaan 38, BE-1860 Meise, Belgium.</t>
  </si>
  <si>
    <t>bart.vandevijver@botanicgardenmeise.be</t>
  </si>
  <si>
    <t>Natural Environment Research Council [bas0100030] Funding Source: researchfish; NERC [bas0100030] Funding Source: UKRI</t>
  </si>
  <si>
    <t>SOC ROYAL BOTAN BELGIQUE</t>
  </si>
  <si>
    <t>MEISE</t>
  </si>
  <si>
    <t>NIEUWELAAN 38, B-1860 MEISE, BELGIUM</t>
  </si>
  <si>
    <t>2032-3913</t>
  </si>
  <si>
    <t>2032-3921</t>
  </si>
  <si>
    <t>PLANT ECOL EVOL</t>
  </si>
  <si>
    <t>Plant Ecol. Evol.</t>
  </si>
  <si>
    <t>10.5091/plecevo.2015.1103</t>
  </si>
  <si>
    <t>CY1EZ</t>
  </si>
  <si>
    <t>WOS:000366150800013</t>
  </si>
  <si>
    <t>Hamilton, LC</t>
  </si>
  <si>
    <t>Hamilton, Lawrence C.</t>
  </si>
  <si>
    <t>Polar facts in the age of polarization</t>
  </si>
  <si>
    <t>POLAR GEOGRAPHY</t>
  </si>
  <si>
    <t>CLIMATE-CHANGE; ENVIRONMENTAL CONCERN; SCIENTIFIC CONSENSUS; DONT TRUST; TEA-PARTY; VIEWS; POLITICS; WEATHER; PERCEPTIONS; EDUCATION</t>
  </si>
  <si>
    <t>Many drivers of polar-region change originate in mid-latitude industrial societies, so public perceptions there matter. Building on earlier surveys of US public knowledge and concern, a series of New Hampshire state surveys over 2011-2015 tracked public knowledge of some basic polar facts. Analysis indicates that these facts subjectively fall into two categories: those that are or are not directly connected to beliefs about climate change. Responses to climate-linked factual questions, such as whether Arctic sea ice area has declined compared with 30 years ago, are politicized as if we were asking for climate-change opinions. Political divisions are less apparent with factual questions that do not suggest climate change, such as whether the North Pole is on land or sea ice. Only 38% of respondents could answer that question correctly, and even fewer (30%) knew or guessed correctly that melting of Greenland and Antarctic land ice, rather than Arctic sea ice, could potentially do the most to raise sea levels. At odds with the low levels of factual knowledge, most respondents say they have a moderate amount or a great deal of understanding about climate change. A combination of low knowledge with high self-assessed understanding characterizes almost half our sample and correlates with political views. The low knowledge/high understanding combination is most prevalent among Tea Party supporters, where it reaches 61%. It also occurs often (60%) among people who do not believe climate is changing. These results emphasize that diverse approaches are needed to communicate about science with people having different configurations of certainty and knowledge.</t>
  </si>
  <si>
    <t>[Hamilton, Lawrence C.] Univ New Hampshire, Sociol Dept, Durham, NH 03824 USA</t>
  </si>
  <si>
    <t>University System Of New Hampshire; University of New Hampshire</t>
  </si>
  <si>
    <t>Hamilton, LC (corresponding author), Univ New Hampshire, Sociol Dept, Durham, NH 03824 USA.</t>
  </si>
  <si>
    <t>Lawrence.Hamilton@unh.edu</t>
  </si>
  <si>
    <t>Hamilton, Lawrence/0000-0003-1977-0649</t>
  </si>
  <si>
    <t>US National Science Foundation [DUE-1239783, PLR-1303938, EPS-1101245]; Carsey School of Public Policy and the Sustainability Institute at the University of New Hampshire (UNH); Directorate For Geosciences; Office of Polar Programs (OPP) [1303938] Funding Source: National Science Foundation; Division Of Undergraduate Education; Direct For Education and Human Resources [1239783] Funding Source: National Science Foundation; Office Of The Director; EPSCoR [1101245] Funding Source: National Science Foundation</t>
  </si>
  <si>
    <t>US National Science Foundation(National Science Foundation (NSF)); Carsey School of Public Policy and the Sustainability Institute at the University of New Hampshire (UNH); Directorate For Geosciences; Office of Polar Programs (OPP)(National Science Foundation (NSF)NSF - Directorate for Geosciences (GEO)); Division Of Undergraduate Education; Direct For Education and Human Resources(National Science Foundation (NSF)NSF - Directorate for STEM Education (EDU)); Office Of The Director; EPSCoR(National Science Foundation (NSF)NSF - Office of the Director (OD)NSF - Office of Integrative Activities (OIA))</t>
  </si>
  <si>
    <t>Survey research on polar knowledge and perceptions has been supported by grants from the US National Science Foundation (PoLAR, DUE-1239783; SIPN, PLR-1303938; NH EPSCoR, EPS-1101245), and by the Carsey School of Public Policy and the Sustainability Institute at the University of New Hampshire (UNH). The UNH Survey Center conducted sampling and interviews for all surveys.</t>
  </si>
  <si>
    <t>1088-937X</t>
  </si>
  <si>
    <t>1939-0513</t>
  </si>
  <si>
    <t>POLAR GEOGR</t>
  </si>
  <si>
    <t>Polar Geogr.</t>
  </si>
  <si>
    <t>10.1080/1088937X.2015.1051158</t>
  </si>
  <si>
    <t>Geography, Physical</t>
  </si>
  <si>
    <t>Physical Geography</t>
  </si>
  <si>
    <t>V64UQ</t>
  </si>
  <si>
    <t>WOS:000211126300001</t>
  </si>
  <si>
    <t>Suprenand, PM; Jones, DL; Torres, JJ</t>
  </si>
  <si>
    <t>Suprenand, P. M.; Jones, D. L.; Torres, J. J.</t>
  </si>
  <si>
    <t>Distribution of gymnosomatous pteropods in western Antarctic Peninsula shelf waters: influences of Southern Ocean water masses</t>
  </si>
  <si>
    <t>CLIMATE-CHANGE; TEMPERATURE COMPENSATION; AEROBIC CAPACITY; ICE SHELF; FOOD-WEB; SEA-ICE; IMPACT; ACIDIFICATION; CIRCULATION; SENSITIVITY</t>
  </si>
  <si>
    <t>Distributions of gymnosomatous pteropods, Spongiobranchaea australis and Clione antarctica, were determined at six sites along a latitudinal gradient in western Antarctica Peninsula shelf waters using vertically stratified trawls. Hydrographic data were collected at the same sites with conductivity-temperature-depth casts, and correlations of explanatory variables to gymnosome distributions were determined using statistical analyses performed in Matlab, a high level programming software to conduct numerical computation and visualisation. Explanatory variables included sampling site, latitude, longitude and depth, seawater temperature, salinity and density, Southern Ocean Antarctic Surface Water, Winter Water, Upper Circumpolar Deep Water and warm transitional waters, as well as oceanographic remote sensing data for coloured dissolved organic matter, chlorophyll a concentration, normalised fluorescence line height, nighttime sea surface temperature, photosynthetically active radiation, particulate inorganic carbon, particulate organic carbon, daytime sea surface temperature and daily sea ice concentration. Hydrographic data revealed that warmer water masses were prevalent along the western Antarctic Peninsula, and the distributions of both gymnosome species were primarily influenced by water masses, temperature, sampling site and latitude. As a consequence, distributional shifts of gymnosomes are predicted in response to the current warming trends.</t>
  </si>
  <si>
    <t>[Suprenand, P. M.; Jones, D. L.; Torres, J. J.] Univ S Florida, Coll Marine Sci, St Petersburg, FL 33701 USA</t>
  </si>
  <si>
    <t>State University System of Florida; University of South Florida</t>
  </si>
  <si>
    <t>Suprenand, PM (corresponding author), Univ S Florida, Coll Marine Sci, 140 7th Ave S MSL 200C, St Petersburg, FL 33701 USA.</t>
  </si>
  <si>
    <t>psuprena@mail.usf.edu</t>
  </si>
  <si>
    <t>jones, davey/C-7411-2011</t>
  </si>
  <si>
    <t>jones, davey/0000-0002-1482-4209</t>
  </si>
  <si>
    <t>United States National Science Foundation [NSF ANT 0741348]; Office of Polar Programs (OPP); Directorate For Geosciences [0741348] Funding Source: National Science Foundation</t>
  </si>
  <si>
    <t>United States National Science Foundation(National Science Foundation (NSF)); Office of Polar Programs (OPP); Directorate For Geosciences(National Science Foundation (NSF)NSF - Directorate for Geosciences (GEO))</t>
  </si>
  <si>
    <t>The United States National Science Foundation supported this research (NSF ANT 0741348 to J.J.T.). Thank you to the University of South Florida (USF) science team aboard Nathaniel B. Palmer cruise, 10-02, for their help collecting MOCNESS samples (Christine Cass, Tammy Cullins, Nicole Dunham, Erica Ombres, Eloy Martinez, Christin Murphy, and Melanie Parker), and the vessel's crew for their help in collecting CTD data. Thank you to Dr. Pamela Hallock from USF - College of Marine Science from the University of South Florida for her editing and literary insights, as well as Melanie Parker for sharing 2001/2002 GLOBEC data.</t>
  </si>
  <si>
    <t>10.1017/S003224741300065X</t>
  </si>
  <si>
    <t>WOS:000346191200006</t>
  </si>
  <si>
    <t>Balazy, P; Kuklinski, P; Wlodarska-Kowalczuk, M; Barnes, D; Kedra, M; Legezynska, J; Weslawski, JM</t>
  </si>
  <si>
    <t>Balazy, Piotr; Kuklinski, Piotr; Wlodarska-Kowalczuk, Maria; Barnes, David; Kedra, Monika; Legezynska, Joanna; Weslawski, Jan Marcin</t>
  </si>
  <si>
    <t>Hermit crabs (Pagurus spp.) at their northernmost range: distribution, abundance and shell use in the European Arctic</t>
  </si>
  <si>
    <t>Hermit crabs; Svalbard; Arctic; fjords</t>
  </si>
  <si>
    <t>BENTHIC COMMUNITY STRUCTURE; DYNAMIC SEDIMENTARY ENVIRONMENTS; RIVER ESTUARY ADVENTFJORDEN; GASTROPOD SHELLS; BARENTS SEA; LARVAL DEVELOPMENT; MARINE ECOSYSTEM; QUIRIMBA ISLAND; DELAYED METAMORPHOSIS; BERNHARDUS DECAPODA</t>
  </si>
  <si>
    <t>Hermit crabs are important components of Arctic benthic systems, yet baseline data on their densities and distribution patterns in this rapidly changing region are still scarce. Here we compile results of numerous research expeditions to Svalbard, the Barents Sea and northern Norway that were carried out from 1979 to 2011 by the Institute of Oceanology, Polish Academy of Sciences. The diversity of hermit crabs at the northern edge of their occurrence is very low; in Svalbard waters only one species (Pagurus pubescens) was detected. Another species (P. bernhardus), found in northern mainland Norway, north of the Arctic Circle, is likely to extend its distribution northward as the climate warms. Where the two species co-occur, competition between them probably accounts for the smaller sizes and poorer quality shells used by P. pubescens. The composition of the mollusc shells inhabited by these crabs differs between northern Norway and Svalbard, reflecting local mollusc species pools. Hermit crab densities were significantly higher than previously reported (max. mean 10 ind. m(-2)), suggesting their increasing level of dominance in benthic communities in the studied areas. The first to report the distribution of hermit crabs among habitats, this study showed that most individuals occurred at shallow depths (5-150 m), away from glacier termini and on hard bedrock rather than on soft substrata.</t>
  </si>
  <si>
    <t>[Balazy, Piotr; Kuklinski, Piotr; Wlodarska-Kowalczuk, Maria; Kedra, Monika; Legezynska, Joanna; Weslawski, Jan Marcin] Polish Acad Sci, Marine Ecol Dept, Inst Oceanol, PL-81712 Sopot, Poland; [Kuklinski, Piotr] Nat Hist Museum, Dept Life Sci, London SW7 5BD, England; [Barnes, David] British Antarctic Survey, Cambridge CB3 OET, England</t>
  </si>
  <si>
    <t>Polish Academy of Sciences; Institute of Oceanology of the Polish Academy of Sciences; Natural History Museum London; UK Research &amp; Innovation (UKRI); Natural Environment Research Council (NERC); NERC British Antarctic Survey</t>
  </si>
  <si>
    <t>Balazy, P (corresponding author), Polish Acad Sci, Marine Ecol Dept, Inst Oceanol, Powstancow Warszawy 55, PL-81712 Sopot, Poland.</t>
  </si>
  <si>
    <t>balazy@iopan.pl</t>
  </si>
  <si>
    <t>Weslawski, Jan M/F-4075-2012; Balazy, Piotr/D-2949-2018</t>
  </si>
  <si>
    <t>Balazy, Piotr/0000-0002-1126-3151; Legezynska, Joanna/0000-0001-7718-0335; Kuklinski, Piotr/0000-0002-1507-215X; Kedra, Monika/0000-0002-2223-5850; Weslawski, Jan-Marcin/0000-0001-8434-5927</t>
  </si>
  <si>
    <t>National Science Centre [DEC-2011/01/N/NZ8/04493]; Polish Ministry of Science and Higher Education [2022/LTSMP/2011/0]; Polish Society of Hyperbaric Medicine and Technology (PTMiTH); Natural Environment Research Council [bas0100025] Funding Source: researchfish; NERC [bas0100025] Funding Source: UKRI</t>
  </si>
  <si>
    <t>National Science Centre(National Science Centre, Poland); Polish Ministry of Science and Higher Education(Ministry of Science and Higher Education, Poland); Polish Society of Hyperbaric Medicine and Technology (PTMiTH); Natural Environment Research Council(UK Research &amp; Innovation (UKRI)Natural Environment Research Council (NERC)); NERC(UK Research &amp; Innovation (UKRI)Natural Environment Research Council (NERC))</t>
  </si>
  <si>
    <t>The authors wish to thank Jakub Beszczynski for his underwater assistance, Joanna Pardus (IO PAN) for map preparation and two anonymous reviewers for their effort in improving the paper. The project was funded by the National Science Centre on the basis of decision DEC-2011/01/N/NZ8/04493 (PB). PK would like to acknowledge the funds (2022/LTSMP/2011/0) from the Polish Ministry of Science and Higher Education which enabled the completion of the study. We also acknowledge the Antoni Debski Scholarship granted by the Polish Society of Hyperbaric Medicine and Technology (PTMiTH) to PB.</t>
  </si>
  <si>
    <t>10.3402/polar.v34.21412</t>
  </si>
  <si>
    <t>CF3BB</t>
  </si>
  <si>
    <t>WOS:000352421300001</t>
  </si>
  <si>
    <t>Camenzuli, D; Freidman, BL</t>
  </si>
  <si>
    <t>Camenzuli, Danielle; Freidman, Benjamin L.</t>
  </si>
  <si>
    <t>On-site and in situ remediation technologies applicable to petroleum hydrocarbon contaminated sites in the Antarctic and Arctic</t>
  </si>
  <si>
    <t>Petroleum hydrocarbons; remediation; Antarctica; Arctic; cold regions; contaminated site</t>
  </si>
  <si>
    <t>PERMEABLE REACTIVE BARRIER; ELECTROKINETIC SOIL REMEDIATION; PRB ONE-YEAR; CASEY-STATION; HEAVY-METALS; DIESEL-OIL; ACTIVATED CARBON; FREEZE-THAW; PILOT-SCALE; CRUDE-OIL</t>
  </si>
  <si>
    <t>Petroleum hydrocarbon contaminated sites, associated with the contemporary and legacy effects of human activities, remain a serious environmental problem in the Antarctic and Arctic. The management of contaminated sites in these regions is often confounded by the logistical, environmental, legislative and financial challenges associated with operating in polar environments. In response to the need for efficient and safe methods for managing contaminated sites, several technologies have been adapted for on-site or in situ application in these regions. This article reviews six technologies which are currently being adapted or developed for the remediation of petroleum hydrocarbon contaminated sites in the Antarctic and Arctic. Bioremediation, landfarming, biopiles, phytoremediation, electrokinetic remediation and permeable reactive barriers are reviewed and discussed with respect to their advantages, limitations and potential for the long-term management of soil and groundwater contaminated with petroleum hydrocarbons in the Antarctic and Arctic. Although these technologies demonstrate potential for application in the Antarctic and Arctic, their effectiveness is dependent on site-specific factors including terrain, soil moisture and temperature, freeze-thaw processes and the indigenous microbial population. The importance of detailed site assessment prior to on-site or in situ implementation is emphasized, and it is argued that coupling of technologies represents one strategy for effective, long-term management of petroleum hydrocarbon contaminated sites in the Antarctic and Arctic.</t>
  </si>
  <si>
    <t>[Camenzuli, Danielle] Macquarie Univ, Dept Environm Sci, Fac Sci &amp; Engn, Sydney, NSW 2109, Australia; [Freidman, Benjamin L.] Univ Melbourne, Melbourne Sch Engn, Dept Chem &amp; Biomol Engn, Particulate Fluids Proc Ctr, Melbourne, Vic 3010, Australia</t>
  </si>
  <si>
    <t>Macquarie University; University of Melbourne; Melbourne Genomics Health Alliance</t>
  </si>
  <si>
    <t>Camenzuli, D (corresponding author), Macquarie Univ, Dept Environm Sci, Fac Sci &amp; Engn, N Ryde, NSW 2109, Australia.</t>
  </si>
  <si>
    <t>danielle.camenzuli@mq.edu.au</t>
  </si>
  <si>
    <t>10.3402/polar.v34.24492</t>
  </si>
  <si>
    <t>CQ9FJ</t>
  </si>
  <si>
    <t>WOS:000360917900001</t>
  </si>
  <si>
    <t>Casanovas, P; Black, M; Fretwell, P; Convey, P</t>
  </si>
  <si>
    <t>Casanovas, Paula; Black, Martin; Fretwell, Peter; Convey, Peter</t>
  </si>
  <si>
    <t>Mapping lichen distribution on the Antarctic Peninsula using remote sensing, lichen spectra and photographic documentation by citizen scientists</t>
  </si>
  <si>
    <t>Antarctica; NDVI; matched filtering; Landsat; remote sensing</t>
  </si>
  <si>
    <t>SOUTH ORKNEY ISLANDS; SNOW COVER; NORTHERN NORWAY; SIGNY ISLAND; VEGETATION; BIODIVERSITY; RESOLUTION; DIVERSITY; ECOSYSTEM</t>
  </si>
  <si>
    <t>On the Antarctic Peninsula, lichens are the most diverse botanical component of the terrestrial ecosystem. However, detailed information on the distribution of lichens on the Antarctic Peninsula region is scarce, and the data available exhibit significant heterogeneity in sampling frequency and effort. Satellite remote sensing, in particular the use of the Normalized Difference Vegetation Index (NDVI), has facilitated determination of vegetation richness and cover distribution in some remote and otherwise inaccessible environments. However, it is known that using NDVI for the detection of vegetation can overlook the presence of lichens even if their land cover is extensive. We tested the use of known spectra of lichens in a matched filtering technique for the detection and mapping of lichen-covered land from remote sensing imagery on the Antarctic Peninsula, using data on lichen presence collected by citizen scientists and other non-specialists as ground truthing. Our results confirm that the use of this approach allows for the detection of lichen flora on the Antarctic Peninsula, showing an improvement over the use of NDVI alone for the mapping of flora in this area.</t>
  </si>
  <si>
    <t>[Casanovas, Paula; Black, Martin; Fretwell, Peter; Convey, Peter] British Antarctic Survey, Nat Environm Res Council, Cambridge CB3 0ET, England</t>
  </si>
  <si>
    <t>Casanovas, P (corresponding author), British Antarctic Survey, Nat Environm Res Council, High Cross,Madingley Rd, Cambridge CB3 0ET, England.</t>
  </si>
  <si>
    <t>pcon@bas.ac.uk</t>
  </si>
  <si>
    <t>Convey, Peter/AAV-5728-2020</t>
  </si>
  <si>
    <t>Convey, Peter/0000-0001-8497-9903; Casanovas, Paula/0000-0002-4462-139X</t>
  </si>
  <si>
    <t>Natural Environment Research Council (NERC) [675.0613]; NERC [CGS-086]; NERC PhD studentship [NE/K50094X/1]; Scientific Committee on Antarctic Research Fellowship; NERC [fsf010001, bas010011, bas0100026, bas0100025] Funding Source: UKRI; Natural Environment Research Council [fsf010001, bas0100026, bas010011, bas0100025, 1246023] Funding Source: researchfish</t>
  </si>
  <si>
    <t>Natural Environment Research Council (NERC)(UK Research &amp; Innovation (UKRI)Natural Environment Research Council (NERC)); NERC(UK Research &amp; Innovation (UKRI)Natural Environment Research Council (NERC)); NERC PhD studentship(UK Research &amp; Innovation (UKRI)Natural Environment Research Council (NERC)); Scientific Committee on Antarctic Research Fellowship; NERC(UK Research &amp; Innovation (UKRI)Natural Environment Research Council (NERC)); Natural Environment Research Council(UK Research &amp; Innovation (UKRI)Natural Environment Research Council (NERC))</t>
  </si>
  <si>
    <t>The study reported here was funded by a Natural Environment Research Council (NERC) Field Spectroscopy Facility Loan (no. 675.0613), the NERC Collaborative Gearing Scheme for fieldwork (CGS-086), a NERC PhD studentship (NE/K50094X/1) and the Scientific Committee on Antarctic Research Fellowship scheme 2013 14. PC and PF are core funded by NERC.</t>
  </si>
  <si>
    <t>CO-ACTION PUBLISHING</t>
  </si>
  <si>
    <t>JARFALLA</t>
  </si>
  <si>
    <t>RIPVAGEN 7, JARFALLA, SE-175 64, SWEDEN</t>
  </si>
  <si>
    <t>10.3402/polar.v34.25633</t>
  </si>
  <si>
    <t>CU3DR</t>
  </si>
  <si>
    <t>WOS:000363404700001</t>
  </si>
  <si>
    <t>Coulson, SJ</t>
  </si>
  <si>
    <t>Coulson, Stephen J.</t>
  </si>
  <si>
    <t>The alien terrestrial invertebrate fauna of the High Arctic archipelago of Svalbard: potential implications for the native flora and fauna</t>
  </si>
  <si>
    <t>Introduced; microarthropod; enchytraeid; Acari; biodiversity</t>
  </si>
  <si>
    <t>ROADMAP; SCIENCE; VOLE</t>
  </si>
  <si>
    <t>Experience from the Antarctic indicates that the establishment of alien species may have significant negative effects on native flora and fauna in polar regions and is considered to be amongst the greatest threats to biodiversity. But, there have been few similar studies from the Arctic. Although the terrestrial invertebrate inventory of the Svalbard Archipelago is amongst the most complete for any region of the Arctic, no consideration has yet been made of alien terrestrial invertebrate species, their invasiveness tendencies, threat to the native biology or their route of entry. Such baseline information is critical for appropriate management strategies. Fifteen alien invertebrate species have established in the Svalbard environment, many of which have been introduced via imported soils. Biosecurity legislation now prohibits such activities. None of the recorded established aliens yet show invasive tendencies but some may have locally negative effects. Ten species are considered to be vagrants and a further seven are classified as observations. Vagrants and the observations are not believed to be able to establish in the current tundra environment. The high connectivity of Svalbard has facilitated natural dispersal processes and may explain why few alien species are recorded compared to isolated islands in the maritime Antarctic. The vagrant species observed are conspicuous Lepidoptera, implying that less evident vagrant species are also arriving regularly. Projected climate change may enable vagrant species to establish, with results that are difficult to foresee.</t>
  </si>
  <si>
    <t>Univ Ctr Svalbard, Dept Arctic Biol, NO-9171 Longyearbyen, Norway</t>
  </si>
  <si>
    <t>University Centre Svalbard (UNIS)</t>
  </si>
  <si>
    <t>Coulson, SJ (corresponding author), Univ Ctr Svalbard, Dept Arctic Biol, POB 156, NO-9171 Longyearbyen, Norway.</t>
  </si>
  <si>
    <t>steve.coulson@unis.no</t>
  </si>
  <si>
    <t>Coulson, Stephen James/0000-0003-0935-959X</t>
  </si>
  <si>
    <t>10.3402/polar.v34.27364</t>
  </si>
  <si>
    <t>CR6QC</t>
  </si>
  <si>
    <t>WOS:000361471200001</t>
  </si>
  <si>
    <t>Findlay, HS; Gibson, G; Kedra, M; Morata, N; Orchowska, M; Pavlov, AK; Reigstad, M; Silyakova, A; Tremblay, JÉ; Walczowski, W; Weydmann, A; Logvinova, C</t>
  </si>
  <si>
    <t>Findlay, Helen S.; Gibson, Georgina; Kedra, Monika; Morata, Nathalie; Orchowska, Monika; Pavlov, Alexey K.; Reigstad, Marit; Silyakova, Anna; Tremblay, Jean-Eric; Walczowski, Waldemar; Weydmann, Agata; Logvinova, Christie</t>
  </si>
  <si>
    <t>Responses in Arctic marine carbon cycle processes: conceptual scenarios and implications for ecosystem function</t>
  </si>
  <si>
    <t>Sea ice; climate change; ecosystem function; carbon cycling</t>
  </si>
  <si>
    <t>DISSOLVED ORGANIC-MATTER; COPEPOD FECAL PELLETS; FOOD-WEB STRUCTURE; UPPER WATER COLUMN; MARGINAL ICE-ZONE; SEA-ICE; OCEAN ACIDIFICATION; BERING-SEA; CALCIUM-CARBONATE; CHUKCHI SEAS</t>
  </si>
  <si>
    <t>The Arctic Ocean is one of the fastest changing oceans, plays an important role in global carbon cycling and yet is a particularly challenging ocean to study. Hence, observations tend to be relatively sparse in both space and time. How the Arctic functions, geophysically, but also ecologically, can have significant consequences for the internal cycling of carbon, and subsequently influence carbon export, atmospheric CO2 uptake and food chain productivity. Here we assess the major carbon pools and associated processes, specifically summarizing the current knowledge of each of these processes in terms of data availability and ranges of rates and values for four geophysical Arctic Ocean domains originally described by Carmack &amp; Wassmann (2006): inflow shelves, which are Pacific-influenced and Atlantic-influenced; interior, river-influenced shelves; and central basins. We attempt to bring together knowledge of the carbon cycle with the ecosystem within each of these different geophysical settings, in order to provide specialist information in a holistic context. We assess the current state of models and how they can be improved and/or used to provide assessments of the current and future functioning when observational data are limited or sparse. In doing so, we highlight potential links in the physical oceanographic regime, primary production and the flow of carbon within the ecosystem that will change in the future. Finally, we are able to highlight priority areas for research, taking a holistic pan-Arctic approach.</t>
  </si>
  <si>
    <t>[Findlay, Helen S.] Plymouth Marine Lab, Plymouth PL1 3DH, Devon, England; [Gibson, Georgina] Univ Alaska, Int Arctic Res Ctr, Fairbanks, AK 99775 USA; [Kedra, Monika] Univ Maryland, Ctr Environm Sci, Chesapeake Biol Lab, Solomons, MD 20688 USA; [Kedra, Monika; Orchowska, Monika; Walczowski, Waldemar; Weydmann, Agata] Polish Acad Sci, Inst Oceanol, PL-81712 Sopot, Poland; [Morata, Nathalie] Natl Ctr Sci Res, Lab Sci &amp; Environm, FR-29280 Plouzane, France; [Pavlov, Alexey K.] Norwegian Polar Res Inst, Fram Ctr, NO-9296 Tromso, Norway; [Pavlov, Alexey K.] Arctic &amp; Antarctic Res Inst, RU-199397 St Petersburg, Russia; [Pavlov, Alexey K.; Reigstad, Marit] Univ Tromso, Dept Arctic &amp; Marine Biol, NO-9037 Tromso, Norway; [Silyakova, Anna] Univ Tromso, Ctr Arctic Gas Hydrate Environm &amp; Climate, NO-9037 Tromso, Norway; [Tremblay, Jean-Eric] Univ Laval, Dept Biol, Quebec Ocean &amp; Takuvik, Quebec City, PQ G1V 0A6, Canada; [Logvinova, Christie] Clark Univ, Grad Sch Geog, Worcester, MA 01610 USA</t>
  </si>
  <si>
    <t>Plymouth Marine Laboratory; University of Alaska System; University of Alaska Fairbanks; University System of Maryland; University of Maryland Center for Environmental Science; Polish Academy of Sciences; Institute of Oceanology of the Polish Academy of Sciences; Centre National de la Recherche Scientifique (CNRS); Ifremer; Institut de Recherche pour le Developpement (IRD); Norwegian Polar Institute; UiT The Arctic University of Tromso; UiT The Arctic University of Tromso; Laval University; Clark University</t>
  </si>
  <si>
    <t>Findlay, HS (corresponding author), Plymouth Marine Lab, Prospect Pl, Plymouth PL1 3DH, Devon, England.</t>
  </si>
  <si>
    <t>hefi@pml.ac.uk</t>
  </si>
  <si>
    <t>Reigstad, Marit/AFL-8306-2022; /AAL-3738-2021; Morata, Nathalie/B-1178-2011; Weydmann-Zwolicka, Agata/AAA-6809-2019; Grabowska, Monika I./I-6660-2017</t>
  </si>
  <si>
    <t>Reigstad, Marit/0000-0002-8592-7192; Weydmann-Zwolicka, Agata/0000-0002-6655-6613; Walczowski, Waldemar/0000-0002-0243-3307; Gibson, Georgina/0000-0002-6688-7578; Pavlov, Alexey/0000-0002-1978-5368; Kedra, Monika/0000-0002-2223-5850</t>
  </si>
  <si>
    <t>International Arctic Science Committee; Prince Albert II of Monaco Foundation; Polish Academy of Sciences; Institute of Oceanology; Polish Scientific Committee on Oceanic Research; International Arctic Research Center; National Center for Scientific Research-Laval Takuvik Joint Laboratory; Alfred Wegener Institute for Polar and Marine Research; Department of Fisheries and Oceans Canada; Natural Environment Research Council [pml010009] Funding Source: researchfish; NERC [pml010009] Funding Source: UKRI</t>
  </si>
  <si>
    <t>International Arctic Science Committee; Prince Albert II of Monaco Foundation; Polish Academy of Sciences; Institute of Oceanology; Polish Scientific Committee on Oceanic Research; International Arctic Research Center; National Center for Scientific Research-Laval Takuvik Joint Laboratory; Alfred Wegener Institute for Polar and Marine Research; Department of Fisheries and Oceans Canada; Natural Environment Research Council(UK Research &amp; Innovation (UKRI)Natural Environment Research Council (NERC)); NERC(UK Research &amp; Innovation (UKRI)Natural Environment Research Council (NERC))</t>
  </si>
  <si>
    <t>This paper resulted from a joint Arctic in Rapid Transition-Association for Polar Early Career Scientists workshop supported by the International Arctic Science Committee, the Prince Albert II of Monaco Foundation, the Polish Academy of Sciences and the Institute of Oceanology, the Polish Scientific Committee on Oceanic Research, the International Arctic Research Center, the National Center for Scientific Research-Laval Takuvik Joint Laboratory, the Alfred Wegener Institute for Polar and Marine Research and the Department of Fisheries and Oceans Canada.</t>
  </si>
  <si>
    <t>10.3402/polar.v34.24252</t>
  </si>
  <si>
    <t>CG1RJ</t>
  </si>
  <si>
    <t>WOS:000353050900001</t>
  </si>
  <si>
    <t>Hedding, DW; Nel, W; Anderson, RL</t>
  </si>
  <si>
    <t>Hedding, David W.; Nel, Werner; Anderson, Ryan L.</t>
  </si>
  <si>
    <t>Aeolian processes and landforms in the sub-Antarctic: preliminary observations from Marion Island</t>
  </si>
  <si>
    <t>Marion Island; climate change; wind; erosion; dispersal</t>
  </si>
  <si>
    <t>METEOROLOGICAL CONTROLS; SORTED STRIPES; CLIMATE-CHANGE; WIND EROSION; TRANSPORT; RATES; SOILS</t>
  </si>
  <si>
    <t>Sub-Antarctic Marion Island has a hyperoceanic climate, with cold and wet conditions and consistently strong wind velocities throughout the year. Recent observations recognized the increasing role of aeolian processes as a geomorphic agent, and this paper presents the first data for transport by aeolian processes on a sub-Antarctic island. Data were collected through an intensive and high-resolution measurement campaign at three study sites using Big Spring Number Eight sediment traps and surface sediment samplers in conjunction with an array of climatic and soil logger sensors. Observed aeolian landforms are megaripples, and the data suggest that aeolian processes are also modifying solifluction landforms. The sediment traps and sediment samplers collected wind-blown scoria at all three study sites, and the annual (horizontal) aeolian sediment flux extrapolated from this preliminary data is estimated at 0.36-3.85 kg cm(-2) y(-1). Importantly, plant material of various species was trapped during the study that suggests the efficiency of wind for the dispersal of plants in this sub-Antarctic environment may be underestimated. This paper advocates long-term monitoring of aeolian processes and that the link between aeolian processes and synoptic climate must be established. Furthermore, wind as a means to disperse genetic material on Marion Island should be investigated.</t>
  </si>
  <si>
    <t>[Hedding, David W.; Anderson, Ryan L.] Univ S Africa, Dept Geog, ZA-1710 Florida, South Africa; [Nel, Werner] Univ Ft Hare, Dept Geog &amp; Environm Sci, ZA-5700 Alice, South Africa</t>
  </si>
  <si>
    <t>University of South Africa; University of Fort Hare</t>
  </si>
  <si>
    <t>Hedding, DW (corresponding author), Univ S Africa, Dept Geog, Calabash Bldg,Sci Campus,Private Bag X6, ZA-1710 Florida, South Africa.</t>
  </si>
  <si>
    <t>heddidw@unisa.ac.za</t>
  </si>
  <si>
    <t>Anderson, Ryan/AAW-8868-2020; Hedding, David William/F-3044-2011</t>
  </si>
  <si>
    <t>Hedding, David William/0000-0002-9748-4499; Nel, Werner/0000-0002-3769-4937</t>
  </si>
  <si>
    <t>National Research Foundation/South African National Antarctic Programme project: Landscape and Climate Interactions in a Changing Sub-Antarctic Environment [93075]</t>
  </si>
  <si>
    <t>National Research Foundation/South African National Antarctic Programme project: Landscape and Climate Interactions in a Changing Sub-Antarctic Environment</t>
  </si>
  <si>
    <t>This work is undertaken as part of the National Research Foundation/South African National Antarctic Programme project: Landscape and Climate Interactions in a Changing Sub-Antarctic Environment (grant no. 93075). The South African Weather Services are acknowledged for providing data from the scientific station on Marion Island. Natalie Lubbe, Raina Hattingh and Ian Meiklejohn are thanked for discussions in the field. Stefni Bierman is thanked for her assistance in the field and continued support. Bill and Brad Fryrear are acknowledged for helpful comments on the use of the BSNE sediment traps. Valdon Smith and Nick Gremmen are thanked for helping identify the species of flora collected in the sediment traps. Finally, we would like to thank the reviewers for their valuable comments that improved the manuscript.</t>
  </si>
  <si>
    <t>10.3402/polar.v34.26365</t>
  </si>
  <si>
    <t>CY6KG</t>
  </si>
  <si>
    <t>WOS:000366517300001</t>
  </si>
  <si>
    <t>Neufeld, ADH; de Godoi, SG; Pereira, AB; Bayer, C; Schünemann, AL; Victoria, FD; de Albuquerque, MP; Camargo, E; Vieira, FCB</t>
  </si>
  <si>
    <t>Hubert Neufeld, Angela Denise; de Godoi, Stefania Guedes; Pereira, Antonio Batista; Bayer, Cimelio; Schuenemann, Adriano Luis; Victoria, Filipe de Carvalho; de Albuquerque, Margeli Pereira; Camargo, Estefania; Beber Vieira, Frederico Costa</t>
  </si>
  <si>
    <t>Methane and nitrous oxide fluxes in relation to vegetation covers and bird activity in ice-free soils of Rip Point, Nelson Island, Antarctica</t>
  </si>
  <si>
    <t>Soil greenhouse gases; seabirds; vegetal cover; maritime Antarctica</t>
  </si>
  <si>
    <t>TUNDRA WETLANDS; EMISSIONS; CLASSIFICATION; CRYOSOLS; SNOWPACK; COLONIES; CARBON; N2O</t>
  </si>
  <si>
    <t>This study aimed to quantify the nitrous oxide (N2O) and methane (CH4) fluxes at sites with different vegetation covers and where bird activity was present or absent using the static chamber method, on Rip Point, Nelson Island, maritime Antarctic. The sites were soils covered by Sanionia uncinata, lichens, Prasiola crispa, Deschampsia antarctica and bare soil. Seabirds used the P. crispa and D. antarctica sites as nesting areas. Soil mineral N contents, air and soil temperature and water-filled pore space were measured, and the content of total organic C and particulate organic C, total N, bulk density and texture were determined to identify controlling variables of the gas emissions. The N2O and CH4 flux rates were low for all sampling events. Mean N2O flux rates ranged from 0.11 +/- 1.93 up to 21.25 +/- 22.14 mu g N2O m(-2) h(-1) for the soils under lichen and P. crispa cover, respectively. For the CH4 fluxes, only the P. crispa site showed a low positive mean (0.47 +/- 3.61 mu g CH4 m(-2) h(-1)). The bare soil showed the greatest absorption of CH4 (-11.92 +/- 5.7 mu g CH 4 m(-2) h(-1)), probably favoured by the coarse soil texture. Bare soil and S. uncinata sites had N2O accumulated emissions close to zero. Net CH4 accumulated emission was observed only at the P. crispa site, which was correlated with NH4+ (p &lt; 0.001). These results indicate that seabird activity influences N2O and CH4 soil fluxes, while vegetation has little influence, and bare soil areas in maritime Antarctica could be greenhouse gas sinks.</t>
  </si>
  <si>
    <t>[Hubert Neufeld, Angela Denise; de Godoi, Stefania Guedes; Pereira, Antonio Batista; Schuenemann, Adriano Luis; Victoria, Filipe de Carvalho; de Albuquerque, Margeli Pereira; Beber Vieira, Frederico Costa] Univ Fed Pampa, Inst Nacl Ciencia &amp; Tecnol Antartico Pesquisas Am, BR-97300000 Sao Gabriel, RS, Brazil; [Bayer, Cimelio; Camargo, Estefania] Univ Fed Rio Grande do Sul, Dept Solos, BR-91540000 Porto Alegre, RS, Brazil</t>
  </si>
  <si>
    <t>Universidade Federal do Pampa; Universidade Federal do Rio Grande do Sul</t>
  </si>
  <si>
    <t>Vieira, FCB (corresponding author), Univ Fed Pampa, Inst Nacl Ciencia &amp; Tecnol Antartico Pesquisas Am, Campus Sao Gabriel,Ave Antonio Trilha,1847, BR-97300000 Sao Gabriel, RS, Brazil.</t>
  </si>
  <si>
    <t>fredericovieira@unipampa.edu.br</t>
  </si>
  <si>
    <t>Pereira, Antonio/AAD-5703-2019; Bayer, Cimélio B/O-9385-2015; Schünemann, Adriano Luis/AAN-1224-2020; Victoria, Filipe/F-6066-2013; Victoria, Filipe C/E-1890-2012; Pereira, Antonio B/I-8201-2014</t>
  </si>
  <si>
    <t>Schünemann, Adriano Luis/0000-0001-7227-7074; Victoria, Filipe/0000-0002-8580-1813; Pereira, Antonio B/0000-0003-0368-4594; Hubert Neufeld Vieira, Angela Denise/0000-0003-1114-2381</t>
  </si>
  <si>
    <t>Brazilian Antarctic Program through the Brazilian Council for Scientific and Technologic Development; Foundation of Research Support in Rio de Janeiro; Foundation of Research Support in Rio Grande do Sul; Ministry of Environment; Ministry of Science and Technology and Innovation; Interministerial Commission for the Sea Resources through the National Institute of Science and Technology-Antarctic Environmental Research</t>
  </si>
  <si>
    <t>Brazilian Antarctic Program through the Brazilian Council for Scientific and Technologic Development; Foundation of Research Support in Rio de Janeiro; Foundation of Research Support in Rio Grande do Sul; Ministry of Environment(Ministry of Environment (ME), Republic of Korea); Ministry of Science and Technology and Innovation(Ministry of Energy, Science, Technology, Environment and Climate Change (MESTECC), Malaysia); Interministerial Commission for the Sea Resources through the National Institute of Science and Technology-Antarctic Environmental Research</t>
  </si>
  <si>
    <t>This work was supported by the Brazilian Antarctic Program through the Brazilian Council for Scientific and Technologic Development, Foundation of Research Support in Rio de Janeiro, Foundation of Research Support in Rio Grande do Sul, Ministry of Environment, Ministry of Science and Technology and Innovation and the Interministerial Commission for the Sea Resources, through the National Institute of Science and Technology-Antarctic Environmental Research.</t>
  </si>
  <si>
    <t>10.3402/polar.v34.23584</t>
  </si>
  <si>
    <t>CB0UH</t>
  </si>
  <si>
    <t>WOS:000349342400001</t>
  </si>
  <si>
    <t>Kim, I; Kim, G; Choy, EJ</t>
  </si>
  <si>
    <t>Kim, Intae; Kim, Guebuem; Choy, Eun Jung</t>
  </si>
  <si>
    <t>The significant inputs of trace elements and rare earth elements from melting glaciers in Antarctic coastal waters</t>
  </si>
  <si>
    <t>Iron; trace elements; rare earth elements; glacier melting; Antarctica; Marian Cove</t>
  </si>
  <si>
    <t>SOUTHERN-OCEAN; WEDDELL SEA; ROSS SEA; PHYTOPLANKTON GROWTH; CIRCUMPOLAR CURRENT; EAST ANTARCTICA; HEAVY-METALS; ICE SHELVES; PINE ISLAND; MAXWELL BAY</t>
  </si>
  <si>
    <t>To evaluate the impact of modern glacier melting on the chemical enrichment of Antarctic coastal waters, we measured trace elements, including dissolved iron (Fe) and rare earth elements (REEs), together with dissolved inorganic nitrogen, phosphorous, silicate and dissolved organic carbon (DOC) in ice, snow and coastal seawater of Marian Cove in the northernmost part of Antarctica (62 degrees S). There was an increase in the concentrations of Fe and other trace elements (Al, Mn, Cr, Ni, Co, Pb and REEs) between the bay mouth and the glacier valleys. Good correlations between salinity and these chemical elements indicate that the trend was mainly due to the influence of glacier meltwater (GMW). When the effect of GMW was quantified based on plots of its presence (average 5.7%) in the surface water of the cove, the concentrations of trace elements in seawater increased 18-fold for Fe, eight- to 10-fold for Al and Mn and up to four-fold for Cr, Ni, Co, Pb and REEs by GMW. However, the contribution of GMW to inorganic nutrients and DOC was negligible. The significance of GMW-borne REE contribution in this cove was further evidenced by middle REE enrichment in cove water. Our results suggest that the currently increasing glacier melting in Antarctica has a significant influence on the level of trace elements, particularly Fe, in cove water, which in turn may have a significant impact on the biogeochemistry of coastal seawater in Antarctica.</t>
  </si>
  <si>
    <t>[Kim, Intae; Kim, Guebuem; Choy, Eun Jung] Korea Polar Res Inst, Div Polar Ocean Environm, Inchon 406840, South Korea; [Kim, Intae; Kim, Guebuem] Seoul Natl Univ, Sch Earth &amp; Environm Sci RIO, Seoul 151747, South Korea</t>
  </si>
  <si>
    <t>Korea Institute of Ocean Science &amp; Technology (KIOST); Korea Polar Research Institute (KOPRI); Seoul National University (SNU)</t>
  </si>
  <si>
    <t>Kim, G (corresponding author), Korea Polar Res Inst, Div Polar Ocean Environm, Inchon 406840, South Korea.</t>
  </si>
  <si>
    <t>gkim@snu.ac.kr</t>
  </si>
  <si>
    <t>Kim, Guebuem/B-3636-2014</t>
  </si>
  <si>
    <t>National Research Foundation of Korea - Korean government [NRF-2013R1A2A1A05004343]; Korea Polar Research Institute [PE14150]; BK21</t>
  </si>
  <si>
    <t>National Research Foundation of Korea - Korean government(National Research Foundation of KoreaKorean Government); Korea Polar Research Institute(Korea Polar Research Institute of Marine Research Placement (KOPRI)); BK21(Ministry of Education &amp; Human Resources Development (MOEHRD), Republic of Korea)</t>
  </si>
  <si>
    <t>We are grateful to three anonymous reviewers for providing insightful comments and suggestions that improved this manuscript. We also thank all workers at the Korea Polar Research Institute and the Korean Antarctic research base, King Sejong, who helped with field work and sampling. This work was supported by a National Research Foundation of Korea grant funded by the Korean government (NRF-2013R1A2A1A05004343) and a grant from the Korea Polar Research Institute for the project titled Impacts of Ocean acidification on Calcifying Organisms in the Antarctic Marine Ecosystem (PE14150). IK was supported by scholarships from BK21.</t>
  </si>
  <si>
    <t>10.3402/polar.v34.24289</t>
  </si>
  <si>
    <t>CH5UO</t>
  </si>
  <si>
    <t>WOS:000354101000001</t>
  </si>
  <si>
    <t>Marín-Moreno, H; Giustiniani, M; Tinivella, U</t>
  </si>
  <si>
    <t>Marin-Moreno, Hector; Giustiniani, Michela; Tinivella, Umberta</t>
  </si>
  <si>
    <t>The potential response of the hydrate reservoir in the South Shetland Margin, Antarctic Peninsula, to ocean warming over the 21st century</t>
  </si>
  <si>
    <t>Hydrate; ocean warming; methane emissions; transient modelling; South Shetland Margin; Antarctic Peninsula</t>
  </si>
  <si>
    <t>GAS HYDRATE; MARINE-SEDIMENTS; METHANE HYDRATE; CONTINENTAL-MARGIN; THEORETICAL APPROACH; BIOGENIC SILICA; WEST SVALBARD; STABILITY; CLIMATE; SEA</t>
  </si>
  <si>
    <t>In the South Shetland Margin (SSM), Antarctic Peninsula, a bottom-simulating reflector indicates the presence of hydrate between ca. 500 and 3000 m water depth (mwd). The cold seabed temperatures allow hydrate stability at shallower water depths. During the past five decades, the Antarctic Peninsula has been warming up faster than any other part of the Southern Hemisphere, and long-term ocean warming could affect the stability of the SSM hydrate reservoir at shallow waters. Here, we model the transient response of the SSM hydrate reservoir between 375 and 450 mwd to ocean warming for the period 1958-2100. For the period 1958-2010, seabed temperatures are given by oceanographic measurements in the area, and for 2010-2100 by two temperature scenarios represented by the observed trends for the periods 1960-2010 (0.0034 degrees C y(-1)) and 1980-2010 (0.023 degrees C y(-1)). Our results show no hydrate-sourced methane emissions for an ocean warming rate at the seabed of 0.0034 degrees Cy-1. For a rate of 0.023 degrees Cy-1, emissions start in 2028 at 375 mwd and extend to 442 mwd at an average rate of about 0.91 mwd y(-1), releasing ca. 1.13 x 10(3) mol y(-1) of methane per metre along the margin by 2100. These emissions originate from dissociation at the top of the hydrate layer, a physical process that steady-state modelling cannot represent. Our results are speculative on account of the lack of direct evidence of a shallow water hydrate reservoir, but they illustrate that the SSM is a key area to observe the effects of ocean warming-induced hydrate dissociation in the coming decades.</t>
  </si>
  <si>
    <t>[Marin-Moreno, Hector; Giustiniani, Michela; Tinivella, Umberta] Natl Inst Expt Oceanog &amp; Geophys, IT-34010 Trieste, Italy</t>
  </si>
  <si>
    <t>Marín-Moreno, H (corresponding author), Natl Oceanog Ctr, European Way, Southampton SO14 3ZH, Hants, England.</t>
  </si>
  <si>
    <t>hector.marin.moreno@noc.ac.uk</t>
  </si>
  <si>
    <t>Tinivella, Umberta/AAF-3133-2020</t>
  </si>
  <si>
    <t>Tinivella, Umberta/0000-0002-1588-6452; Marin-Moreno, Hector/0000-0002-3412-1359; Giustiniani, Michela/0000-0002-1620-4599</t>
  </si>
  <si>
    <t>TALENTS FVG Programme-Activity 1-Incoming Mobility Scheme-European Social Fund, Operational Programme, Objective 2 Regional Competitiveness and Employment, Axis 5 Transnational cooperation; Ministry of Education, Universities and Research; NERC [noc010011] Funding Source: UKRI; Natural Environment Research Council [noc010011] Funding Source: researchfish</t>
  </si>
  <si>
    <t>TALENTS FVG Programme-Activity 1-Incoming Mobility Scheme-European Social Fund, Operational Programme, Objective 2 Regional Competitiveness and Employment, Axis 5 Transnational cooperation; Ministry of Education, Universities and Research(Ministry of Education, Universities and Research (MIUR)); NERC(UK Research &amp; Innovation (UKRI)Natural Environment Research Council (NERC)); Natural Environment Research Council(UK Research &amp; Innovation (UKRI)Natural Environment Research Council (NERC))</t>
  </si>
  <si>
    <t>This work was partly supported by the TALENTS FVG Programme-Activity 1-Incoming Mobility Scheme-European Social Fund, Operational Programme 2007-2013, Objective 2 Regional Competitiveness and Employment, Axis 5 Transnational cooperation. This work was also partially supported by the Ministry of Education, Universities and Research under the grant for Italian participation in the activities related to the international infrastructure Partnership for Advanced Computing in Europe. We thank the National Oceanic and Atmospheric Administration National Oceanographic Data Center (www.nodc.noaa.gov/cgi-bin/OC5/WOA09/woa09.pl) for making available the ocean temperature data, the International Bathymetric Chart of the Southern Ocean project (www.ibcso.org/data.html) for the bathymetric data and the Global Heat Flow Database of the International Heat Flow Commission (www.heatflow.und.edu/index2.html) for the thermal conductivity data. We also thank Luis Somoza and an anonymous reviewer for their constructive comments.</t>
  </si>
  <si>
    <t>10.3402/polar.v34.27443</t>
  </si>
  <si>
    <t>CY6KJ</t>
  </si>
  <si>
    <t>WOS:000366517600001</t>
  </si>
  <si>
    <t>Zmudczynska-Skarbek, K; Zwolicki, A; Convey, P; Barcikowski, M; Stempniewicz, L</t>
  </si>
  <si>
    <t>Zmudczynska-Skarbek, Katarzyna; Zwolicki, Adrian; Convey, Peter; Barcikowski, Mateusz; Stempniewicz, Lech</t>
  </si>
  <si>
    <t>Is ornithogenic fertilization important for collembolan communities in Arctic terrestrial ecosystems?</t>
  </si>
  <si>
    <t>Springtails; seabirds; ornithogenic tundra; Spitsbergen; Bear Island; multivariate analyses</t>
  </si>
  <si>
    <t>SOIL MICROARTHROPOD ASSEMBLAGES; MOSS-TURF HABITAT; ARTHROPOD COMMUNITIES; CLIMATE-CHANGE; BIOTIC INTERACTIONS; FALKLAND ISLANDS; PLANT; SEABIRDS; SPITSBERGEN; VEGETATION</t>
  </si>
  <si>
    <t>In the Arctic, areas close to seabird colonies are often characterized by exceptionally rich vegetation communities linked with the high nutrient subsidies transported by seabirds from the marine environment to the land. These areas also support soil invertebrate communities of which springtails (Collembola) often represent the most abundant and diverse group. Our study focused on springtail community composition in the vicinity of seabird (little auk, great skua and glaucous gull) nesting areas in different parts of Svalbard (Magdalenefjorden, Isfjorden and Bjornoya), and on their comparison with adjacent areas not impacted by seabirds. Out of a total of 35 springtail species recorded, seven were found only within the ornithogenically influenced sites. Although geographical location was the strongest factor differentiating these springtail communities, ornithogenic influence was also significant regardless of the location. When each location was considered separately, seabirds were responsible for a relatively small but strongly significant proportion (8.6, 5.2 and 3.9%, respectively, for each site) of total springtail community variability. Species whose occurrence was positively correlated with seabird presence were Folsomia coeruleogrisea, Friesea quinquespinosa, Lepidocyrtus lignorum and Oligaphorura groenlandica near Magdalenefjorden, Arrhopalites principalis, Folsomia bisetosella and Protaphorura macfadyeni in Isfjorden, and Folsomia quadrioculata on Bjornoya.</t>
  </si>
  <si>
    <t>[Zmudczynska-Skarbek, Katarzyna; Zwolicki, Adrian; Barcikowski, Mateusz; Stempniewicz, Lech] Univ Gdansk, Dept Vertebrate Ecol &amp; Zool, PL-80308 Gdansk, Poland; [Convey, Peter] British Antarctic Survey, Nat Environm Res Council, Cambridge CB3 0ET, England</t>
  </si>
  <si>
    <t>Fahrenheit Universities; University of Gdansk; UK Research &amp; Innovation (UKRI); Natural Environment Research Council (NERC); NERC British Antarctic Survey</t>
  </si>
  <si>
    <t>Zmudczynska-Skarbek, K (corresponding author), Univ Gdansk, Dept Vertebrate Ecol &amp; Zool, Wita Stwosza 59, PL-80308 Gdansk, Poland.</t>
  </si>
  <si>
    <t>biozmud@ug.gda.pl</t>
  </si>
  <si>
    <t>Convey, Peter/AAV-5728-2020; Stempniewicz, Lech/JAN-4833-2023; Zmudczynska-Skarbek, Katarzyna/HNP-0022-2023</t>
  </si>
  <si>
    <t>Convey, Peter/0000-0001-8497-9903; Stempniewicz, Lech/0000-0001-9405-7320;</t>
  </si>
  <si>
    <t>Polish Ministry of Science and Higher Education [1883/P01/2007/32, IPY/25/2007]; Polish-Norwegian Research Fund [PNRF-234-AI-1/07]; Faculty of Biology, University of Gdansk [538-L120-0816-12]; Mary AMP; Clifford Corbridge Trust, Cambridge, UK; NERC [bas0100036] Funding Source: UKRI; Natural Environment Research Council [bas0100036] Funding Source: researchfish</t>
  </si>
  <si>
    <t>Polish Ministry of Science and Higher Education(Ministry of Science and Higher Education, Poland); Polish-Norwegian Research Fund; Faculty of Biology, University of Gdansk; Mary AMP; Clifford Corbridge Trust, Cambridge, UK; NERC(UK Research &amp; Innovation (UKRI)Natural Environment Research Council (NERC)); Natural Environment Research Council(UK Research &amp; Innovation (UKRI)Natural Environment Research Council (NERC))</t>
  </si>
  <si>
    <t>We thank Arne Fjellberg for taxonomic examination of the Collembola samples, Dorota Kidawa and Lech Iliszko for assistance in data collection and laboratory analyses during the Bjornoya and Magdalenefjorden expeditions (respectively), and the University Centre in Svalbard and its staff, particularly Steve Coulson, for facilitating laboratory access during our work in Isfjorden. This study was supported by the Polish Ministry of Science and Higher Education (grant nos. 1883/P01/2007/32 and IPY/25/2007), the Polish-Norwegian Research Fund (PNRF-234-AI-1/07), the Faculty of Biology, University of Gdansk (538-L120-0816-12), and the Mary &amp; Clifford Corbridge Trust, Cambridge, UK. The study was performed under permit from the Governor of Svalbard.</t>
  </si>
  <si>
    <t>10.3402/polar.v34.25629</t>
  </si>
  <si>
    <t>CM7KE</t>
  </si>
  <si>
    <t>WOS:000357870000001</t>
  </si>
  <si>
    <t>Guan, HY; Hui, ZH</t>
  </si>
  <si>
    <t>Chang, L; Guiran, C; Zhen, L</t>
  </si>
  <si>
    <t>Guan Hongyun; Zhang Hui</t>
  </si>
  <si>
    <t>Research on The Debris Flow Monitoring System Based on Infrasonic Wave</t>
  </si>
  <si>
    <t>PROCEEDINGS OF THE 2015 INTERNATIONAL CONFERENCE ON MECHATRONICS, ELECTRONIC, INDUSTRIAL AND CONTROL ENGINEERING</t>
  </si>
  <si>
    <t>AER-Advances in Engineering Research</t>
  </si>
  <si>
    <t>International Conference on Mechatronics, Electronic, Industrial and Control Engineering (MEIC)</t>
  </si>
  <si>
    <t>APR 01-03, 2015</t>
  </si>
  <si>
    <t>Shenyang, PEOPLES R CHINA</t>
  </si>
  <si>
    <t>debris flow; HHT; infrasonic wave sensor; data acquisition card; monitoring</t>
  </si>
  <si>
    <t>Debris-prone areas are widely distributed worldwide, all continents except Antarctic have been harmed by debris flow. Debris flow normally outbreaks all of a sudden, sweeps along fast accompanying with other disasters like landslides, flood and collapse. It has huge destructive power, making severe threats to water conservancy and hydropower, mines, traffic in mountain areas and other engineering facilities as well as local people's lives, property and safety. This task makes an in-depth research on theory of infrasonic wave produced when debris flow occurs. Infrasonic signal collected in the experiment has been transformed with Hilbert-Hang (HHT) which is good at analysis and processing of nonlinear and unstable signals. This system enables to transform debris flow's infrasonic signal collected with infrasonic wave sensor to digital signals by data acquisition card and send it to computer, and then analyze and process such signal using digital signal processing methods in combination of characteristics of infrasonic signal. This research makes an efficient separation of infrasonic signals which are produced by debris flow and environment noises. So in this way, a debris flow monitoring system can be designed based on infrasonic wave.</t>
  </si>
  <si>
    <t>[Guan Hongyun; Zhang Hui] Donghua Univ, Coll Informat Sci &amp; Technol, Shanghai, Peoples R China</t>
  </si>
  <si>
    <t>Donghua University</t>
  </si>
  <si>
    <t>Guan, HY (corresponding author), Donghua Univ, Coll Informat Sci &amp; Technol, Shanghai, Peoples R China.</t>
  </si>
  <si>
    <t>hyguan@dhu.edu.cn; 649242230@qq.com</t>
  </si>
  <si>
    <t>Hui, Zhang/JWQ-0400-2024; Hui, Zhang/AAJ-4412-2021; Hui, Zhang/AAU-6152-2021</t>
  </si>
  <si>
    <t>Hui, Zhang/0000-0001-5600-4105; Hui, Zhang/0000-0003-3845-3198</t>
  </si>
  <si>
    <t>ATLANTIS PRESS</t>
  </si>
  <si>
    <t>PARIS</t>
  </si>
  <si>
    <t>29 AVENUE LAVMIERE, PARIS, 75019, FRANCE</t>
  </si>
  <si>
    <t>2352-5401</t>
  </si>
  <si>
    <t>978-94-62520-62-2</t>
  </si>
  <si>
    <t>AER ADV ENG RES</t>
  </si>
  <si>
    <t>Engineering, Multidisciplinary; Engineering, Manufacturing; Engineering, Electrical &amp; Electronic; Engineering, Mechanical</t>
  </si>
  <si>
    <t>Engineering</t>
  </si>
  <si>
    <t>BD3BN</t>
  </si>
  <si>
    <t>WOS:000359443600120</t>
  </si>
  <si>
    <t>Segade, LIC; Gilcoto, M; Mercier, H; Pérez, FF</t>
  </si>
  <si>
    <t>Carracedo Segade, Lidia Isabel; Gilcoto, Miguel; Mercier, Herle; Fernandez Perez, Fiz</t>
  </si>
  <si>
    <t>Quasi-synoptic transport, budgets and water mass transformation in the Azores-Gibraltar Strait region during summer 2009</t>
  </si>
  <si>
    <t>EASTERN NORTH-ATLANTIC; BOUNDARY CURRENT SYSTEM; ANTARCTIC INTERMEDIATE WATER; MEDITERRANEAN WATER; GENERAL-CIRCULATION; CANARY-ISLANDS; INVERSE MODEL; IBERIAN BASIN; NW SPAIN; OCEAN</t>
  </si>
  <si>
    <t>We describe the circulation patterns in the Azores-Gibraltar Strait region (North-Eastern Atlantic) during the 2009 CAIBOX cruise on the basis of hydrographic and direct current velocity measurements. This study offers new data for a region where importation of central waters (subpolar and subtropical modes of Eastern North Atlantic Central Water) and exports of Mediterranean Water are strongly related to large-scale dynamics in the North Atlantic Ocean (Azores Current-Mediterranean Water system). The description is backed up quantitatively by the results of a box inverse model, which was used to obtain absolute water mass transport values consistent with thermal wind equations and with conservation of volume, salt and heat. The contributions of water masses were determined in an extended Optimum Multiparameter Analysis from a quasi-synoptic point of view, providing detail in addition to volume, salt and heat transport. The surface-subsurface large-scale current system in the region consists of the Azores Current (13.1 +/- 2.5 Sverdrup [Sv], 1 Sv = 10(6) m(3) s(-1)), the Azores Counter-Current (5.2 +/- 2.1 Sv), the Portugal Current (4.5 +/- 1.4 Sv) and the Canary Current (7.1 +/- 1.1 Sv). Broadly speaking, central waters are imported into the CAIBOX region at a rate of 1.6 +/- 0.9 Sv, and Mediterranean Water is exported at a rate of 1.5 +/- 0.4 Sv. The downwelling of central waters west of Gibraltar Strait was quantified at 1.1 Sv. Not all this volume participates in MW formation, but 0.8 Sv of entrained central waters; of which 0.5 Sv are from central waters of subpolar origin and 0.3 Sv from subtropical central waters. Of the 4.9 Sv of subtropical central waters advected by the Azores Current, about 0.7 Sv would reach the Gulf of Cadiz region either to take part in central water entrainment or to flow across the Gibraltar Strait as part of the Atlantic inflow to the Mediterranean Sea. (C) 2014 Elsevier Ltd. All rights reserved.</t>
  </si>
  <si>
    <t>[Carracedo Segade, Lidia Isabel; Gilcoto, Miguel; Fernandez Perez, Fiz] CSIC, IIM, Marine Res Inst, Vigo 36208, Spain; [Mercier, Herle] CNRS, Ctr Brest, Inst Francais Rech Exploitat Mer IFREMER, Lab Phys Oceans, Plouzane, France</t>
  </si>
  <si>
    <t>Consejo Superior de Investigaciones Cientificas (CSIC); CSIC - Instituto de Investigaciones Marinas (IIM); Universite de Bretagne Occidentale; Centre National de la Recherche Scientifique (CNRS); Ifremer; Institut de Recherche pour le Developpement (IRD)</t>
  </si>
  <si>
    <t>Segade, LIC (corresponding author), CSIC, IIM, Marine Res Inst, Eduardo Cabello 6, Vigo 36208, Spain.</t>
  </si>
  <si>
    <t>Icarracedo@iim.csic.es; migil@iim.csic.es; Herle.Mercier@ifremer.fr; fiz.perez@iim.csic.es</t>
  </si>
  <si>
    <t>Fernandez Perez, Fiz/B-9001-2011; Carracedo, Lidia/AAT-5505-2021; Gil Coto, Miguel/B-4120-2015; MERCIER, Herle/L-4161-2015</t>
  </si>
  <si>
    <t>Fernandez Perez, Fiz/0000-0003-4836-8974; Carracedo, Lidia/0000-0003-3316-7651; Gil Coto, Miguel/0000-0003-3025-4258; MERCIER, Herle/0000-0002-1940-617X</t>
  </si>
  <si>
    <t>Spanish Council of Education and Science [CTM2007-66408-C02/MAR]; CAIBEX Project [CTM2007-66408-C02/MAR]; Spanish Council of Education and Science; Formation National Programme of Human Resources; Spanish Council of Education; Spanish Research Council [EU FP CARBOCHANGE, C_ENVIR/0869]</t>
  </si>
  <si>
    <t>Spanish Council of Education and Science; CAIBEX Project; Spanish Council of Education and Science; Formation National Programme of Human Resources; Spanish Council of Education; Spanish Research Council</t>
  </si>
  <si>
    <t>This work is part of the CAIBEX Project: Shelf-ocean exchanges in the Canaries-Iberia large marine ecosystem (CTM2007-66408-C02/MAR), supported by the Spanish Council of Education and Science. The authors thank the cruise participants, both the Sarmiento de Gamboa crew and the scientific and technical team, for their indispensable help, to X.A. Alvarez-Salgado and V. Vieitez dos Santos for providing the nutrient data and to N. Fajar for the O2 data. Thank you very much in particular to Ms Elisabeth Heseltine for her valuable help with the English review. Finally, we thank the editor and the two anonymous reviewers for their helpful comments and suggestions, which greatly improved the original manuscript. The first author, L.I.C., was first funded by a predoctoral fellowship FPU from the Formation National Programme of Human Resources, within the framework of the National Plan for Scientific Investigation, Development and Technological Innovation 2008-2011, from the Spanish Council of Education, and now is funded by the Spanish Research Council, through the 7th Framework Program (EU FP CARBOCHANGE, C_ENVIR/0869).</t>
  </si>
  <si>
    <t>10.1016/j.pocean.2014.09.006</t>
  </si>
  <si>
    <t>Green Published, Green Submitted, Green Accepted</t>
  </si>
  <si>
    <t>WOS:000349059800004</t>
  </si>
  <si>
    <t>McCarthy, GD; Smeed, DA; Johns, WE; Frajka-Williams, E; Moat, BI; Rayner, D; Baringer, MO; Meinen, CS; Collins, J; Bryden, HL</t>
  </si>
  <si>
    <t>McCarthy, G. D.; Smeed, D. A.; Johns, W. E.; Frajka-Williams, E.; Moat, B. I.; Rayner, D.; Baringer, M. O.; Meinen, C. S.; Collins, J.; Bryden, H. L.</t>
  </si>
  <si>
    <t>Measuring the Atlantic Meridional Overturning Circulation at 26°N</t>
  </si>
  <si>
    <t>WESTERN BOUNDARY CURRENT; POLEWARD HEAT-TRANSPORT; TROPICAL NORTH-ATLANTIC; FLORIDA CURRENT; GULF-STREAM; VARIABILITY; OCEAN; CURRENTS; MOC; 26.5-DEGREES-N</t>
  </si>
  <si>
    <t>The Atlantic Meridional Overturning Circulation (AMOC) plays a key role in the global climate system through its redistribution of heat. Changes in the AMOC have been associated with large fluctuations in the earth's climate in the past and projections of AMOC decline in the future due to climate change motivate the continuous monitoring of the circulation. Since 2004, the RAPID monitoring array has been providing continuous estimates of the AMOC and associated heat transport at 26 degrees N in the North Atlantic. We describe how these measurements are made including the sampling strategy, the accuracies of parameters measured and the calculation of the AMOC. The strength of the AMOC and meridional heat transport are estimated as 17.2 Sv and 1.25 PW respectively from April 2004 to October 2012. The accuracy of ten day (annual) transports is 1.5 Sv (0.9 Sv). Improvements to the estimation of the transport above the shallowest instruments and deepest transports (including Antarctic Bottom Water), and the use of the new equation of state for seawater have reduced the estimated strength of the AMOC by 0.6 Sv relative to previous publications. As new basinwide AMOC monitoring projects begin in the South Atlantic and sub-polar North Atlantic, we present this thorough review of the methods and measurements of the original AMOC monitoring array. Crown Copyright (C) 2014 Published by Elsevier Ltd. All rights reserved.</t>
  </si>
  <si>
    <t>[McCarthy, G. D.; Smeed, D. A.; Moat, B. I.; Rayner, D.] Natl Oceanog Ctr, Southampton SO14 3ZH, Hants, England; [Johns, W. E.] Univ Miami, Rosentiel Sch Marine &amp; Atmospher Sci, Miami, FL USA; [Frajka-Williams, E.; Bryden, H. L.] Univ Southampton, Natl Oceanog Ctr, Southampton SO14 3ZH, Hants, England; [Baringer, M. O.; Meinen, C. S.] PHOD, Atlantic Oceanog &amp; Meteorol Lab, Miami, FL 33149 USA; [Collins, J.] Natl Oceanog Ctr, British Oceanog Data Ctr, Southampton SO14 3ZH, Hants, England</t>
  </si>
  <si>
    <t>NERC National Oceanography Centre; University of Miami; University of Southampton; NERC National Oceanography Centre; National Oceanic Atmospheric Admin (NOAA) - USA; Atlantic Oceanographic &amp; Meteorological Laboratory (AOML); NERC National Oceanography Centre</t>
  </si>
  <si>
    <t>McCarthy, GD (corresponding author), Natl Oceanog Ctr, European Way, Southampton SO14 3ZH, Hants, England.</t>
  </si>
  <si>
    <t>gerard.mccarthy@noc.ac.uk</t>
  </si>
  <si>
    <t>Moat, Ben/IAM-1637-2023; Smeed, David/B-4726-2012; Baringer, Molly O/D-2277-2012; Frajka-Williams, Eleanor/H-2415-2011; McCarthy, Gerard D/L-1954-2013; Meinen, Christopher/G-1902-2012</t>
  </si>
  <si>
    <t>Moat, Ben/0000-0001-8676-7779; Smeed, David/0000-0003-1740-1778; Frajka-Williams, Eleanor/0000-0001-8773-7838; Meinen, Christopher/0000-0002-8846-6002; McCarthy, Gerard Daniel/0000-0002-2363-0561; Bryden, Harry/0000-0002-8216-6359</t>
  </si>
  <si>
    <t>UK Natural Environment Research Council (NERC) RAPID-WATCH program; US National Science Foundation (NSF) Meridional Overturning Circulation Heat-flux Array project; US National Oceanographic and Atmospheric Administration (NOAA) Western Boundary Time Series project; Directorate For Geosciences; Division Of Ocean Sciences [1332978] Funding Source: National Science Foundation; Natural Environment Research Council [noc010012] Funding Source: researchfish</t>
  </si>
  <si>
    <t>UK Natural Environment Research Council (NERC) RAPID-WATCH program(UK Research &amp; Innovation (UKRI)Natural Environment Research Council (NERC)); US National Science Foundation (NSF) Meridional Overturning Circulation Heat-flux Array project(National Science Foundation (NSF)); US National Oceanographic and Atmospheric Administration (NOAA) Western Boundary Time Series project; Directorate For Geosciences; Division Of Ocean Sciences(National Science Foundation (NSF)NSF - Directorate for Geosciences (GEO)); Natural Environment Research Council(UK Research &amp; Innovation (UKRI)Natural Environment Research Council (NERC))</t>
  </si>
  <si>
    <t>The RAPID/MOCHA/WBTS array is a collaborative effort supported through the UK Natural Environment Research Council (NERC) RAPID-WATCH program, the US National Science Foundation (NSF) Meridional Overturning Circulation Heat-flux Array project, and the US National Oceanographic and Atmospheric Administration (NOAA) Western Boundary Time Series project. AMOC transport estimates including error estimates are freely available from www.rapid.ac.uk/rapidmoc. Florida Current transports estimates are available from www.aoml.noaa.gov/phod/floridacurrent. MHT estimates can be found online at http:// www.rsmas.miami.edu/users/mocha.</t>
  </si>
  <si>
    <t>1873-4472</t>
  </si>
  <si>
    <t>10.1016/j.pocean.2014.10.006</t>
  </si>
  <si>
    <t>WOS:000349059800007</t>
  </si>
  <si>
    <t>Turner, JT</t>
  </si>
  <si>
    <t>Turner, Jefferson T.</t>
  </si>
  <si>
    <t>Zooplankton fecal pellets, marine snow, phytodetritus and the ocean's biological pump</t>
  </si>
  <si>
    <t>PARTICULATE ORGANIC-CARBON; TRANSPARENT EXOPOLYMER PARTICLES; ATLANTIC TIME-SERIES; PACIFIC SUBTROPICAL GYRE; LATE-WINTER STORMS; MARGINAL ICE-ZONE; ABYSSAL NORTHEAST PACIFIC; WESTERN BRANSFIELD STRAIT; ANTARCTIC POLAR FRONT; DEEP SARGASSO SEA</t>
  </si>
  <si>
    <t>The biological pump is the process by which photosynthetically-produced organic matter in the ocean descends from the surface layer to depth by a combination of sinking particles, advection or vertical mixing of dissolved organic matter, and transport by animals. Particulate organic matter that is exported downward from the euphotic zone is composed of combinations of fecal pellets from zooplankton and fish, organic aggregates known as marine snow and phytodetritus from sinking phytoplankton. Previous reviews by Turner and Ferrante (1979) and Turner (2002) focused on publications that appeared through late 2001. Since that time, studies of the biological pump have continued, and there have been &gt;300 papers on vertical export flux using sediment traps, large-volume filtration systems and other techniques from throughout the global ocean. This review will focus primarily on recent studies that have appeared since 2001. Major topics covered in this review are (1) an overview of the biological pump, and its efficiency and variability, and the role of dissolved organic carbon in the biological pump; (2) zooplankton fecal pellets, including the contribution of zooplankton fecal pellets to export flux, epipelagic retention of zooplankton fecal pellets due to zooplankton activities, zooplankton vertical migration and fecal pellet repackaging, microbial ecology of fecal pellets, sinking velocities of fecal pellets and aggregates, ballasting of sinking particles by mineral contents, phytoplankton cysts, intact cells and harmful algae toxins in fecal pellets, importance of fecal pellets from various types of zooplankton, and the role of zooplankton fecal pellets in picoplankton export; (3) marine snow, including the origins, abundance, and distributions of marine snow, particles and organisms associated with marine snow, consumption and fragmentation of marine snow by animals, pathogens associated with marine snow; (4) phytodetritus, including pulsed export of phytodetritus, phytodetritus from Phaeocystis spp., picoplankton in phytodetritus, the summer export pulse (SEP) of phytodetritus in the subtropical North Pacific, benthic community responses to phytodetritus; (5) other components of the biological pump, including fish fecal pellets and fish-mediated export, sinking carcasses of animals and macrophytes, feces from marine mammals, transparent exopolymer particles (TEP); (6) the biological pump and climate, including origins of the biological pump, the biological pump and glacial/interglacial cycles, the biological pump and contemporary climate variations, and the biological pump and anthropogenic climate change. The review concludes with potential future modifications in the biological pump due to climate change. (C) 2014 Elsevier Ltd. All rights reserved.</t>
  </si>
  <si>
    <t>[Turner, Jefferson T.] Univ Massachusetts Dartmouth, Dept Biol, N Dartmouth, MA 02747 USA; [Turner, Jefferson T.] Univ Massachusetts Dartmouth, Sch Marine Sci &amp; Technol, New Bedford, MA 02744 USA</t>
  </si>
  <si>
    <t>University of Massachusetts System; University Massachusetts Dartmouth; University of Massachusetts System; University Massachusetts Dartmouth</t>
  </si>
  <si>
    <t>Turner, JT (corresponding author), Univ Massachusetts Dartmouth, Dept Biol, 285 Old Westport Rd, N Dartmouth, MA 02747 USA.</t>
  </si>
  <si>
    <t>jturner@umassd.edu</t>
  </si>
  <si>
    <t>10.1016/j.pocean.2014.08.005</t>
  </si>
  <si>
    <t>WOS:000349059800014</t>
  </si>
  <si>
    <t>Dutton, A; Webster, JM; Zwartz, D; Lambeck, K; Wohlfarth, B</t>
  </si>
  <si>
    <t>Dutton, Andrea; Webster, Jody M.; Zwartz, Dan; Lambeck, Kurt; Wohlfarth, Barbara</t>
  </si>
  <si>
    <t>Tropical tales of polar ice: evidence of Last Interglacial polar ice sheet retreat recorded by fossil reefs of the granitic Seychelles islands</t>
  </si>
  <si>
    <t>Sea level; U-Th; MIS 5e; Coral; Seychelles</t>
  </si>
  <si>
    <t>SEA-LEVEL RISE; PROBABILISTIC ASSESSMENT; DYNAMIC TOPOGRAPHY; LATE PLEISTOCENE; GREENLAND; COLLAPSE; CONSTRAINTS; SERIES; DISCHARGE; HOLOCENE</t>
  </si>
  <si>
    <t>In the search for a record of eustatic sea level change on glacial-interglacial timescales, the Seychelles ranks as one of the best places on the planet to study. Owing to its location with respect to the former margins of Northern Hemisphere ice sheets that wax and wane on orbital cycles, the local-or relative-sea level history is predicted to lie within a few meters of the globally averaged eustatic signal during the Last Interglacial period. We have surveyed and dated Last Interglacial fossil corals to ascertain peak sea level and hence infer maximum retreat of polar ice sheets during this time interval. We observe a pattern of gradually rising sea level in the Seychelles between similar to 129 and 125 thousand years ago (ka), with peak eustatic sea level attained after 125 ka at 7.6 +/- 1.7 m higher than present. After accounting for thermal expansion and loss of mountain glaciers, this sea-level budget would require similar to 5-8 m of polar ice sheet contribution, relative to today's volume, of which only similar to 2 m came from the Greenland ice sheet. This result clearly identifies the Antarctic ice sheet as a significant source of melt water, most likely derived from one of the unstable, marine-based sectors in the West and/or East Antarctic ice sheet. Furthermore, the establishment of a +5.9 +/- 1.7 m eustatic sea level position by 128.6 +/- 0.8 ka would require that partial AIS collapse was coincident with the onset of the sea level highstand. (C) 2014 Elsevier Ltd. All rights reserved.</t>
  </si>
  <si>
    <t>[Dutton, Andrea] Univ Florida, Dept Geol Sci, Gainesville, FL 32611 USA; [Dutton, Andrea; Lambeck, Kurt] Australian Natl Univ, Res Sch Earth Sci, Canberra, ACT, Australia; [Webster, Jody M.] Univ Sydney, Sch Geosci, Geocoastal Res Grp, Sydney, NSW 2006, Australia; [Zwartz, Dan] Victoria Univ Wellington, Antarctic Res Ctr, Wellington, New Zealand; [Wohlfarth, Barbara] Stockholm Univ, Dept Geol Sci, S-10691 Stockholm, Sweden</t>
  </si>
  <si>
    <t>State University System of Florida; University of Florida; Australian National University; University of Sydney; Victoria University Wellington; Stockholm University</t>
  </si>
  <si>
    <t>Dutton, A (corresponding author), Univ Florida, Dept Geol Sci, Gainesville, FL 32611 USA.</t>
  </si>
  <si>
    <t>adutton@ufl.edu</t>
  </si>
  <si>
    <t>Dutton, Andrea/A-2506-2008</t>
  </si>
  <si>
    <t>Dutton, Andrea/0000-0002-3836-119X</t>
  </si>
  <si>
    <t>Australian Research Council (ARC) [DP0773019]; National Science Foundation [1155495]; Fondazione Internazionale Balzan; Australian Research Council [DP0773019] Funding Source: Australian Research Council; Directorate For Geosciences; Division Of Ocean Sciences [1155495] Funding Source: National Science Foundation</t>
  </si>
  <si>
    <t>Australian Research Council (ARC)(Australian Research Council); National Science Foundation(National Science Foundation (NSF)); Fondazione Internazionale Balzan; Australian Research Council(Australian Research Council); Directorate For Geosciences; Division Of Ocean Sciences(National Science Foundation (NSF)NSF - Directorate for Geosciences (GEO))</t>
  </si>
  <si>
    <t>We thank citizens and authorities in the Seychelles who facilitated our fieldwork, including P. Samson at PetroSeychelles, the Seychelles National Parks Authority, the Ministry of Environment and Energy, and the Seychelles Bureau of Standards. We also thank G. Mortimer, K. Holland, and M. Pfahl for assisting in sample preparation and analysis, and R Woodworth, P. Caldwell, and S. Woodroffe for discussions on tidal data. This work was supported by the Australian Research Council (ARC DP0773019 to K.L.) and the National Science Foundation (Award #1155495 to A.D.) and the Fondazione Internazionale Balzan.</t>
  </si>
  <si>
    <t>10.1016/j.quascirev.2014.10.025</t>
  </si>
  <si>
    <t>WOS:000347586100012</t>
  </si>
  <si>
    <t>Besson, DZ; Stockham, J; Sullivan, M; Allison, P; Beatty, JJ; Belov, K; Binns, WR; Chen, C; Chen, P; Clem, JM; Connolly, A; Dowkontt, PF; Gorham, PW; Hoover, S; Israel, MH; Javaid, A; Liewer, KM; Matsuno, S; Miki, C; Mottram, M; Nam, J; Naudet, CJ; Nichol, RJ; Romero-Wolf, A; Ruckman, L; Saltzberg, D; Seckel, D; Shang, RY; Stockham, M; Varner, GS; Vieregg, AG; Wang, Y</t>
  </si>
  <si>
    <t>Besson, D. Z.; Stockham, J.; Sullivan, M.; Allison, P.; Beatty, J. J.; Belov, K.; Binns, W. R.; Chen, C.; Chen, P.; Clem, J. M.; Connolly, A.; Dowkontt, P. F.; Gorham, P. W.; Hoover, S.; Israel, M. H.; Javaid, A.; Liewer, K. M.; Matsuno, S.; Miki, C.; Mottram, M.; Nam, J.; Naudet, C. J.; Nichol, R. J.; Romero-Wolf, A.; Ruckman, L.; Saltzberg, D.; Seckel, D.; Shang, R. Y.; Stockham, M.; Varner, G. S.; Vieregg, A. G.; Wang, Y.</t>
  </si>
  <si>
    <t>Antarctic radio frequency albedo and implications for cosmic ray reconstruction</t>
  </si>
  <si>
    <t>RADIO SCIENCE</t>
  </si>
  <si>
    <t>Antarctica; surface roughness; albedo; interferometry; cosmic ray</t>
  </si>
  <si>
    <t>ULTRAHIGH-ENERGY NEUTRINOS</t>
  </si>
  <si>
    <t>We describe herein a measurement of the Antarctic surface roughness performed by the balloon-borne ANITA (Antarctic Impulsive Transient Antenna) experiment. Originally purposed for cosmic ray astrophysics, the radio frequency (RF) receiver ANITA gondola, from its 38 km altitude vantage point, can scan a disk of snow surface 600 km in radius. The primary purpose of ANITA is to detect RF emissions from cosmic rays incident on Antarctica, such as neutrinos which penetrate through the atmosphere and interact within the ice, resulting in signal directed upward which then refracts at the ice-air interface and up and out to ANITA, or high-energy nuclei (most likely irons or protons), which interact in the upper atmosphere (at altitudes below ANITA) and produce a spray of down-coming RF which reflects off the snow surface and back up to the gondola. The energy of such high-energy nuclei can be inferred from the observed reflected signal only if the surface reflectivity is known. We describe herein an attempt to quantify the Antarctic surface reflectivity, using the Sun as a constant, unpolarized RF source. We find that the reflectivity of the surface generally follows the expectations from the Fresnel equations, lending support to the use of those equations to give an overall correction factor to calculate cosmic ray energies for all locations in Antarctica. The analysis described below is based on ANITA-II data. After launching from McMurdo Station in December 2008, ANITA-II was aloft for a period of 31 days with a typical instantaneous duty cycle exceeding 95%.</t>
  </si>
  <si>
    <t>[Besson, D. Z.; Stockham, J.; Sullivan, M.; Stockham, M.] Univ Kansas, Dept Phys, Lawrence, KS 66045 USA; [Besson, D. Z.] Natl Res Nucl Univ, MEPhI Moscow Engn Phys Inst, Moscow, Russia; [Allison, P.; Beatty, J. J.; Connolly, A.] Ohio State Univ, Dept Phys, Columbus, OH 43210 USA; [Belov, K.; Hoover, S.; Saltzberg, D.; Vieregg, A. G.] Univ Calif Los Angeles, Dept Phys, Los Angeles, CA 90024 USA; [Binns, W. R.; Dowkontt, P. F.; Israel, M. H.] Washington Univ, Dept Phys, St Louis, MO 63130 USA; [Chen, C.; Chen, P.; Nam, J.; Shang, R. Y.; Wang, Y.] Natl Taiwan Univ, Dept Phys, Taipei, Taiwan; [Clem, J. M.; Javaid, A.; Seckel, D.] Univ Delaware, Dept Phys, Newark, DE 19716 USA; [Gorham, P. W.; Matsuno, S.; Miki, C.; Romero-Wolf, A.; Ruckman, L.; Varner, G. S.] Dept Phys, Honolulu, HI USA; [Hoover, S.] Univ Chicago, Kavli Inst Cosmol Phys, Chicago, IL 60637 USA; [Hoover, S.; Vieregg, A. G.] Univ Chicago, Enrico Fermi Inst, Chicago, IL 60637 USA; [Liewer, K. M.; Naudet, C. J.; Romero-Wolf, A.] CALTECH, Jet Prop Lab, Pasadena, CA USA; [Mottram, M.; Nichol, R. J.] UCL, Dept Phys, London, England; [Nam, J.] Univ Calif Irvine, Dept Phys, Irvine, CA 92717 USA</t>
  </si>
  <si>
    <t>University of Kansas; National Research Nuclear University MEPhI (Moscow Engineering Physics Institute); University System of Ohio; Ohio State University; University of California System; University of California Los Angeles; Washington University (WUSTL); National Taiwan University; University of Delaware; University of Chicago; University of Chicago; National Aeronautics &amp; Space Administration (NASA); NASA Jet Propulsion Laboratory (JPL); California Institute of Technology; University of London; University College London; University of California System; University of California Irvine</t>
  </si>
  <si>
    <t>Stockham, J (corresponding author), Univ Kansas, Dept Phys, Lawrence, KS 66045 USA.</t>
  </si>
  <si>
    <t>jgsnyder21@gmail.com</t>
  </si>
  <si>
    <t>Beatty, James/D-9310-2011; Belov, Konstantin V/D-2520-2013; Nichol, Ryan/C-1645-2008</t>
  </si>
  <si>
    <t>Beatty, James/0000-0003-0481-4952; Belov, Konstantin V/0000-0002-8861-110X; Nichol, Ryan/0000-0003-0557-0443; Allison, Patrick/0000-0001-8141-2653; Gorham, Peter/0000-0002-0923-9363</t>
  </si>
  <si>
    <t>NASA (NESSF) [NNX07AO05H]; National Science Foundation [NSF0064451]</t>
  </si>
  <si>
    <t>NASA (NESSF)(National Aeronautics &amp; Space Administration (NASA)); National Science Foundation(National Science Foundation (NSF))</t>
  </si>
  <si>
    <t>We express our gratitude to Frederique Remy for kindly providing us with the Envisat reflectivity data. We also thank the National Aeronautics and Space Administration, the National Science Foundation Office of Polar Programs, the Department of Energy Office of Science HEP Division, the UK Science and Technology Facilities Council, the National Science Council in Taiwan ROC, Fermilab's QuarkNet Program, the Russian Ministry of Science and Education, and especially the staff of the Columbia Scientific Balloon Facility. A. Romero-Wolf would like to thank NASA (NESSF grant NNX07AO05H) for support for this work. This material is based upon work supported by the National Science Foundation Graduate Research Fellowship under grant NSF0064451. Data used for this analysis and to generate the included figures may be obtained by contacting the corresponding author, J. Stockham (jegab8@ku.edu).</t>
  </si>
  <si>
    <t>0048-6604</t>
  </si>
  <si>
    <t>1944-799X</t>
  </si>
  <si>
    <t>RADIO SCI</t>
  </si>
  <si>
    <t>Radio Sci.</t>
  </si>
  <si>
    <t>10.1002/2013RS005315</t>
  </si>
  <si>
    <t>Astronomy &amp; Astrophysics; Geochemistry &amp; Geophysics; Meteorology &amp; Atmospheric Sciences; Remote Sensing; Telecommunications</t>
  </si>
  <si>
    <t>CB8PA</t>
  </si>
  <si>
    <t>WOS:000349891700001</t>
  </si>
  <si>
    <t>Fretwell, PT; Phillips, RA; Brooke, MDL; Fleming, AH; McArthur, A</t>
  </si>
  <si>
    <t>Fretwell, P. T.; Phillips, R. A.; Brooke, M. de L.; Fleming, A. H.; McArthur, A.</t>
  </si>
  <si>
    <t>Using the unique spectral signature of guano to identify unknown seabird colonies</t>
  </si>
  <si>
    <t>Seabirds; Penguins; Distribution; Guano; Remote sensing</t>
  </si>
  <si>
    <t>ADELIE PENGUIN COLONIES; ANTARCTIC PETRELS; CLIMATE-CHANGE; MANAGEMENT; DIET; CAPE</t>
  </si>
  <si>
    <t>Despite the threats faced by seabirds in both terrestrial and marine habitats, even basic knowledge of the locations of colonies, population sizes and trends is lacking for many remote areas of the world. Recent studies have shown that the guano of Adelie penguins can be identified from Landsat Enhanced Thematic Mapper (ETM) imagery and used to map colonies on coasts around continental Antarctica. Our study highlights a new technique based on the unique spectral signature of guano that can be used to discriminate seabird colonies from background geology and vegetation in a wider range of natural environments, including the vegetated and zoologically-diverse region of the Antarctic Peninsula; moreover, the method was effective for all densely colonial, surface-nesting seabirds. Using Landsat ETM imagery, we correctly identified all known seabird colonies of over 50 pairs in the area of Marguerite Bay. Almost all other areas with a similar spectral signature that were outside known breeding areas were single pixels that were readily distinguishable from genuine colonies. If these were excluded, only 4.1% of pixels appeared to represent unknown breeding or roosting sites, and warrant further investigation. The spatial extent of the guano provided a general guide to the number of individuals present, but further work would be required to determine the accuracy of this method for estimating population size. Spectral profiles of guano collected by satellite and hand-held spectrometers were compared with available data in spectral libraries and did not match with any known geological profile. There may also be potential for discriminating colonies of different species that differ in phenology and show seasonal changes in diet by the carefully-timed acquisition of suitable satellite imagery. We conclude that the remotely-sensed guano signature is a good indicator of the location of seabird breeding or roosting sites, with potentially wide application to other areas of the world. (C) 2014 Published by Elsevier Inc.</t>
  </si>
  <si>
    <t>[Fretwell, P. T.; Phillips, R. A.; Fleming, A. H.] British Antarctic Survey, Cambridge CB3 0ET, England; [Brooke, M. de L.] Univ Cambridge, Dept Zool, Cambridge, England; [McArthur, A.] Univ Edinburgh, NERC Field Spect Facil, Edinburgh EH8 9YL, Midlothian, Scotland</t>
  </si>
  <si>
    <t>UK Research &amp; Innovation (UKRI); Natural Environment Research Council (NERC); NERC British Antarctic Survey; University of Cambridge; UK Research &amp; Innovation (UKRI); Natural Environment Research Council (NERC); University of Edinburgh</t>
  </si>
  <si>
    <t>Fretwell, PT (corresponding author), British Antarctic Survey, Madingley Rd, Cambridge CB3 0ET, England.</t>
  </si>
  <si>
    <t>Natural Environment Research Council; Natural Environment Research Council [bas010011, bas0100025] Funding Source: researchfish; NERC [bas010011, bas0100025] Funding Source: UKRI</t>
  </si>
  <si>
    <t>This study is part of the British Antarctic Survey Polar Science for Planet Earth Programme. It was funded by The Natural Environment Research Council.</t>
  </si>
  <si>
    <t>10.1016/j.rse.2014.10.011</t>
  </si>
  <si>
    <t>hybrid, Green Accepted</t>
  </si>
  <si>
    <t>WOS:000347579900037</t>
  </si>
  <si>
    <t>Koenig, L; Forster, R; Brucker, L; Miller, J</t>
  </si>
  <si>
    <t>Tedesco, M</t>
  </si>
  <si>
    <t>Koenig, Lora; Forster, Richard; Brucker, Ludovic; Miller, Julie</t>
  </si>
  <si>
    <t>Remote sensing of accumulation over the Greenland and Antarctic ice sheets Remote sensing of accumulation over the Greenland and Antarctic ice sheets</t>
  </si>
  <si>
    <t>REMOTE SENSING OF THE CRYOSPHERE</t>
  </si>
  <si>
    <t>MICROWAVE BRIGHTNESS TEMPERATURE; SURFACE MASS-BALANCE; MODELING TIME-SERIES; SNOW ACCUMULATION; INTERANNUAL VARIATIONS; RADAR; VARIABILITY; EMISSION; SCATTEROMETER; PROFILE</t>
  </si>
  <si>
    <t>`Earth's sea level fluctuations are predominantly determined by the ilnount of ice contained in the Antarctic and Greenland ice sheets. Variation in that amount of ice is still a critical unknown, and a complete understanding of past, present, and future variations of mass balance over both ice sheets is essential to understanding and modeling sea level fluctuations. As the only input term to the mass balance of the Greenland and Antarctic ice sheets, snow accumulation is a critical process to measure accurately. The vast size of the ice sheets and the spatial variability in accumulation rates make it impossible to record enough accumulation measurements from in situ methods. Modeling efforts are advancing and can estimate accumulation at tens-of-kilometer grid spacing, but sensitivity to boundary forcing conditions and a paucity of validation data leave these data sets less than herefore, remote sensing of ice sheet accumulation is an important technique to develop. Several promising techniques have been explored, using various portions of the electromagnetic spectrum, but none of them are at a point where accumulation can be measured in an operational mode. Spaceborne active and passive microwave remote sensing have received the most attention, due to their responsiveness from snow and fire properties related to accwnulation rates, and their ability to operate independently of sunlight and through cloud cover. Spatial and temporal variability in liquid water and refrozen subsurface ice structures, however, prevents the use of a single broadly applied algorithm for snow accumulation retrievals, even at microwave wavelengths. Other techniques show promise under specific circumstances, such as altimetry, gravity, and airborne sensors, warranting continued study. This chapter explains that determining the spatio-temporal variability of accumulation over the ice sheets remains one of the most daunting tasks facing scientists. This task will only he accomplished by utilizing a variety of remote sensing techniques and sensors in conjunction with models and in situ measurements. The chapter describes remote sensing methods, from both spacecraft and aircraft, for determining accumulation, as well as, in situ measurements and model results.</t>
  </si>
  <si>
    <t>[Koenig, Lora; Brucker, Ludovic] NASA, Goddard Space Flight Ctr, Greenbelt, MD 20771 USA; [Forster, Richard; Miller, Julie] Univ Utah, Salt Lake City, UT USA; [Brucker, Ludovic] Univ Space Res Assoc, Columbia, MD USA</t>
  </si>
  <si>
    <t>National Aeronautics &amp; Space Administration (NASA); NASA Goddard Space Flight Center; Utah System of Higher Education; University of Utah; Universities Space Research Association (USRA)</t>
  </si>
  <si>
    <t>Koenig, L (corresponding author), NASA, Goddard Space Flight Ctr, Greenbelt, MD 20771 USA.</t>
  </si>
  <si>
    <t>Lora.s.koenig@nasa.gov; Rick.forster@geog.utah.edu; ludovic.brucker@nasa.gov; jjaimoe@gmail.com</t>
  </si>
  <si>
    <t>Brucker, Ludovic/ACJ-3763-2022; Brucker, Ludovic/L-5412-2019; Brucker, Ludovic/A-8029-2010</t>
  </si>
  <si>
    <t>Brucker, Ludovic/0000-0001-7102-8084; KOENIG, LORA/0000-0002-6057-8483</t>
  </si>
  <si>
    <t>978-1-118-36890-9; 978-1-118-36885-5</t>
  </si>
  <si>
    <t>10.1002/9781118368909</t>
  </si>
  <si>
    <t>Environmental Sciences; Remote Sensing</t>
  </si>
  <si>
    <t>Environmental Sciences &amp; Ecology; Remote Sensing</t>
  </si>
  <si>
    <t>BM9DW</t>
  </si>
  <si>
    <t>WOS:000470842400010</t>
  </si>
  <si>
    <t>Meier, WN; Markus, T</t>
  </si>
  <si>
    <t>Meier, Walter N.; Markus, Thorsten</t>
  </si>
  <si>
    <t>Remote sensing of sea ice</t>
  </si>
  <si>
    <t>INTERANNUAL VARIABILITY; THICKNESS; MOTION; ALGORITHM; PRODUCT; IMAGERY; TRENDS; ALBEDO; ONSET; DRIFT</t>
  </si>
  <si>
    <t>Sea ice is an important part of the climate system, primarily through its reflection of solar radiation and modification of heat and moisture fluxes. It also affects polar ecosystems and human activities in ice-covered regions. Monitoring of sea ice is difficult, due to its remoteness and extreme climate. Thus, remote sensing represents the best, and often only, option for long-term and large-scale sea ice observations. Fortunately, several sea ice properties can be detected in a wide range of sensors including passive and active microwave, visible, and infrared. Sea ice concentration is the longest and most complete satellite time series. A nearly-complete daily record of sea ice concentration has been available since late 1978 from a series of multichannel microwave radiometers. This record yields a significant downward trend in Arctic sea ice cover, particularly during summer, which is one of the iconic indicators of climate change over the past three decades. The trend in the Antarctic is slightly positive, but with large regional and interannual variability. Sea ice thickness is another critical parameter for understanding climate change in the polar regions. Unfortunately, thickness is a more difficult parameter to retrieve remotely. Until the 1990s, other than in situ drill holes, the only information on sea ice thickness came from upward-looking sonars on submarines traversing under the Arctic ice cover. In the 1990s, radar altimeters collected some information on ice thickness, but not from the central Arctic. The first wide-scale coverage of ice thickness did not begin until NASA's ICESat laser altimeter was launched in 2003. Earlier information on changes in ice thickness can be obtained, based on infrared imagery based on thermal heat transfer through the ice, but it is limited to thin ice, unless modeling is included. Proxy ice age data, based on Lagrangian ice motion tracking, can be used to infer thickness because ice tends to thicken as it ages. This method has been used with passive microwave imagery, buoy tracks, and other sources, to produce age fields since the early 1980s. Microwave imagery can also be used to discriminate first-year ice from multi-year ice during non-melt conditions, because of the differing effects of salinity in the ice on the emission/ backscatter signal. Several other parameters are retrievable via satellite, including melt onset and freeze-up dates, snow depth over first-year ice, ice temperature, albedo, and melt pond coverage. New sensors, technologies, and methodologies show promise to continue improving our understanding of sea ice processes.</t>
  </si>
  <si>
    <t>[Meier, Walter N.; Markus, Thorsten] NASA, Goddard Space Flight Ctr, Greenbelt, MD 20771 USA</t>
  </si>
  <si>
    <t>National Aeronautics &amp; Space Administration (NASA); NASA Goddard Space Flight Center</t>
  </si>
  <si>
    <t>Meier, WN (corresponding author), NASA, Goddard Space Flight Ctr, Greenbelt, MD 20771 USA.</t>
  </si>
  <si>
    <t>walt.meier@nasa.gov; Thorsten.markus@nasa.gov</t>
  </si>
  <si>
    <t>Makynen, Marko/AAP-4772-2020; Meier, Walter/AAI-9583-2021</t>
  </si>
  <si>
    <t>Makynen, Marko/0000-0003-1250-6300;</t>
  </si>
  <si>
    <t>WOS:000470842400013</t>
  </si>
  <si>
    <t>Arkhipkin, AI; Rodhouse, PGK; Pierce, GJ; Sauer, W; Sakai, M; Allcock, L; Arguelles, J; Bower, JR; Castillo, G; Ceriola, L; Chen, CS; Chen, XJ; Diaz-Santana, M; Downey, N; González, AF; Amores, JG; Green, CP; Guerra, A; Hendrickson, LC; Ibáñez, C; Ito, K; Jereb, P; Kato, Y; Katugin, ON; Kawano, M; Kidokoro, H; Kulik, VV; Laptikhovsky, VV; Lipinski, MR; Liu, BL; Mariátegui, L; Marin, W; Medina, A; Miki, K; Miyahara, K; Moltschaniwskyj, N; Moustahfid, H; Nabhitabhata, J; Nanjo, N; Nigmatullin, CM; Ohtani, T; Pecl, G; Perez, JAA; Piatkowski, U; Saikliang, P; Salinas-Zavala, CA; Steer, M; Tian, YJ; Ueta, Y; Vijai, D; Wakabayashi, T; Yamaguchi, T; Yamashiro, C; Yamashita, N; Zeidberg, LD</t>
  </si>
  <si>
    <t>Arkhipkin, Alexander I.; Rodhouse, Paul G. K.; Pierce, Graham J.; Sauer, Warwick; Sakai, Mitsuo; Allcock, Louise; Arguelles, Juan; Bower, John R.; Castillo, Gladis; Ceriola, Luca; Chen, Chih-Shin; Chen, Xinjun; Diaz-Santana, Mariana; Downey, Nicola; Gonzalez, Angel F.; Granados Amores, Jasmin; Green, Corey P.; Guerra, Angel; Hendrickson, Lisa C.; Ibanez, Christian; Ito, Kingo; Jereb, Patrizia; Kato, Yoshiki; Katugin, Oleg N.; Kawano, Mitsuhisa; Kidokoro, Hideaki; Kulik, Vladimir V.; Laptikhovsky, Vladimir V.; Lipinski, Marek R.; Liu, Bilin; Mariategui, Luis; Marin, Wilbert; Medina, Ana; Miki, Katsuhiro; Miyahara, Kazutaka; Moltschaniwskyj, Natalie; Moustahfid, Hassan; Nabhitabhata, Jaruwat; Nanjo, Nobuaki; Nigmatullin, Chingis M.; Ohtani, Tetsuya; Pecl, Gretta; Perez, J. Angel A.; Piatkowski, Uwe; Saikliang, Pirochana; Salinas-Zavala, Cesar A.; Steer, Michael; Tian, Yongjun; Ueta, Yukio; Vijai, Dharmamony; Wakabayashi, Toshie; Yamaguchi, Tadanori; Yamashiro, Carmen; Yamashita, Norio; Zeidberg, Louis D.</t>
  </si>
  <si>
    <t>World Squid Fisheries</t>
  </si>
  <si>
    <t>REVIEWS IN FISHERIES SCIENCE &amp; AQUACULTURE</t>
  </si>
  <si>
    <t>catch; Cephalopoda; fisheries; lifecycle; squid</t>
  </si>
  <si>
    <t>LOLIGO-VULGARIS-REYNAUDII; SHORT-FINNED-SQUID; NEON FLYING SQUID; CALAMARY SEPIOTEUTHIS-AUSTRALIS; TODAROPSIS-EBLANAE CEPHALOPODA; GULF-OF-CALIFORNIA; TODARODES-SAGITTATUS CEPHALOPODA; ILLEX-COINDETII CEPHALOPODA; FLEXIBLE REPRODUCTIVE STRATEGIES; NOTOTODARUS-GOULDI CEPHALOPODA</t>
  </si>
  <si>
    <t>Some 290 species of squids comprise the order Teuthida that belongs to the molluscan Class Cephalopoda. Of these, about 30-40 squid species have substantial commercial importance around the world. Squid fisheries make a rather small contribution to world landings from capture fisheries relative to that of fish, but the proportion has increased steadily over the last decade, with some signs of recent leveling off. The present overview describes all substantial squid fisheries around the globe. The main ecological and biological features of exploited stocks, and key aspects of fisheries management are presented for each commercial species of squid worldwide. The history and fishing methods used in squid fisheries are also described. Special attention has been paid to interactions between squid fisheries and marine ecosystems including the effects of fishing gear, the role of squid in ecosystem change induced by overfishing on groundfish, and ecosystem-based fishery management.</t>
  </si>
  <si>
    <t>[Arkhipkin, Alexander I.] Dept Fisheries, Stanley FIQQ 1ZZ, Falkland Island, Italy; [Rodhouse, Paul G. K.] British Antarctic Survey, Nat Environm Res Council, Cambridge CB3 0ET, England; [Pierce, Graham J.] Univ Aberdeen, Oceanlab, Newburgh, Aberdeen, Scotland; [Pierce, Graham J.; Lipinski, Marek R.] Univ Aveiro, CESAM, P-3800 Aveiro, Portugal; [Pierce, Graham J.; Lipinski, Marek R.] Univ Aveiro, Dept Biol, P-3800 Aveiro, Portugal; [Sauer, Warwick; Downey, Nicola] Rhodes Univ, Dept Ichthyol &amp; Fisheries Sci, ZA-6140 Grahamstown, South Africa; [Sakai, Mitsuo; Kato, Yoshiki] Fisheries Res Agcy, Tohoku Natl Fisheries Res Inst, Hachinohe, Aomori, Japan; [Allcock, Louise] Queens Univ Belfast, Sch Biol Sci, Belfast, Antrim, North Ireland; [Arguelles, Juan; Castillo, Gladis; Mariategui, Luis; Marin, Wilbert; Medina, Ana; Yamashiro, Carmen] Inst Mar Peru IMARPE, Callao, Peru; [Bower, John R.] Hokkaido Univ, Fac Fisheries Sci, Hakodate, Hokkaido, Japan; [Ceriola, Luca] FAO MedSudMed, Rome, Italy; [Chen, Chih-Shin] Natl Taiwan Ocean Univ, Inst Marine Affairs &amp; Resource Management, Keelung, Taiwan; [Chen, Xinjun; Liu, Bilin] Shanghai Ocean Univ, Coll Marine Sci, Shanghai, Peoples R China; [Diaz-Santana, Mariana] IPN, Ctr Interdisciplinario Ciencias Marinas, La Paz, Bcs, Mexico; [Gonzalez, Angel F.; Guerra, Angel] Inst Invest Marinas CSIC, Vigo, Spain; [Granados Amores, Jasmin; Salinas-Zavala, Cesar A.] Ctr Invest Biol Noroeste SC, La Paz, Bcs, Mexico; [Green, Corey P.] Fisheries Victoria, Dept Environm &amp; Primary Ind, Queenscliff, Vic, Australia; [Hendrickson, Lisa C.] US Natl Marine Fisheries Serv, Northeast Fisheries Sci Ctr, Woods Hole, MA USA; [Ibanez, Christian] Univ Chile, Fac Ciencias, Dept Ciencias Ecol, Santiago, Chile; [Ito, Kingo] Aomori Prefectural Ind Technol Res Ctr, Fisheries Res Inst, Aomori, Japan; [Jereb, Patrizia] ISPRA, Rome, Italy; [Katugin, Oleg N.; Kulik, Vladimir V.] TINRO Ctr, Pacific Res Fisheries Ctr, Vladivostok, Russia; [Kawano, Mitsuhisa] Yamaguchi Prefectural Fisheries Res Ctr, Nagato, Yamaguchi, Japan; [Kidokoro, Hideaki; Tian, Yongjun] Fisheries Res Agcy, Japan Sea Natl Fisheries Res Inst, Niigata, Japan; [Laptikhovsky, Vladimir V.] CEFAS, Div Fisheries, Lowestoft, Suffolk, England; [Miki, Katsuhiro] Natl Res Inst Fisheries Sci, Yokohama, Kanagawa, Japan; [Miyahara, Kazutaka] Hyogo Fisheries Technol Inst, Akashi, Hyogo, Japan; [Moltschaniwskyj, Natalie] Univ Newcastle, Sch Environm &amp; Life Sci, Ourimbah, NSW, Australia; [Moustahfid, Hassan] NOAA, US IOOS, Operat Div, Silver Spring, MD USA; [Nabhitabhata, Jaruwat] Prince Songkla Univ, Fac Sci, Excellence Ctr Biodivers Peninsular Thailand CBIP, Hat Yai, Songkhla, Thailand; [Nanjo, Nobuaki] Toyama Prefectural Agr Forestry &amp; Fisheries Res C, Fisheries Res Inst, Toyama, Japan; [Nigmatullin, Chingis M.] Atlantic Res Inst Marine Fisheries &amp; Oceanog Atla, Kaliningrad, Russia; [Ohtani, Tetsuya] Hyogo Prefectural Technol Ctr Agr Forestry &amp; Fish, Tajima Fisheries Technol Inst, Mikata, Hyogo, Japan; [Pecl, Gretta] Univ Tasmania, Inst Marine &amp; Antarctic Studies, Hobart, Tas, Australia; [Perez, J. Angel A.] Univ Vale Itajai UNIVALI, Ctr Ciencias Tecnol Terra &amp; Mar CTTMar, Itajai, SC, Brazil; [Piatkowski, Uwe] Leibniz Inst Marine Sci IFM GEOMAR, Kiel, Germany; [Saikliang, Pirochana] Bur Fisheries Expert, Dept Fisheries, Bangkok, Thailand; [Steer, Michael] South Australian Res &amp; Dev Inst Aquat Sci, Henley Beach, SA, Australia; [Ueta, Yukio] Tokushima Agr Forestry &amp; Fishery Technol &amp; Suppor, Fisheries Res Inst, Tokushima, Japan; [Vijai, Dharmamony] Hokkaido Univ, Grad Sch Fisheries Sci, Hakodate, Hokkaido, Japan; [Wakabayashi, Toshie] Natl Fisheries Univ, Shimonoseki, Yamaguchi, Japan; [Yamaguchi, Tadanori] Saga Prefectural Genkai Fisheries Res &amp; Dev Ctr, Karatsu, Saga, Japan; [Yamashita, Norio] Fisheries Res Agcy, Hokkaido Natl Fisheries Res Inst, Kushiro, Hokkaido, Japan; [Zeidberg, Louis D.] Calif Dept Fish &amp; Wildlife, Monterey, CA USA</t>
  </si>
  <si>
    <t>UK Research &amp; Innovation (UKRI); Natural Environment Research Council (NERC); NERC British Antarctic Survey; University of Aberdeen; Universidade de Aveiro; Universidade de Aveiro; Rhodes University; Japan Fisheries Research &amp; Education Agency (FRA); Queens University Belfast; Instituto del Mar del Peru; Hokkaido University; National Taiwan Ocean University; Shanghai Ocean University; Instituto Politecnico Nacional - Mexico; Consejo Superior de Investigaciones Cientificas (CSIC); CSIC - Instituto de Investigaciones Marinas (IIM); CIBNOR - Centro de Investigaciones Biologicas del Noroeste; National Oceanic Atmospheric Admin (NOAA) - USA; Universidad de Chile; Italian Institute for Environmental Protection &amp; Research (ISPRA); Research lnstitute of Fisheries &amp; Oceanography; Japan Fisheries Research &amp; Education Agency (FRA); Centre for Environment Fisheries &amp; Aquaculture Science; Japan Fisheries Research &amp; Education Agency (FRA); University of Newcastle; National Oceanic Atmospheric Admin (NOAA) - USA; Prince of Songkla University; University of Tasmania; Universidade do Vale do Itajai; Helmholtz Association; GEOMAR Helmholtz Center for Ocean Research Kiel; Hokkaido University; Japan Fisheries Research &amp; Education Agency (FRA); Japan Fisheries Research &amp; Education Agency (FRA)</t>
  </si>
  <si>
    <t>Arkhipkin, AI (corresponding author), Dept Fisheries, Bypass Rd, Stanley FIQQ 1ZZ, Falkland Island, Italy.</t>
  </si>
  <si>
    <t>AArkhipkin@fisheries.gov.fk</t>
  </si>
  <si>
    <t>Nabhitabhata, Jaruwat/AAF-2144-2019; Chen, Chih-Shin/ABE-3760-2020; Kulik, Vladimir/N-8667-2013; Ibáñez, Christian/AGK-8830-2022; chen, xia/GYR-3948-2022; Allcock, Louise/A-7359-2012; Pecl, Gretta/D-7267-2011; Chen, Chih-Shin/ABE-2293-2020; Sauer, Warwick/GJI-2267-2022; Moltschaniwskyj, Natalie/AAB-7236-2019; Ibáñez, Christian M/B-9700-2009; Dharmamony, Vijai/E-8824-2016; Pierce, Graham/A-5404-2018; Piatkowski, Uwe/G-4161-2011</t>
  </si>
  <si>
    <t>Chen, Chih-Shin/0000-0003-2002-0933; Kulik, Vladimir/0000-0003-0920-5312; Ibáñez, Christian/0000-0002-7390-2617; Allcock, Louise/0000-0002-4806-0040; Pecl, Gretta/0000-0003-0192-4339; Chen, Chih-Shin/0000-0003-2002-0933; Sauer, Warwick/0000-0002-9756-1757; Dharmamony, Vijai/0000-0002-9120-8880; Diaz-Santana-Iturrios, Mariana/0000-0002-5253-5395; Pierce, Graham/0000-0002-4744-4501; Arguelles, Juan/0000-0002-4227-0952; Piatkowski, Uwe/0000-0003-1558-5817; Yamashiro-Guinoza, Carmen Rosario/0000-0003-4379-4392; Mariategui Rosales, Luis Ruben/0000-0001-7673-1107; Moltschaniwskyj, Natalie/0000-0001-9709-9876; Alvarez Perez, Jose Angel/0000-0001-6431-5237; Granados, Jasmin/0000-0003-4486-4399; Kidokoro, Hideaki/0000-0001-9908-2410</t>
  </si>
  <si>
    <t>Pharma Marine AS, Norway, processors of omega-3 oils from squid trimmings; NERC [bas010011] Funding Source: UKRI; Natural Environment Research Council [bas010011] Funding Source: researchfish</t>
  </si>
  <si>
    <t>Pharma Marine AS, Norway, processors of omega-3 oils from squid trimmings; NERC(UK Research &amp; Innovation (UKRI)Natural Environment Research Council (NERC)); Natural Environment Research Council(UK Research &amp; Innovation (UKRI)Natural Environment Research Council (NERC))</t>
  </si>
  <si>
    <t>Gold Open Access of this paper was generously sponsored by Pharma Marine AS, Norway, processors of omega-3 oils from squid trimmings, for the Nutriceutical market.</t>
  </si>
  <si>
    <t>2330-8249</t>
  </si>
  <si>
    <t>2330-8257</t>
  </si>
  <si>
    <t>REV FISH SCI AQUAC</t>
  </si>
  <si>
    <t>Rev. Fish. Sci. Aquac..</t>
  </si>
  <si>
    <t>10.1080/23308249.2015.1026226</t>
  </si>
  <si>
    <t>CK2CY</t>
  </si>
  <si>
    <t>Green Accepted, Bronze, Green Published</t>
  </si>
  <si>
    <t>WOS:000356018800002</t>
  </si>
  <si>
    <t>Cuevas, EM</t>
  </si>
  <si>
    <t>Marin Cuevas, Erik</t>
  </si>
  <si>
    <t>EXPLORATORY STUDY OF SCIENTIFIC INVESTIGATION IN THE CHILEAN ANTARCTIC CONTINENT IN 2011-2014</t>
  </si>
  <si>
    <t>REVISTA DE ESTUDIOS POLITICOS Y ESTRATEGICOS</t>
  </si>
  <si>
    <t>sociology of science; Antarctic; Grounded Theory</t>
  </si>
  <si>
    <t>The present article describes the field of Antarctic scientific production from a sociology of science point of view. The aims were the identification of the social conditions for the production of scientific knowledge in 2011-2014 and the exploration of the material and social conditions in which Antarctic work is developed. After meeting the objectives set, we obtained a description of the most relevant features of scientific practice and the role of local scientific networks. The research was carried out from a realistic-oriented epistemological perspective using a Grounded Theory approach of emergent design. We concluded that Antarctic researchers work at a mechanical solidarity level.</t>
  </si>
  <si>
    <t>[Marin Cuevas, Erik] Univ Santo Tomas, Manila, Philippines; [Marin Cuevas, Erik] Univ Tecnol Metropolitana, Magister Polit Publ &amp; Seguridad Ciudadana, Santiago, Chile</t>
  </si>
  <si>
    <t>University of Santo Tomas; Universidad Tecnologica Metropolitana</t>
  </si>
  <si>
    <t>Cuevas, EM (corresponding author), Univ Santo Tomas, Manila, Philippines.</t>
  </si>
  <si>
    <t>ekmarin@correo.ugr.es</t>
  </si>
  <si>
    <t>UNIV TECNOLOGICA METROPOLITANA ESTADO CHILE</t>
  </si>
  <si>
    <t>SANTIAGO</t>
  </si>
  <si>
    <t>DIECIOCHO 161, SANTIAGO, 97279, CHILE</t>
  </si>
  <si>
    <t>0719-3653</t>
  </si>
  <si>
    <t>0719-3688</t>
  </si>
  <si>
    <t>REV ESTUD POLITICOS</t>
  </si>
  <si>
    <t>Rev. Estud. Politicos Estrateg.</t>
  </si>
  <si>
    <t>Development Studies</t>
  </si>
  <si>
    <t>VG3QY</t>
  </si>
  <si>
    <t>WOS:000446519100007</t>
  </si>
  <si>
    <t>Bewley, M; Friedman, A; Ferrari, R; Hill, N; Hovey, R; Barrett, N; Marzinelli, EM; Pizarro, O; Figueira, W; Meyer, L; Babcock, R; Bellchambers, L; Byrne, M; Williams, SB</t>
  </si>
  <si>
    <t>Bewley, Michael; Friedman, Ariell; Ferrari, Renata; Hill, Nicole; Hovey, Renae; Barrett, Neville; Marzinelli, Ezequiel M.; Pizarro, Oscar; Figueira, Will; Meyer, Lisa; Babcock, Russ; Bellchambers, Lynda; Byrne, Maria; Williams, Stefan B.</t>
  </si>
  <si>
    <t>Australian sea-floor survey data, with images and expert annotations</t>
  </si>
  <si>
    <t>SCIENTIFIC DATA</t>
  </si>
  <si>
    <t>CORAL; REEF; COVER</t>
  </si>
  <si>
    <t>This Australian benthic data set (BENTHOZ-2015) consists of an expert-annotated set of georeferenced benthic images and associated sensor data, captured by an autonomous underwater vehicle (AUV) around Australia. This type of data is of interest to marine scientists studying benthic habitats and organisms. AUVs collect georeferenced images over an area with consistent illumination and altitude, and make it possible to generate broad scale, photo-realistic 3D maps. Marine scientists then typically spend several minutes on each of thousands of images, labeling substratum type and biota at a subset of points. Labels from four Australian research groups were combined using the CATAMI classification scheme, a hierarchical classification scheme based on taxonomy and morphology for scoring marine imagery. This data set consists of 407,968 expert labeled points from around the Australian coast, with associated images, geolocation and other sensor data. The robotic surveys that collected this data form part of Australia's Integrated Marine Observing System (IMOS) ongoing benthic monitoring program. There is reuse potential in marine science, robotics, and computer vision research.</t>
  </si>
  <si>
    <t>[Bewley, Michael; Friedman, Ariell; Ferrari, Renata; Pizarro, Oscar; Williams, Stefan B.] Univ Sydney, Australian Ctr Field Robot, Sydney, NSW 2006, Australia; [Ferrari, Renata; Figueira, Will; Byrne, Maria] Univ Sydney, Sch Biol Sci, Coastal &amp; Marine Ecosyst Grp, Sydney, NSW 2006, Australia; [Hill, Nicole; Barrett, Neville; Meyer, Lisa] Univ Tasmania, Inst Marine &amp; Antarct Studies, Hobart, Tas 7005, Australia; [Hovey, Renae] Univ Western Australia, Perth, WA 6009, Australia; [Marzinelli, Ezequiel M.] Univ New S Wales, Ctr Marine Bioinnovat, Sydney, NSW 2052, Australia; [Marzinelli, Ezequiel M.] Sydney Inst Marine Sci, Sydney, NSW 2088, Australia; [Babcock, Russ] CSIRO, Canberra, ACT, Australia; [Bellchambers, Lynda] Western Australia Dept Fisheries, Perth, WA 6000, Australia</t>
  </si>
  <si>
    <t>University of Sydney; University of Sydney; University of Tasmania; University of Western Australia; University of New South Wales Sydney; Sydney Institute of Marine Science; Commonwealth Scientific &amp; Industrial Research Organisation (CSIRO)</t>
  </si>
  <si>
    <t>Bewley, M (corresponding author), Univ Sydney, Australian Ctr Field Robot, Sydney, NSW 2006, Australia.</t>
  </si>
  <si>
    <t>mike@bewley.id.au</t>
  </si>
  <si>
    <t>Hovey, Renae/F-8309-2011; Figueira, Will/A-5163-2009; Ferrari, Renata/E-3109-2016; Williams, Stefan/AAE-4376-2020; Hill, Nicole/AAI-7323-2021; Byrne, Maria/K-6355-2016; Marzinelli, Ezequiel/AAH-2906-2019; Babcock, Russell/A-3794-2012; Barrett, Neville/J-7593-2014</t>
  </si>
  <si>
    <t>Figueira, Will/0000-0001-9472-8710; Ferrari, Renata/0000-0002-5056-1178; Williams, Stefan/0000-0001-9416-5639; Hill, Nicole/0000-0001-9329-6717; Byrne, Maria/0000-0002-8902-9808; Marzinelli, Ezequiel/0000-0002-3762-3389; hovey, renae/0000-0003-0308-3609; Pizarro, Oscar/0000-0001-6612-2738; Babcock, Russell/0000-0002-7756-1290; Barrett, Neville/0000-0002-6167-1356</t>
  </si>
  <si>
    <t>Australian Government's National Environmental Research Program (NERP); Marine biodiversity Hub; NSW Department of Primary Industries; Great Barrier Reef Foundation</t>
  </si>
  <si>
    <t>Australian Government's National Environmental Research Program (NERP)(Australian Government); Marine biodiversity Hub; NSW Department of Primary Industries; Great Barrier Reef Foundation</t>
  </si>
  <si>
    <t>N.H., N.B. and L.M. undertook this work as part of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The Hub also facilitated the development of the CATAMI classification scheme. The Marine biodiversity Hub for funding the scoring of imagery within its program and facilitating development of CATAMI. The ANDS/CATAMI project and researchers involved in developing CATAMI classification scheme. The NSW Department of Primary Industries and the Great Barrier Reef Foundation for their support. This is contribution 166 to the Sydney Institute of Marine Science.</t>
  </si>
  <si>
    <t>2052-4463</t>
  </si>
  <si>
    <t>SCI DATA</t>
  </si>
  <si>
    <t>Sci. Data</t>
  </si>
  <si>
    <t>10.1038/sdata.2015.57</t>
  </si>
  <si>
    <t>V45VM</t>
  </si>
  <si>
    <t>Green Accepted, Green Published, Green Submitted, gold</t>
  </si>
  <si>
    <t>WOS:000209844100056</t>
  </si>
  <si>
    <t>Grinsted, A</t>
  </si>
  <si>
    <t>BACC</t>
  </si>
  <si>
    <t>Grinsted, Aslak</t>
  </si>
  <si>
    <t>Projected Change-Sea Level</t>
  </si>
  <si>
    <t>SECOND ASSESSMENT OF CLIMATE CHANGE FOR THE BALTIC SEA BASIN</t>
  </si>
  <si>
    <t>Regional Climate Studies</t>
  </si>
  <si>
    <t>Regional; Sea level rise; Climate change</t>
  </si>
  <si>
    <t>SURFACE MASS-BALANCE; ANTARCTIC ICE-SHEET; SEMIEMPIRICAL APPROACH; FUTURE; RISE; PRECIPITATION; FINGERPRINT; GLACIERS; IMPACT; SIMULATIONS</t>
  </si>
  <si>
    <t>Global warming is causing sea levels to rise, primarily due to loss of land-based ice masses and thermal (steric) expansion of the world oceans. Sea level does not rise in a globally uniform manner, but varies in complex spatial patterns. This chapter reviews projections of the individual contributions to sea-level rise. These are used to assemble a mid-range scenario of a 0.70 +/- 0.30-m sea-level rise over the twenty-first century (based on the SRES A1B scenario) and a high-end scenario of 1.10 m. The sea-level projection was regionalised to the Baltic Sea area by taking into account local dynamic sea-level rise and weighting the components of the sea-level budget by their static equilibrium fingerprint. This yields a mid-range Baltic Sea sea-level rise that is similar to 80 % of the global mean. Ongoing glacial isostatic adjustment (GIA) partly compensates for local sea-level rise in much of the region. For the mid-range scenario, this equates to a twenty-first century relative sea-level rise of 0.60 m near Hamburg and a relative sea-level fall of 0.35 m in the Bothnian Bay. The high-end scenario is characterised by an additional 0.5 m.</t>
  </si>
  <si>
    <t>[Grinsted, Aslak] Univ Copenhagen, Niels Bohr Inst, Ctr Ice &amp; Climate, Blegdamsvej 17, DK-2100 Copenhagen, Denmark</t>
  </si>
  <si>
    <t>University of Copenhagen; Niels Bohr Institute</t>
  </si>
  <si>
    <t>Grinsted, A (corresponding author), Univ Copenhagen, Niels Bohr Inst, Ctr Ice &amp; Climate, Blegdamsvej 17, DK-2100 Copenhagen, Denmark.</t>
  </si>
  <si>
    <t>Grinsted, Aslak/J-9273-2012</t>
  </si>
  <si>
    <t>Grinsted, Aslak/0000-0003-1634-6009</t>
  </si>
  <si>
    <t>978-3-319-16006-1; 978-3-319-16005-4</t>
  </si>
  <si>
    <t>REG CLIM STUD</t>
  </si>
  <si>
    <t>10.1007/978-3-319-16006-1_14</t>
  </si>
  <si>
    <t>10.1007/978-3-319-16006-1</t>
  </si>
  <si>
    <t>BE1HF</t>
  </si>
  <si>
    <t>WOS:000367908100018</t>
  </si>
  <si>
    <t>EVOLUTION OF DIRECTIONAL WAVE SPECTRA THROUGH FINITE REGULAR AND RANDOMLY PERTURBED ARRAYS OF SCATTERERS</t>
  </si>
  <si>
    <t>SIAM JOURNAL ON APPLIED MATHEMATICS</t>
  </si>
  <si>
    <t>multiple scattering; directional spectrum; random array</t>
  </si>
  <si>
    <t>MULTIPLE-SCATTERING; MATRIX APPROACH; CYLINDERS; IMPLEMENTATION; ATTENUATION; PROPAGATION; DIFFRACTION; RADIATION; CRYSTALS; GRATINGS</t>
  </si>
  <si>
    <t>A method is proposed to solve the full linear problem of wave scattering by a large finite array of circular inclusions in two spatial dimensions and compute the concomitant evolution of directional wave properties through the array. The method decomposes the array into slabs. Interactions between adjacent slabs are calculated using a representation of the wave fields scattered by each slab as integrals of plane waves over the directional spectrum plus exponentially decaying branches. The method is applied to the canonical problem of acoustic sound-hard scatterers. Validation is sought for (i) regular arrays via comparison with solutions of corresponding infinite, periodic single- and multiple row arrays and (ii) random arrays via comparison with Foldy's approximation for the effective field. A numerical investigation is conducted to determine the effect of introducing random perturbations into regular arrays on the directional properties of the reflected and transmitted fields.</t>
  </si>
  <si>
    <t>[Montiel, Fabien; Squire, Vernon A.] Univ Otago, Dept Math &amp; Stat, Dunedin 9054, New Zealand; [Bennetts, Luke G.] Univ Adelaide, Sch Math Sci, Adelaide, SA, Australia</t>
  </si>
  <si>
    <t>Montiel, F (corresponding author), Univ Otago, Dept Math &amp; Stat, POB 56, Dunedin 9054, New Zealand.</t>
  </si>
  <si>
    <t>fmontiel@maths.otago.ac.nz; vernon.squire@otago.ac.nz; luke.bennetts@adelaide.edu.au</t>
  </si>
  <si>
    <t>Office of Naval Research Departmental Research Initiative Sea State and Boundary Layer Physics of the Emerging Arctic Ocean [N00014-131-0279]; University of Otago; Australian Research Council [DE130101571]; Australian Antarctic Science Grant Program [4123]</t>
  </si>
  <si>
    <t>Office of Naval Research Departmental Research Initiative Sea State and Boundary Layer Physics of the Emerging Arctic Ocean(Office of Naval Research); University of Otago; Australian Research Council(Australian Research Council); Australian Antarctic Science Grant Program</t>
  </si>
  <si>
    <t>This author's work was supported by the Office of Naval Research Departmental Research Initiative Sea State and Boundary Layer Physics of the Emerging Arctic Ocean (award N00014-131-0279) and the University of Otago.; This author's work was supported by the Office of Naval Research Departmental Research Initiative Sea State and Boundary Layer Physics of the Emerging Arctic Ocean (award N00014-131-0279) and the University of Otago.; This author's work was supported by the Australian Research Council (DE130101571) and the Australian Antarctic Science Grant Program (project 4123).</t>
  </si>
  <si>
    <t>SIAM PUBLICATIONS</t>
  </si>
  <si>
    <t>3600 UNIV CITY SCIENCE CENTER, PHILADELPHIA, PA 19104-2688 USA</t>
  </si>
  <si>
    <t>0036-1399</t>
  </si>
  <si>
    <t>1095-712X</t>
  </si>
  <si>
    <t>SIAM J APPL MATH</t>
  </si>
  <si>
    <t>SIAM J. Appl. Math.</t>
  </si>
  <si>
    <t>10.1137/140973906</t>
  </si>
  <si>
    <t>Mathematics, Applied</t>
  </si>
  <si>
    <t>Mathematics</t>
  </si>
  <si>
    <t>CH3YU</t>
  </si>
  <si>
    <t>WOS:000353968000016</t>
  </si>
  <si>
    <t>Schaefer, CEGR; Pereira, TTC; Ker, JC; Almeida, ICC; Simas, FNB; de Oliveira, FS; Correa, GR; Vieira, G</t>
  </si>
  <si>
    <t>Reynaud Schaefer, Carlos Ernesto G.; Costa Pereira, Thiago Torres; Ker, Joao Carlos; Carreiro Almeida, Ivan Carlos; Bello Simas, Felipe Nogueira; de Oliveira, Fybio Soares; Correa, Guilherme Resende; Vieira, Goncalo</t>
  </si>
  <si>
    <t>Soils and Landforms at Hope Bay, Antarctic Peninsula: Formation, Classification, Distribution, and Relationships</t>
  </si>
  <si>
    <t>SOIL SCIENCE SOCIETY OF AMERICA JOURNAL</t>
  </si>
  <si>
    <t>ORNITHOGENIC CRYOSOLS; MARITIME ANTARCTICA; PEDOGENIC ZONATION; GELISOLS; MINERALOGY; GENESIS</t>
  </si>
  <si>
    <t>Antarctic soils occur in restricted areas, but few integrated studies on soils and landforms have focused in the Antarctic Peninsula. We studied the representative soils of Hope Bay, emphasizing the processes of quaternary sedimentation, landforms, soil classification, and distribution. Results show that landforms and soils are closely associated in Hope Bay. Ornithogenic soils are associated with Late Pleistocene to Holocene stable ground moraines; these are currently being destroyed by thermokarst erosion around Lake Boekella. Lithic Haploturbels occur chiefly on shallow rocky terrains whereas Typic Haploturbels are found on patterned ground. In Hope Bay, a much colder climate prevails compared with the South Shetlands, and the widespread permafrost close to the surface warrants strong cryoclastic weathering with active and general gelifraction across different lithologies. The shallow occurrence of permafrost in Hope Bay has a strong regulating effect on soils, retarding leaching and soil development processes. Local soils are, in general, shallow and cryoturbic, and the current pedoenvironment on lowland stable areas was subjected to varying phosphatization on previously weathered sedimentary material. The evidence of phosphatization of a formerly larger area appears to be the main driver of pedogenesis at Hope Bay, and nesting activity by penguins on stable surfaces is capable of enhancing weathering and soil formation.</t>
  </si>
  <si>
    <t>[Reynaud Schaefer, Carlos Ernesto G.; Ker, Joao Carlos; Bello Simas, Felipe Nogueira] Univ Fed Vicosa, Nucleo Terrantar INCT, Dept Solos, Vicosa, MG, Brazil; [Costa Pereira, Thiago Torres] Univ Estado Minas Gerais, Dept Ciencias Exatas &amp; Terra, Frutal, MG, Brazil; [Carreiro Almeida, Ivan Carlos] Inst Fed Norte Minas Gerais Fazenda Sao Geraldo, Januaria, MG, Brazil; [de Oliveira, Fybio Soares] Univ Fed Minas Gerais, Dept Geog IGC, Belo Horizonte, MG, Brazil; [Correa, Guilherme Resende] Univ Fed Uberlandia, Inst Geog, BR-38400 Uberlandia, MG, Brazil; [Vieira, Goncalo] Univ Lisbon, Ctr Estudos Geog IGOT, P-1600214 Lisbon, Portugal</t>
  </si>
  <si>
    <t>Universidade Federal de Vicosa; Universidade do Estado de Minas Gerais; Instituto Federal do Norte de Minas Gerais (IFNMG); Universidade Federal de Minas Gerais; Universidade Federal de Uberlandia; Universidade de Lisboa</t>
  </si>
  <si>
    <t>Pereira, TTC (corresponding author), Univ Estado Minas Gerais, Dept Ciencias Exatas &amp; Terra, Ave Prof Mario Palmerio 1001, Frutal, MG, Brazil.</t>
  </si>
  <si>
    <t>thiago.solos@gmail.com</t>
  </si>
  <si>
    <t>Schaefer, Carlos Ernesto/AAY-4977-2020; Vieira, Goncalo/G-5958-2010</t>
  </si>
  <si>
    <t>Vieira, Goncalo/0000-0001-7611-3464; Oliveira, Fabio/0000-0002-1450-7609; Ernesto Goncalves Reynaud Schaefer, Carlos/0000-0001-7060-1598; Ernesto Goncalves Reynaud Schaefer, Carlos/0000-0001-5735-3227</t>
  </si>
  <si>
    <t>National Council for Scientific and Technological Development (CNPq); Minas Gerais State Research Foundation (FAPEMIG)</t>
  </si>
  <si>
    <t>National Council for Scientific and Technological Development (CNPq)(Conselho Nacional de Desenvolvimento Cientifico e Tecnologico (CNPQ)); Minas Gerais State Research Foundation (FAPEMIG)(Fundacao de Amparo a Pesquisa do Estado de Minas Gerais (FAPEMIG))</t>
  </si>
  <si>
    <t>The authors acknowledge the financial support of the National Council for Scientific and Technological Development (CNPq) and the Minas Gerais State Research Foundation (FAPEMIG) and the Brazilian Navy for the logistic support during the Antarctic expeditions. We thank Ms. Maola Faria for help in the geoprocessing and map elaboration. This is a contribution of the INCT Cryosphere Project (CNPq-Brazil).</t>
  </si>
  <si>
    <t>0361-5995</t>
  </si>
  <si>
    <t>1435-0661</t>
  </si>
  <si>
    <t>SOIL SCI SOC AM J</t>
  </si>
  <si>
    <t>Soil Sci. Soc. Am. J.</t>
  </si>
  <si>
    <t>10.2136/sssaj2014.06.0266</t>
  </si>
  <si>
    <t>CE2JB</t>
  </si>
  <si>
    <t>WOS:000351640800018</t>
  </si>
  <si>
    <t>Haus, N; Schaefer, CEGR; Bockheim, J; Pereira, TTC</t>
  </si>
  <si>
    <t>Haus, Nicholas; Schaefer, Carlos E. G. R.; Bockheim, James; Pereira, Thiago Torres C.</t>
  </si>
  <si>
    <t>Soils of Graham and Palmer Lands, Antarctic Peninsula</t>
  </si>
  <si>
    <t>SOILS OF ANTARCTICA</t>
  </si>
  <si>
    <t>World Soils Book Series</t>
  </si>
  <si>
    <t>ALEXANDER-ISLAND; MARITIME ANTARCTICA; CLIMATE-CHANGE; ICE EXTENT; DIVERSITY; CRYOSOLS; SIZE; CLASSIFICATION; COMMUNITIES; TEMPERATURE</t>
  </si>
  <si>
    <t>[Haus, Nicholas; Bockheim, James] Univ Wisconsin, Dept Soil Sci, 1525 Observ Dr, Madison, WI 53706 USA; [Schaefer, Carlos E. G. R.; Pereira, Thiago Torres C.] Univ Fed Vicosa, Dept Solos, BR-36570000 Vicosa, MG, Brazil</t>
  </si>
  <si>
    <t>University of Wisconsin System; University of Wisconsin Madison; Universidade Federal de Vicosa</t>
  </si>
  <si>
    <t>Bockheim, J (corresponding author), Univ Wisconsin, Dept Soil Sci, 1525 Observ Dr, Madison, WI 53706 USA.</t>
  </si>
  <si>
    <t>nhaus@wisc.edu; carlos.schaefer@ufv.br; bockheim@wisc.edu; torresthiago@yahoo.com.br</t>
  </si>
  <si>
    <t>Schaefer, Carlos Ernesto/AAY-4977-2020</t>
  </si>
  <si>
    <t>Ernesto Goncalves Reynaud Schaefer, Carlos/0000-0001-7060-1598</t>
  </si>
  <si>
    <t>2211-1255</t>
  </si>
  <si>
    <t>2211-1263</t>
  </si>
  <si>
    <t>978-3-319-05497-1; 978-3-319-05496-4</t>
  </si>
  <si>
    <t>WOR SOIL BOOK SER</t>
  </si>
  <si>
    <t>10.1007/978-3-319-05497-1_12</t>
  </si>
  <si>
    <t>10.1007/978-3-319-05497-1</t>
  </si>
  <si>
    <t>Geography, Physical; Soil Science</t>
  </si>
  <si>
    <t>Physical Geography; Agriculture</t>
  </si>
  <si>
    <t>BE7FA</t>
  </si>
  <si>
    <t>WOS:000375189500013</t>
  </si>
  <si>
    <t>Baru, NA; Koloskov, AV; Yampolski, YM</t>
  </si>
  <si>
    <t>Baru, N. A.; Koloskov, A. V.; Yampolski, Yu. M.</t>
  </si>
  <si>
    <t>THE SPLITTING EFFECT OF THE MODE STRUCTURE OF THE IONOSPHERIC ALFVEN RESONATOR</t>
  </si>
  <si>
    <t>SPACE SCIENCE AND TECHNOLOGY-KOSMICNA NAUKA I TEHNOLOGIA</t>
  </si>
  <si>
    <t>ionospheric Alfven resonator; splitting effect; magnetohydrodynamic waves; magnetic field</t>
  </si>
  <si>
    <t>We analyze the data of continues observations of ionospheric Alfven resonance (IAR) which were carried out since 2010 until 2013 at the Ukrainian Antarctic Station Academic Vernadsldy and at the Sayan Solar Observatory (Mondy, Russia). The behavior of IAR fine spectral structure is studied and previously unknown effect of the splitting of several lowest resonance modes is found. Diurnal and seasonal regularities of the observability of this effect as well as its dependence on the phase of the eleven-year cycle of solar activity are investigated. The morphological features of the frequency splitting behavior are analyzed and its main phases as development, stationary section and relaxation are identified. Possible mechanisms of the occurrence of splitting effect are suggested.</t>
  </si>
  <si>
    <t>[Baru, N. A.; Koloskov, A. V.; Yampolski, Yu. M.] Natl Acad Sci Ukraine, Inst Radio Astron, Kharkov, Ukraine</t>
  </si>
  <si>
    <t>National Academy of Sciences Ukraine; Institute of Radio Astronomy of the National Academy of Sciences of Ukraine</t>
  </si>
  <si>
    <t>Baru, NA (corresponding author), Natl Acad Sci Ukraine, Inst Radio Astron, Kharkov, Ukraine.</t>
  </si>
  <si>
    <t>Koloskov, Oleksandr/ABB-4631-2020; yampolskiy, yuriy m/ABA-8387-2020; Yampolski, Yuri/AAU-3037-2021</t>
  </si>
  <si>
    <t>Koloskov, Oleksandr/0000-0001-8921-3851;</t>
  </si>
  <si>
    <t>PUBLISHING HOUSE AKADEMPERIODYKA</t>
  </si>
  <si>
    <t>KYIV</t>
  </si>
  <si>
    <t>PUBLISHING HOUSE AKADEMPERIODYKA, KYIV, 00000, UKRAINE</t>
  </si>
  <si>
    <t>1561-8889</t>
  </si>
  <si>
    <t>2518-1459</t>
  </si>
  <si>
    <t>SPACE SCI TECHNOL</t>
  </si>
  <si>
    <t>Space Sci. Technol.</t>
  </si>
  <si>
    <t>10.15407/knit2015.01.058</t>
  </si>
  <si>
    <t>VE7EV</t>
  </si>
  <si>
    <t>WOS:000440143800009</t>
  </si>
  <si>
    <t>Chipperfield, MP</t>
  </si>
  <si>
    <t>Hester, RE; Harrison, RM</t>
  </si>
  <si>
    <t>Chipperfield, Martyn P.</t>
  </si>
  <si>
    <t>Global Atmosphere - The Antarctic Ozone Hole</t>
  </si>
  <si>
    <t>STILL ONLY ONE EARTH: PROGRESS IN THE 40 YEARS SINCE THE FIRST UN CONFERENCE ON THE ENVIRONMENT</t>
  </si>
  <si>
    <t>Issues in Environmental Science and Technology Series</t>
  </si>
  <si>
    <t>DEPLETION; CHLORINE; AEROSOL; MODEL; HNO3; SINK</t>
  </si>
  <si>
    <t>The Antarctic ozone hole has been one of the major environmental issues of the past few decades. Its discovery in the mid 1980s was completely unexpected and prompted intense research activities to determine its cause. That cause was, ultimately, the emission of chlorine and bromine-containing compounds by human activity. In parallel with the discovery of the Antarctic ozone hole, an international agreement to limit the emission of ozone depleting substances, the Montreal Protocol, was signed. This chapter reviews the discovery and scientific cause of the Antarctic ozone hole. The current situation is described and the timescale for the recovery of the ozone layer is discussed.</t>
  </si>
  <si>
    <t>[Chipperfield, Martyn P.] Univ Leeds, Sch Earth &amp; Environm, Leeds, W Yorkshire, England</t>
  </si>
  <si>
    <t>University of Leeds</t>
  </si>
  <si>
    <t>Chipperfield, MP (corresponding author), Univ Leeds, Sch Earth &amp; Environm, Leeds, W Yorkshire, England.</t>
  </si>
  <si>
    <t>M.Chipperfield@leeds.ac.uk</t>
  </si>
  <si>
    <t>Chipperfield, Martyn/H-6359-2013</t>
  </si>
  <si>
    <t>Chipperfield, Martyn/0000-0002-6803-4149</t>
  </si>
  <si>
    <t>THOMAS GRAHAM HOUSE, SCIENCE PARK, CAMBRIDGE CB4 4WF, CAMBS, ENGLAND</t>
  </si>
  <si>
    <t>1350-7583</t>
  </si>
  <si>
    <t>978-1-78262-217-8; 978-1-78262-076-1</t>
  </si>
  <si>
    <t>ISS ENVIRON SCI TECH</t>
  </si>
  <si>
    <t>Iss Environ. Sci. Technol. Ser.</t>
  </si>
  <si>
    <t>10.1039/9781782622178</t>
  </si>
  <si>
    <t>BG3OU</t>
  </si>
  <si>
    <t>WOS:000388101200002</t>
  </si>
  <si>
    <t>Kaur, N</t>
  </si>
  <si>
    <t>Kaur, Navjeet</t>
  </si>
  <si>
    <t>RECENT IMPACT OF MICROWAVE-ASSISTED SYNTHESIS ON BENZO DERIVATIVES OF FIVE-MEMBERED N-HETEROCYCLES</t>
  </si>
  <si>
    <t>SYNTHETIC COMMUNICATIONS</t>
  </si>
  <si>
    <t>Heterocycles; microwave-assisted synthesis; nitrogen</t>
  </si>
  <si>
    <t>ONE-POT SYNTHESIS; FISCHER-INDOLE CYCLIZATION; SOLID-PHASE SYNTHESIS; ORGANIC-SYNTHESIS; LUOTONIN-A; KEY STEP; MULTICOMPONENT REACTIONS; ANTARCTIC SPONGE; GREEN CHEMISTRY; PRIMARY AMINES</t>
  </si>
  <si>
    <t>The development of new strategies for the synthesis of small-sized heterocycles has remained a highly attractive but challenging proposition. An overview of the application of microwave irradiation in nitrogen-containing benzo derivatives of five-membered heterocyclic compounds synthesis is presented here, focusing on the developments in the past 5-10 years. This contribution covers the literature concerning the total synthesis of benzo derivatives of five-membered N-heterocycles.</t>
  </si>
  <si>
    <t>Banasthali Univ, Dept Chem, Banasthali 304022, Rajasthan, India</t>
  </si>
  <si>
    <t>Banasthali Vidyapith</t>
  </si>
  <si>
    <t>Kaur, N (corresponding author), Banasthali Univ, Dept Chem, Banasthali 304022, Rajasthan, India.</t>
  </si>
  <si>
    <t>nvjithaans@gmail.com</t>
  </si>
  <si>
    <t>Kaur, Dr. Navjeet/GLU-1067-2022</t>
  </si>
  <si>
    <t>Kaur, Dr. Navjeet/0000-0001-8373-666X</t>
  </si>
  <si>
    <t>0039-7911</t>
  </si>
  <si>
    <t>1532-2432</t>
  </si>
  <si>
    <t>SYNTHETIC COMMUN</t>
  </si>
  <si>
    <t>Synth. Commun.</t>
  </si>
  <si>
    <t>10.1080/00397911.2013.824983</t>
  </si>
  <si>
    <t>AZ8KB</t>
  </si>
  <si>
    <t>WOS:000348463200001</t>
  </si>
  <si>
    <t>Berge, K; Robertson, B; Burri, L</t>
  </si>
  <si>
    <t>Berge, Kjetil; Robertson, Bruce; Burri, Lena</t>
  </si>
  <si>
    <t>Safety assessment of Superba™ krill powder: Subchronic toxicity study in rats</t>
  </si>
  <si>
    <t>TOXICOLOGY REPORTS</t>
  </si>
  <si>
    <t>Astaxanthin; Krill; Toxicity; Omega-3 fatty acids; Protein</t>
  </si>
  <si>
    <t>N-3 FATTY-ACIDS; OIL; ASTAXANTHIN</t>
  </si>
  <si>
    <t>The safety of krill powder was assessed in a subchronic 13-week toxicity study where rats were fed krill powder or control diets. The krill powder inclusion in the test diet was 9.67% (w/w). There were no differences noted in body weight or food consumption in either gender. Differences in clinical chemistry values were noted in the krill powder-treated animals, but these findings were of no toxicological significance. A significant decrease in absolute heart weight, but not relative heart weight, was observed in both sexes given krill powder, although no corresponding histological changes were observed. Hepatocyte vacuolation was noted histologically in males fed krill powder. This finding was not associated with other indications of hepatic dysfunction. The no observed adverse effect level (NOAEL) for the conditions of this study was considered to be 9.67% krill powder. (C) 2014 The Authors. Published by Elsevier Ireland Ltd. This is an open access article under the CC BY-NC-ND license</t>
  </si>
  <si>
    <t>[Berge, Kjetil; Burri, Lena] Aker BioMarine Antarct AS, Fjordalleen 16,POB 1423 Vika, NO-0115 Oslo, Norway; [Robertson, Bruce] Charles River, Edinburgh EH33 2NE, Midlothian, Scotland</t>
  </si>
  <si>
    <t>Berge, K (corresponding author), Aker BioMarine Antarct AS, Fjordalleen 16,POB 1423 Vika, NO-0115 Oslo, Norway.</t>
  </si>
  <si>
    <t>kjetil.berge@akerbiomarine.com</t>
  </si>
  <si>
    <t>Aker BioMarine Antarctic AS, Oslo, Norway; Norwegian Research Council [199360]</t>
  </si>
  <si>
    <t>Aker BioMarine Antarctic AS, Oslo, Norway; Norwegian Research Council(Research Council of Norway)</t>
  </si>
  <si>
    <t>This work was funded by Aker BioMarine Antarctic AS, Oslo, Norway and by Norwegian Research Council grant nr. 199360. Thanks to Laura Stibich and Line Johnsen for excellent proof-reading of the manuscript.</t>
  </si>
  <si>
    <t>2214-7500</t>
  </si>
  <si>
    <t>TOXICOL REP</t>
  </si>
  <si>
    <t>Toxicol. Rep.</t>
  </si>
  <si>
    <t>10.1016/j.toxrep.2014.11.011</t>
  </si>
  <si>
    <t>Toxicology</t>
  </si>
  <si>
    <t>V3R1G</t>
  </si>
  <si>
    <t>WOS:000218510700015</t>
  </si>
  <si>
    <t>Sutherland, WJ; Clout, M; Depledge, M; Dicks, LV; Dinsdale, J; Entwistle, AC; Fleishman, E; Gibbons, DW; Keim, B; Lickorish, FA; Monk, KA; Ockendon, N; Peck, LS; Pretty, J; Rockström, J; Spalding, MD; Tonneijck, FH; Wintle, BC</t>
  </si>
  <si>
    <t>Sutherland, William J.; Clout, Mick; Depledge, Michael; Dicks, Lynn V.; Dinsdale, Jason; Entwistle, Abigail C.; Fleishman, Erica; Gibbons, David W.; Keim, Brandon; Lickorish, Fiona A.; Monk, Kathryn A.; Ockendon, Nancy; Peck, Lloyd S.; Pretty, Jules; Rockstrom, Johan; Spalding, Mark D.; Tonneijck, Femke H.; Wintle, Bonnie C.</t>
  </si>
  <si>
    <t>A horizon scan of global conservation issues for 2015</t>
  </si>
  <si>
    <t>TRENDS IN ECOLOGY &amp; EVOLUTION</t>
  </si>
  <si>
    <t>environment; public health; priority setting; future; drugs; Antarctica; trade</t>
  </si>
  <si>
    <t>SUSTAINABLE INTENSIFICATION; ANTARCTIC PENINSULA; CORAL; COMMUNITIES; CULTIVATION; MICROALGAE; VEHICLES; BALANCE; DISEASE; POLICY</t>
  </si>
  <si>
    <t>This paper presents the results of our sixth annual horizon scan, which aims to identify phenomena that may have substantial effects on the global environment, but are not widely known or well understood. A group of professional horizon scanners, researchers, practitioners, and a journalist identified 15 topics via an iterative, Delphi-like process. The topics include a novel class of insecticide compounds, legalisation of recreational drugs, and the emergence of a new ecosystem associated with ice retreat in the Antarctic.</t>
  </si>
  <si>
    <t>[Sutherland, William J.; Dicks, Lynn V.; Ockendon, Nancy] Univ Cambridge, Dept Zool, Conservat Sci Grp, Cambridge CB2 3EJ, England; [Clout, Mick] Univ Auckland, Sch Biol Sci, Ctr Biodivers &amp; Biosecur, Auckland 1, New Zealand; [Depledge, Michael] Univ Exeter, Knowledge Spa, European Ctr Environm &amp; Human Hlth, Sch Med, Truro TR1 3HD, England; [Dinsdale, Jason] Environm Agcy, Bristol BS1 5AH, Avon, England; [Entwistle, Abigail C.] Fauna &amp; Flora Int, Cambridge CB1 2JD, England; [Fleishman, Erica] Univ Calif Davis, John Muir Inst Environm, Davis, CA 95616 USA; [Gibbons, David W.] Royal Soc Protect Birds, Ctr Conservat Sci, Sandy SG19 2DL, Beds, England; [Keim, Brandon] WIRED, San Francisco, CA 94107 USA; [Lickorish, Fiona A.] Cranfield Univ, Inst Environm Hlth Risks &amp; Futures, Cranfield MK43 0AL, Beds, England; [Monk, Kathryn A.] Nat Resources Wales, Cardiff CF24 0TP, S Glam, Wales; [Peck, Lloyd S.] British Antarctic Survey, Nat Environm Res Council, Cambridge CB3 0ET, England; [Pretty, Jules] Univ Essex, Dept Biol Sci, Colchester CO4 3SQ, Essex, England; [Pretty, Jules] Univ Essex, Essex Sustainabil Inst, Colchester CO4 3SQ, Essex, England; [Rockstrom, Johan] Stockholm Univ, Stockholm Resilience Ctr, SE-10619 Stockholm, Sweden; [Spalding, Mark D.] Univ Cambridge, Dept Zool, Global Marine Team, Nat Conservancy, Cambridge CB2 3EJ, England; [Tonneijck, Femke H.] Wetlands Int, NL-6700 AL Wageningen, Netherlands; [Wintle, Bonnie C.] Univ Melbourne, Sch Bot, Quantitat &amp; Appl Ecol Grp, Natl Environm Res Program Environm Decis Hub, Melbourne, Vic 3010, Australia</t>
  </si>
  <si>
    <t>University of Cambridge; University of Auckland; University of Exeter; University of California System; University of California Davis; Royal Society for Protection of Birds; Cranfield University; UK Research &amp; Innovation (UKRI); Natural Environment Research Council (NERC); NERC British Antarctic Survey; University of Essex; University of Essex; Stockholm University; University of Cambridge; University of Melbourne; Melbourne Genomics Health Alliance</t>
  </si>
  <si>
    <t>Sutherland, WJ (corresponding author), Univ Cambridge, Dept Zool, Conservat Sci Grp, Downing St, Cambridge CB2 3EJ, England.</t>
  </si>
  <si>
    <t>w.sutherland@zoo.cam.ac.uk</t>
  </si>
  <si>
    <t>Dicks, Lynn V./AFH-5289-2022; Spalding, Mark/GVU-0739-2022; Pretty, Jules/D-4071-2012; Sutherland, William/B-1291-2013; Monk, Kathryn/GRR-2773-2022</t>
  </si>
  <si>
    <t>Dicks, Lynn V./0000-0002-8304-4468; Rockstrom, Johan/0000-0001-8988-2983; Ockendon, Nancy/0000-0001-5055-1079; Pretty, Jules/0000-0002-3897-6581; Clout, Mick/0000-0003-2864-4628; Wintle, Bonnie/0000-0003-0236-6906; Sutherland, William/0000-0002-6498-0437; Depledge, Michael/0000-0002-7216-0439; Lickorish, Fiona/0000-0002-0696-202X; Spalding, Mark/0000-0001-9456-4533</t>
  </si>
  <si>
    <t>UK Natural Environment Research Council; Royal Society for the Protection of Birds; Arcadia; Natural Environment Research Council [bas0100036, NE/K015419/1, NE/F008627/1] Funding Source: researchfish; NERC [bas0100036, NE/F008627/1, NE/K015419/1] Funding Source: UKRI</t>
  </si>
  <si>
    <t>UK Natural Environment Research Council(UK Research &amp; Innovation (UKRI)Natural Environment Research Council (NERC)); Royal Society for the Protection of Birds; Arcadia; Natural Environment Research Council(UK Research &amp; Innovation (UKRI)Natural Environment Research Council (NERC)); NERC(UK Research &amp; Innovation (UKRI)Natural Environment Research Council (NERC))</t>
  </si>
  <si>
    <t>This is an exercise of the Cambridge Conservation Initiative and was funded by the UK Natural Environment Research Council and the Royal Society for the Protection of Birds. We thank Simon Kerley for input. We thank the large number of individuals who suggested issues or responded to questions. For suggesting specific issues that were subsequently modified and described in this article we thank Esther Bertram (pharmaceutical pollution and biofilms), Jan Slaats and Benedict Gove, who independently identified underground coal gasification, Dale Turner (legalisation of recreational drugs), Fiona Fidler (reproducibility in environmental science), Lammert Hilarides (investor-state dispute settlements), and Rod Salm and Eric Conklin (coral diseases in the Indo-Pacific). Tom Warne-Smith and Becky LeAnstey provided advice on investor-state dispute settlements and bioplastics, respectively. W.J.S. is funded by Arcadia.</t>
  </si>
  <si>
    <t>CELL PRESS</t>
  </si>
  <si>
    <t>50 HAMPSHIRE ST, FLOOR 5, CAMBRIDGE, MA 02139 USA</t>
  </si>
  <si>
    <t>0169-5347</t>
  </si>
  <si>
    <t>1872-8383</t>
  </si>
  <si>
    <t>TRENDS ECOL EVOL</t>
  </si>
  <si>
    <t>Trends Ecol. Evol.</t>
  </si>
  <si>
    <t>10.1016/j.tree.2014.11.002</t>
  </si>
  <si>
    <t>AY9IE</t>
  </si>
  <si>
    <t>WOS:000347863000007</t>
  </si>
  <si>
    <t>Celis, JE; Barra, R; Espejo, W; González-Acuña, D; Jara, S</t>
  </si>
  <si>
    <t>Celis, Jose E.; Barra, Ricardo; Espejo, Winfred; Gonzalez-Acuna, Daniel; Jara, Solange</t>
  </si>
  <si>
    <t>Trace Element Concentrations in Biotic Matrices of Gentoo Penguins (Pygoscelis Papua) and Coastal Soils from Different Locations of the Antarctic Peninsula</t>
  </si>
  <si>
    <t>WATER AIR AND SOIL POLLUTION</t>
  </si>
  <si>
    <t>Heavy metals; Seabirds; Penguins; Guano; Biomonitoring; Antarctic pollution</t>
  </si>
  <si>
    <t>HEAVY-METALS CONTAMINATION; KING GEORGE ISLAND; MARINE-ENVIRONMENT; SEDIMENTS; LEAD; CADMIUM; ECOSYSTEMS; FEATHERS; MERCURY; BAY</t>
  </si>
  <si>
    <t>The aim of this work is to increase the information on trace metals in seabirds and coastal soils in the Antarctica. Concentrations (mg kg(-1) dry weight) of Cd, Cu, Cr, Ni, Mn, Zn and Pb were determined by ICP-MS in fresh excreta and feathers of Gentoo penguins as well as in soils around the nesting sites where this species inhabits. Samples were collected in four locations throughout the Antarctic Peninsula (January 2014): O'Higgins Base, Stranger Point, Neko Harbor and Doumer Island. The highest levels of elements were found in excreta from O'Higgins Base (2.92, 266.83, 2.99, 44.75, 18.15, 1.68 and 317.92 for Cd, Cu, Cr, Mn, Ni, Pb and Zn, respectively) and Stranger Point (1.97, 222.51, 2.98, 36.62, 13.41, 1.46 and 201.18 for Cd, Cu, Cr, Mn, Ni, Pb and Zn, respectively. Similarly, the highest levels were found in feathers from O'Higgins Base (0.21, 20.89, 1.44, 1.19, 5.90, 0.63 and 64.07 for Cd, Cu, Cr, Mn, Ni, Pb and Zn, respectively) and Stranger Point (0.14, 19.65, 1.47, 1.23, 3.85, 0.60 and 64.19 for Cd, Cu, Cr, Mn, Ni, Pb and Zn, respectively). In soils, the highest levels were found in O'Higgins Base (4.31, 421.94, 64.75, 404.76, 28.13, 281.54 and 484.99 for Cd, Cu, Cr, Mn, Ni, Pb and Zn, respectively), whereas the lowest levels were found in Neko Harbor and Doumer Island. These results observed could be related to the major human presence in the northern area of the Antarctic Peninsula and large-scale transport of pollutants. The metals detected in the excreta of the Gentoo penguin can contribute to increase the contamination of coastal terrestrial ecosystems, which could also affect other living organisms.</t>
  </si>
  <si>
    <t>[Celis, Jose E.; Gonzalez-Acuna, Daniel] Univ Concepcion, Fac Ciencias Vet, Chillan, Chile; [Barra, Ricardo; Espejo, Winfred; Jara, Solange] Univ Concepcion, Fac Ciencias Ambientales, Concepcion, Chile</t>
  </si>
  <si>
    <t>Universidad de Concepcion; Universidad de Concepcion</t>
  </si>
  <si>
    <t>Celis, JE (corresponding author), Univ Concepcion, Fac Ciencias Vet, Casilla 537, Chillan, Chile.</t>
  </si>
  <si>
    <t>jcelis@udec.cl</t>
  </si>
  <si>
    <t>Barra, Ricardo O./A-5543-2009; Espejo, Winfred/AAO-7150-2020; CELIS, JOSE/AAP-6048-2021</t>
  </si>
  <si>
    <t>Barra, Ricardo O./0000-0002-1567-7722; CELIS, JOSE E./0000-0002-2458-1239; Espejo, Winfred/0000-0002-3753-2006</t>
  </si>
  <si>
    <t>INACH [T 18-09, RG 09-14]</t>
  </si>
  <si>
    <t>INACH</t>
  </si>
  <si>
    <t>Many thanks are due to the personnel of the Laboratorio de Quimica (Universidad de Concepcion, EULA-Chile) for their analytical support, and also to Dr. Mario Briones for all the statistical analyses. We thank the Instituto Antartico Chileno for providing logistical support. This study was financially supported by the project INACH T 18-09 granted to R. Barra and by the project INACH RG 09-14 granted to J. Celis. We finally thank Diane Haughney for the English revision.</t>
  </si>
  <si>
    <t>0049-6979</t>
  </si>
  <si>
    <t>1573-2932</t>
  </si>
  <si>
    <t>WATER AIR SOIL POLL</t>
  </si>
  <si>
    <t>Water Air Soil Pollut.</t>
  </si>
  <si>
    <t>10.1007/s11270-014-2266-5</t>
  </si>
  <si>
    <t>Environmental Sciences; Meteorology &amp; Atmospheric Sciences; Water Resources</t>
  </si>
  <si>
    <t>Environmental Sciences &amp; Ecology; Meteorology &amp; Atmospheric Sciences; Water Resources</t>
  </si>
  <si>
    <t>AW9XU</t>
  </si>
  <si>
    <t>WOS:000346609300027</t>
  </si>
  <si>
    <t>Saucède, T; Griffiths, H; Moreau, C; Jackson, JA; Sands, C; Downey, R; Reed, A; Mackenzie, M; Geissler, P; Linse, K</t>
  </si>
  <si>
    <t>Saucede, Thomas; Griffiths, Huw; Moreau, Camille; Jackson, Jennifer A.; Sands, Chester; Downey, Rachel; Reed, Adam; Mackenzie, Melanie; Geissler, Paul; Linse, Katrin</t>
  </si>
  <si>
    <t>East Weddell Sea echinoids from the JR275 expedition</t>
  </si>
  <si>
    <t>Echinoidea; Southern Ocean; Biodiversity</t>
  </si>
  <si>
    <t>BIODIVERSITY; DATABASE</t>
  </si>
  <si>
    <t>Information regarding the echinoids in this dataset is based on the Agassiz Trawl (AGT) and epibenthic sledge (EBS) samples collected during the British Antarctic Survey cruise JR275 on the RRS James Clark Ross in the austral summer 2012. A total of 56 (1 at the South Orkneys and 55 in the Eastern Weddell Sea) Agassiz Trawl and 18 (2 at the South Orkneys and 16 in the Eastern Weddell Sea) epibenthic sledge deployments were performed at depths ranging from similar to 280 to similar to 2060 m. This presents a unique collection for the Antarctic benthic biodiversity assessment of an important group of benthic invertebrates. In total 487 specimens belonging to six families, 15 genera, and 22 morphospecies were collected. The species richness per station varied between one and six. Total species richness represents 27% of the 82 echinoid species ever recorded in the Southern Ocean (David et al. 2005b, Pierrat et al. 2012, Saucede et al. 2014). The Cidaridae (sub-family Ctenocidarinae) and Schizasteridae are the two most speciose families in the dataset. They comprise seven and nine species respectively. This is illustrative of the overall pattern of echinoid diversity in the Southern Ocean where 65% of Antarctic species belong to the families Schizasteridae and Cidaridae (Pierrat et al. 2012).</t>
  </si>
  <si>
    <t>[Saucede, Thomas] Univ Bourgogne, UMR CNRS Biogeosci 6282, F-21000 Dijon, France; [Griffiths, Huw; Moreau, Camille; Jackson, Jennifer A.; Sands, Chester; Geissler, Paul; Linse, Katrin] British Antarctic Survey, Cambridge CB3 0ET, England; [Downey, Rachel] Forschungsinst, Sekt Marine Evertebraten 1, Frankfurt, Germany; [Downey, Rachel] Nat Museum Senckenberg, Frankfurt, Germany; [Reed, Adam] Univ Southampton, Natl Oceanog Ctr Southampton, Sch Ocean &amp; Earth Sci, Southampton SO9 5NH, Hants, England; [Mackenzie, Melanie] Museum Victoria, Dept Marine Sci, Portland, Vic, Australia</t>
  </si>
  <si>
    <t>Universite de Bourgogne; UK Research &amp; Innovation (UKRI); Natural Environment Research Council (NERC); NERC British Antarctic Survey; Senckenberg Gesellschaft fur Naturforschung (SGN); University of Southampton; NERC National Oceanography Centre; Museum Victoria</t>
  </si>
  <si>
    <t>Griffiths, H (corresponding author), British Antarctic Survey, High Cross Madingley Rd, Cambridge CB3 0ET, England.</t>
  </si>
  <si>
    <t>hjg@bas.ac.uk</t>
  </si>
  <si>
    <t>Downey, Rachel/Q-4156-2019; Griffiths, Huw J/D-4234-2009; Jackson, Jennifer A/E-7997-2013; Reed, Adam/Q-7276-2017</t>
  </si>
  <si>
    <t>Griffiths, Huw J/0000-0003-1764-223X; Moreau, Camille/0000-0002-0981-7442; Linse, Katrin/0000-0003-3477-3047; Sands, Chester/0000-0003-1028-0328; Downey, Rachel/0000-0001-9275-8879; Jackson, Jennifer/0000-0003-4158-1924; Reed, Adam/0000-0003-2200-5067</t>
  </si>
  <si>
    <t>NERC [bas0100036] Funding Source: UKRI; Natural Environment Research Council [bas0100036] Funding Source: researchfish</t>
  </si>
  <si>
    <t>10.3897/zookeys.504.8860</t>
  </si>
  <si>
    <t>CI6MP</t>
  </si>
  <si>
    <t>Green Published, gold, Green Accepted, Green Submitted</t>
  </si>
  <si>
    <t>WOS:000354874000001</t>
  </si>
  <si>
    <t>Jossart, Q; Moreau, C; Agüera, A; De Broyer, C; Danis, B</t>
  </si>
  <si>
    <t>Jossart, Quentin; Moreau, Camille; Aguera, Antonio; De Broyer, Claude; Danis, Bruno</t>
  </si>
  <si>
    <t>The Register of Antarctic Marine Species (RAMS): a ten-year appraisal</t>
  </si>
  <si>
    <t>Register of Antarctic Marine Species; Biodiversity; Southern Ocean; Antarctic; Bibliometrics; Asteroidea</t>
  </si>
  <si>
    <t>The Register of Antarctic Marine Species (RAMS) is a marine species database that manages an authoritative taxonomic list of species occurring in the Southern Ocean. RAMS links with several other initiatives managing biogeographic or genomics information. The current paper aims to briefly present RAMS and provides an updated snapshot of its contents, in the form of a DarwinCore checklist (available through http://ipt.biodiversity.aq/resource.do?r=rams) and illustrative barplots. Moreover, this article presents a ten year appraisal (since the creation of RAMS). This appraisal first focuses on RAMS bibliometrics. We observed that RAMS was cited (Google Scholar) in 50 distinct publications among which 32 were peer-reviewed in 18 different journals. Three journals (Antarctic Science, Polar Biology, ZooKeys) represent almost 40% of these peer-review publications. The second appraisal focuses on the evolution of new RAMS records. We observed an important decrease in data additions since 2011. As a case study, we focused on an original dataset for a specific group (Asteroidea, Echinodermata). It appears that around one hundred species of asteroids are lacking in RAMS despite the relatively high availability of these data. This suggests that the users' community (or collaborative projects such as AquaRES) could be helpful in order to maintain the RAMS database over the long term.</t>
  </si>
  <si>
    <t>[Jossart, Quentin; Moreau, Camille; Aguera, Antonio; Danis, Bruno] Univ Libre Bruxelles, B-1000 Brussels, Belgium; [De Broyer, Claude] Inst Royal Sci Nat Belgique, B-1000 Brussels, Belgium</t>
  </si>
  <si>
    <t>Danis, B (corresponding author), Univ Libre Bruxelles, 50 Ave Franklin Roosevelt, B-1000 Brussels, Belgium.</t>
  </si>
  <si>
    <t>bdanis@ulb.ac.be</t>
  </si>
  <si>
    <t>Agüera, Antonio/O-5498-2017; Danis, Bruno/AAS-8444-2021</t>
  </si>
  <si>
    <t>Agüera, Antonio/0000-0003-0076-1849; Danis, Bruno/0000-0002-9037-7623; Jossart, Quentin/0000-0002-2280-243X; Moreau, Camille/0000-0002-0981-7442</t>
  </si>
  <si>
    <t>Belgian Science Policy Office (BELSPO) [BR/132/A1/vERSO, BR/132/A6/AquaRES]</t>
  </si>
  <si>
    <t>Belgian Science Policy Office (BELSPO)(Belgian Federal Science Policy Office)</t>
  </si>
  <si>
    <t>This paper is contribution #7 to the vERSO project (http://www.versoproject.be, contract noBR/132/A1/vERSO) and a contribution to the AquaRES project (http://odnature.naturalsciences.be/aquares, contract no BR/132/A6/AquaRES) funded by the Belgian Science Policy Office (BELSPO).</t>
  </si>
  <si>
    <t>10.3897/zookeys.524.6091</t>
  </si>
  <si>
    <t>CT0VI</t>
  </si>
  <si>
    <t>WOS:000362515200007</t>
  </si>
  <si>
    <t>Vodopivez, C; Curtosi, A; Villaamil, E; Smichowski, P; Pelletier, E; Mac Cormack, WP</t>
  </si>
  <si>
    <t>Vodopivez, Cristian; Curtosi, Antonio; Villaamil, Edda; Smichowski, Patricia; Pelletier, Emilien; Mac Cormack, Walter P.</t>
  </si>
  <si>
    <t>Heavy metals in sediments and soft tissues of the Antarctic clam Laternula elliptica: More evidence as a ? possible biomonitor of coastal marine pollution at high latitudes?</t>
  </si>
  <si>
    <t>SCIENCE OF THE TOTAL ENVIRONMENT</t>
  </si>
  <si>
    <t>Antarctic clam; Metal pollution; Potter Cove; Marine sediments; Biomonitoring</t>
  </si>
  <si>
    <t>KING-GEORGE-ISLAND; SOUTH SHETLAND ISLANDS; TRACE-METALS; POTTER COVE; BODY-SIZE; ACCUMULATION; BAY; CONTAMINATION; GEOCHEMISTRY; ORGANISMS</t>
  </si>
  <si>
    <t>Studies on metal contamination in 25 de Mayo Island, Antarctica, yielded controversial results. In this work, we analyzed Antarctic marine sediments and Antarctic clam (Laternula elliptica) tissues to investigate the possible use of this mollusk as a biomonitor of metals and to identify the sources of metal pollution. Different types of paint from several buildings from Carlini Station were examined to assess their contribution to the local and random metal pollution. Five sediment samples, 105 L elliptica specimens (40.2-78.0 mm length) and four types of paint were analyzed to quantify Cd, Cr, Cu, Fe, Mn, Pb and Zn using inductively coupled plasma-optical emission spectrometry. Metal concentrations in sediments were lower than the global averages of the earth's crust, with the exception of Cd and Cu. These results were related to the contribution of the local fresh-water runoff. The different varieties of paint showed low levels of Cu, Mn, Fe and Zn, whereas a broad range of values were found in the case of Cr and Pb (20-15,100 mu g.g(-1) and 153-115,500 mu g.g(-1) respectively). The remains of the paint would be responsible for the significant increases in Cr and Pb which are randomly detected by us and by other authors. High levels of Fe and Cd, in comparison to other Antarctic areas, appear to be related to the terrigenous materials transported by the local streams. Accumulation indexes suggested that kidney tissue from L. elliptica could be an adequate material for biomonitoring pollution with Cd, Zn and probably also Pb. In general, relationships between size and metal contents reported by other authors were not verified, suggesting that this issue should be revised. (C) 2014 Elsevier B.V. All rights reserved.</t>
  </si>
  <si>
    <t>[Vodopivez, Cristian; Curtosi, Antonio; Mac Cormack, Walter P.] Inst Antartico Argentino, Buenos Aires, DF, Argentina; [Villaamil, Edda] Univ Buenos Aires, Fac Farm &amp; Bioquim, Catedra Toxicol, RA-1053 Buenos Aires, DF, Argentina; [Smichowski, Patricia] Comis Nacl Energia Atom, Unidad Actividad Quim, RA-1650 Buenos Aires, DF, Argentina; [Pelletier, Emilien] Univ Quebec, Inst Sci Mer Rimouski ISMER, Rimouski, PQ G5L 3A1, Canada; [Mac Cormack, Walter P.] Univ Buenos Aires, Fac Farm &amp; Bioquim, Inst Nanobiotecnol NANOBIOTEC UBA CONICET, RA-1053 Buenos Aires, DF, Argentina</t>
  </si>
  <si>
    <t>Instituto Antartico Argentino; University of Buenos Aires; Comision Nacional de Energia Atomica (CNEA); University of Quebec; University of Buenos Aires</t>
  </si>
  <si>
    <t>Mac Cormack, WP (corresponding author), Inst Antartico Argentino, Balcarce 290,C1091AAF Buenos Aires, Buenos Aires, DF, Argentina.</t>
  </si>
  <si>
    <t>wmac@ffyb.uba.ar</t>
  </si>
  <si>
    <t>Villaamil, Edda/AAF-5716-2020</t>
  </si>
  <si>
    <t>Mac Cormack, Walter/0000-0002-5280-5463</t>
  </si>
  <si>
    <t>Agenda Nacional de Promocion Cientifica y Tecnologica (ANPCyT) [PICTO 2010-0124, PICTO 2010-0106]; Universidad de Buenos Aires [UBA 20020100100378]; European Commission through the Marie Curie Action IRSES [318718]; Canadian Research Chair in Ecotoxicology of High Latitude Ecosystems; Quebec-Ocean Strategic Network (FQRNT)</t>
  </si>
  <si>
    <t>Agenda Nacional de Promocion Cientifica y Tecnologica (ANPCyT)(ANPCyT); Universidad de Buenos Aires(University of Buenos Aires); European Commission through the Marie Curie Action IRSES; Canadian Research Chair in Ecotoxicology of High Latitude Ecosystems; Quebec-Ocean Strategic Network (FQRNT)(FQRNT)</t>
  </si>
  <si>
    <t>This research was carried out under an agreement between the Instituto Antartico Argentino and the Facultad de Farmacia y Bioquimica of the Universidad de Buenos Aires. This work was supported by grants PICTO 2010-0124 and PICTO 2010-0106 from the Agenda Nacional de Promocion Cientifica y Tecnologica (ANPCyT) and UBA 20020100100378 from Universidad de Buenos Aires. Also we had the financial support from the European Commission through the Marie Curie Action IRSES, project reference no. 318718, Activity code FP7-PEOPLE-2012-IRSES, IMCONet (Interdisciplinary Modeling of climate change in coastal Western Antarctica - Network for staff Exchange and Training), the Canadian Research Chair in Ecotoxicology of High Latitude Ecosystems (E. Pelletier) and the Quebec-Ocean Strategic Network (FQRNT). Many thanks go to personal of the Institut des Sciences de la Mer a Rimouski (ISMER/UQAR) for technical and professional assistance in chemical analysis and Cecilia Ferreiro for their revision of the English language in the manuscript</t>
  </si>
  <si>
    <t>0048-9697</t>
  </si>
  <si>
    <t>1879-1026</t>
  </si>
  <si>
    <t>SCI TOTAL ENVIRON</t>
  </si>
  <si>
    <t>Sci. Total Environ.</t>
  </si>
  <si>
    <t>10.1016/j.scitotenv.2014.09.031</t>
  </si>
  <si>
    <t>AU6RZ</t>
  </si>
  <si>
    <t>WOS:000345730800040</t>
  </si>
  <si>
    <t>Dauner, ALL; Hernández, EA; MacCormack, WP; Martins, CC</t>
  </si>
  <si>
    <t>Dauner, Ana Lucia L.; Hernandez, Ecigardo A.; MacCormack, Walter P.; Martins, Cesar C.</t>
  </si>
  <si>
    <t>Molecular characterisation of anthropogenic sources of sedimentary organic matter from Potter Cove, King George Island, Antarctica</t>
  </si>
  <si>
    <t>Petroleum hydrocarbons; PAHs; Coprostanol; Sewage; Carlini station; Antarctica</t>
  </si>
  <si>
    <t>POLYCYCLIC AROMATIC-HYDROCARBONS; LINEAR ALKYLBENZENES LABS; SOUTH SHETLAND ISLANDS; AREA SANTOS ESTUARY; MARINE-SEDIMENTS; ADMIRALTY BAY; FECAL STEROLS; SURFACE SEDIMENTS; CLOSTRIDIUM-PERFRINGENS; SEWAGE CONTAMINATION</t>
  </si>
  <si>
    <t>Although relatively recent, human activities in Antarctica, such as growing tourism, fishery activities, and scientific operations, have affected some areas of this continent. These activities eventually release pollutants, such as petroleum and its derivatives and sewage, into this environment. Located on King George Island (25 de Mayo Island), Potter Cove (62 degrees 14'S, 58 degrees 39'W) is home to the Argentine Carlini research station. To evaluate the anthropogenic impacts surrounding Potter Cove, sediment samples were collected and analysed for sewage and fuel introduction via the determination of organic markers. The highest concentrations were found in the central portion of the fjords, where fine sediments are deposited and the accumulation of organic molecules is favoured. Aliphatic hydrocarbons were mainly derived from biogenic sources, evidenced by the predominance of odd short-chain n-alkanes. Anthropogenic impacts were evidenced primarily by the presence of PAHs, which were predominantly related to petrogenic sources, such as vessel and boat traffic. Sewage marker concentrations were much lower than those found in other Antarctic regions. These results indicate that oil hydrocarbons and sewage inputs to Potter Cove may be considered low or only slightly influential. (C) 2014 Elsevier B.V. All rights reserved.</t>
  </si>
  <si>
    <t>[Dauner, Ana Lucia L.; Martins, Cesar C.] Univ Fed Parana, Ctr Estudos Mar, BR-83255976 Pontal Do Parana, PR, Brazil; [Dauner, Ana Lucia L.] Univ Fed Parana, Programa Posgrad Sistemas Costeiros &amp; Ocean PGSIS, BR-83255976 Pontal Do Parana, PR, Brazil; [Hernandez, Ecigardo A.; MacCormack, Walter P.] Univ Buenos Aires, Fac Farm &amp; Bioquim, RA-1053 Buenos Aires, DF, Argentina; [Hernandez, Ecigardo A.; MacCormack, Walter P.] Inst Antartico Argentina, Direccion Nacl Antartico, Buenos Aires, DF, Argentina</t>
  </si>
  <si>
    <t>Universidade Federal do Parana; Universidade Federal do Parana; University of Buenos Aires; Instituto Antartico Argentino</t>
  </si>
  <si>
    <t>Dauner, ALL (corresponding author), Univ Fed Parana, Ctr Estudos Mar, POB 61, BR-83255976 Pontal Do Parana, PR, Brazil.</t>
  </si>
  <si>
    <t>anadauner@gmail.com; ccmart@ufpr.br</t>
  </si>
  <si>
    <t>de Castro Martins, Cesar C/I-1086-2012; Dauner, Ana Lúcia Lindroth/AAF-1544-2021</t>
  </si>
  <si>
    <t>Dauner, Ana Lúcia Lindroth/0000-0002-9686-6241; Mac Cormack, Walter/0000-0002-5280-5463; de Castro Martins, Cesar/0000-0002-2515-5565</t>
  </si>
  <si>
    <t>CNPq (National Council for Scientific and Technological Development) [305763/2011-3]; CNPq [121444/2010-4]; CAPES (Coordenacao de Aperfeicoamento de Pessoal de Ensino Superior); CAPES; Agencia Nacional de Promocion Cientifica y Tecnologica [PICTO 2010-0124]; Universidad de Buenos Aires [UBACyT 20020100100378]</t>
  </si>
  <si>
    <t>CNPq (National Council for Scientific and Technological Development)(Conselho Nacional de Desenvolvimento Cientifico e Tecnologico (CNPQ)); CNPq(Conselho Nacional de Desenvolvimento Cientifico e Tecnologico (CNPQ)); CAPES (Coordenacao de Aperfeicoamento de Pessoal de Ensino Superior)(Coordenacao de Aperfeicoamento de Pessoal de Nivel Superior (CAPES)); CAPES(Coordenacao de Aperfeicoamento de Pessoal de Nivel Superior (CAPES)); Agencia Nacional de Promocion Cientifica y Tecnologica(ANPCyTSpanish Government); Universidad de Buenos Aires(University of Buenos Aires)</t>
  </si>
  <si>
    <t>C. C. Martins is grateful to CNPq (National Council for Scientific and Technological Development) for a research grant (305763/2011-3). A. L. L. Dauner thanks CNPq (121444/2010-4) for B.Sc. scholarship and CAPES (Coordenacao de Aperfeicoamento de Pessoal de Ensino Superior) for an M.Sc. scholarship. Additionally, the authors would like to thank Dr. Marcelo Lamour and the staff of the Laboratorio de Estudos Morfodinamicos e Sedimentologicos do CEM/UFPR for their assistance with the grain size analyses (Grant from CAPES Pro-Equipamentos 2011). This work contributes to the Brazilian National Science and Technology Institute on Antarctic Environmental Research (INCT-APA, CNPq 574018/2008-5 and FAPERJ E-16/170023/2008). Dr Mac Cormack thanks the Agencia Nacional de Promocion Cientifica y Tecnologica (PICTO 2010-0124) and the Universidad de Buenos Aires (UBACyT 20020100100378) for supporting this work.</t>
  </si>
  <si>
    <t>10.1016/j.scitotenv.2014.09.043</t>
  </si>
  <si>
    <t>WOS:000345730800044</t>
  </si>
  <si>
    <t>Richards, RG; Davidson, AT; Meynecke, JO; Beattie, K; Hernaman, V; Lynam, T; van Putten, IE</t>
  </si>
  <si>
    <t>Richards, Russell G.; Davidson, Andrew T.; Meynecke, Jan-Olaf; Beattie, Kerrod; Hernaman, Vanessa; Lynam, Tim; van Putten, Ingrid E.</t>
  </si>
  <si>
    <t>Effects and mitigations of ocean acidification on wild and aquaculture scallop and prawn fisheries in Queensland, Australia</t>
  </si>
  <si>
    <t>FISHERIES RESEARCH</t>
  </si>
  <si>
    <t>Ocean acidification; Fisheries management; Crustaceans; Molluscs; Climate change</t>
  </si>
  <si>
    <t>ACID-BASE-BALANCE; EARLY-LIFE STAGES; LARVAL DEVELOPMENT; CLIMATE-CHANGE; CRASSOSTREA-GIGAS; BALLOTI BERNARDI; MARINE; CO2; GROWTH; IMPACT</t>
  </si>
  <si>
    <t>Ocean acidification (OA) is caused by increasing levels of atmospheric CO2 dissolving into the world's oceans. These changes are predicted to have detrimental effects on commercial and aquaculture fisheries. Here we examine the implications of OA on the prawn and scallop fisheries in Queensland, Australia, and compare the adaptive capacity of wild and aquaculture fisheries to address and mitigate its effects. We do this by reviewing the available OA literature for scallops and prawns to determine the likely impacts, and our confidence in these impacts, on Queensland prawn and scallop species. The tolerance of scallops and prawns to OA is determined by species-specific differences in their structure, life history, environmental preference, behaviour, physiology and sources of nutrition. Studies of similar taxa are used to supplement the sparse information available for the target species. Wild populations of prawns and scallops appear to be more vulnerable to OA and climate-induced stresses than aquaculture-based populations as ameliorating physico-chemical change in natural waters is difficult or impossible. Our analysis suggests the wild prawn fishery is more resilient to increasing OA conditions than the scallop fishery. We also conclude that aquaculture is likely to be more viable in the long term than the wild fishery as aquaculture facilities allow water quality monitoring and modification to avoid excessive exposure to the physico-chemical stresses imposed by OA and climate change. (C) 2014 Elsevier B.V. All rights reserved.</t>
  </si>
  <si>
    <t>[Richards, Russell G.; Meynecke, Jan-Olaf] Griffith Univ, Griffith Ctr Coastal Management, Brisbane, Qld 4111, Australia; [Richards, Russell G.] Griffith Univ, Griffith Climate Change Response Program, Gold Coast, Qld 4222, Australia; [Davidson, Andrew T.] Australian Antarctic Div, Kingston, Tas 7050, Australia; [Davidson, Andrew T.] Antarctic Climate &amp; Ecosyst Cooperat Res Ctr, Hobart, Tas 7001, Australia; [Meynecke, Jan-Olaf] Griffith Univ, Australian Rivers Inst Coast &amp; Estuaries, Nathan, Qld 4222, Australia; [Beattie, Kerrod] Dept Agr Fisheries &amp; Forestry, Brisbane, Qld, Australia; [Hernaman, Vanessa] Queensland Climate Change Ctr Excellence, Brisbane, Qld, Australia; [Lynam, Tim] Reflecting Soc, Townsville, Qld, Australia; [van Putten, Ingrid E.] CSIRO Marine &amp; Atmospher Res, CSIRO Wealth Oceans Natl Res Flagship, Hobart, Tas 7001, Australia</t>
  </si>
  <si>
    <t>Griffith University; Griffith University; Griffith University - Gold Coast Campus; Australian Antarctic Division; Antarctic Climate &amp; Ecosystems Cooperative Research Centre (ACE CRC); Griffith University; Queensland Department of Agriculture &amp; Fisheries; Commonwealth Scientific &amp; Industrial Research Organisation (CSIRO)</t>
  </si>
  <si>
    <t>Richards, RG (corresponding author), Griffith Univ, 170 Kessels Rd, Nathan, Qld 4111, Australia.</t>
  </si>
  <si>
    <t>r.richards@griffith.edu.au</t>
  </si>
  <si>
    <t>Hernaman, Vanessa/ABA-8227-2021; /AAL-3738-2021; van putten, ingrid/AAV-1301-2021</t>
  </si>
  <si>
    <t>Hernaman, Vanessa/0000-0002-0042-7579; van putten, ingrid/0000-0001-8397-9768; , Jan-Olaf/0000-0002-4639-4055</t>
  </si>
  <si>
    <t>Adaptation Research Network for Marine Biodiversity and Resources</t>
  </si>
  <si>
    <t>This research was funded through a grant provided by the Adaptation Research Network for Marine Biodiversity and Resources. We are grateful for the support and input of many contributors to this project, in particular, Clare Brooker (Adaptation Research Network for Marine Biodiversity and Resources), Eddie Jebreen (Queensland Department of Agriculture, Fisheries &amp; Forestry), Dr Torn Courtney (Queensland Department of Agriculture, Fisheries &amp; Forestry) and Brian Russell (Director, Queensland Sea Scallops PM.</t>
  </si>
  <si>
    <t>0165-7836</t>
  </si>
  <si>
    <t>1872-6763</t>
  </si>
  <si>
    <t>FISH RES</t>
  </si>
  <si>
    <t>Fish Res.</t>
  </si>
  <si>
    <t>10.1016/j.fishres.2014.06.013</t>
  </si>
  <si>
    <t>AU2XT</t>
  </si>
  <si>
    <t>WOS:000345478600006</t>
  </si>
  <si>
    <t>Hamilton, S; Baker, GB</t>
  </si>
  <si>
    <t>Hamilton, Sheryl; Baker, G. Barry</t>
  </si>
  <si>
    <t>Review of research and assessments on the efficacy of sea lion exclusion devices in reducing the incidental mortality of New Zealand sea lions Phocarctos hookeri in the Auckland Islands squid trawl fishery</t>
  </si>
  <si>
    <t>New Zealand sea lion; Fisheries mortality; Mitigation; Sea lion exclusion device</t>
  </si>
  <si>
    <t>PUP PRODUCTION; BY-CATCH</t>
  </si>
  <si>
    <t>New Zealand sea lions are incidentally killed in the Auckland Islands squid trawl fishery. Sea lion exclusion devices (SLEDS) that allow animals to escape from the trawl net have received considerable,development and assessment attention. Nonetheless, there are claims that some animals could suffer head trauma when colliding with the hard grid that forms part of the SLED and this may compromise post-escape survival. We reviewed published and unpublished research that assessed the effectiveness of SLEDs in reducing the incidental capture (i.e. bycatch) of sea lions, including assessments on the likelihood of post-SLED survival. The available evidence shows that SLEDs are effective in reducing sea lion bycatch in trawl nets and contribute to reduced rates of observed sea lion mortality in the Auckland Islands squid fishery. Efforts to test SLED efficacy have shown that most sea lions are likely to survive following their escape via a SLED, despite the shortage of verifying video evidence due to poor visibility at fishing depths. Laboratory necropsies of incidentally caught sea lions have been unable to reliably evaluate post-SLED survivability of sea lions due to the effects of on-board handling of carcasses, including the logistical necessity of freezing them. Some lesions initially considered to be evidence of trauma were subsequently deemed to be artefacts of freezing. Nonetheless, there was no clear difference in the trauma assessments between sea lions caught in nets with and without SLEDs. Biomechanical modelling suggested it was unlikely that impact with a SLED would cause fatal brain trauma and the probability of concussion that could result in post-SLED drowning was probably less than 10%. As fisheries bycatch has been reduced to levels that are unlikely to be driving continued decline of New Zealand sea lions at the Auckland Islands, future work may be better focussed on alternative research and management areas that may be more effective in addressing and reversing New Zealand sea lion population decline. (C) 2014 Elsevier B.V. All rights reserved.</t>
  </si>
  <si>
    <t>[Hamilton, Sheryl; Baker, G. Barry] Latitude 42 Environm Consultants Pty Ltd, Kettering, Tas 7155, Australia; [Baker, G. Barry] Univ Tasmania, Inst Marine &amp; Antarctic Studies, Hobart, Tas, Australia</t>
  </si>
  <si>
    <t>Baker, GB (corresponding author), Latitude 42 Environm Consultants Pty Ltd, 114 Watsons Rd, Kettering, Tas 7155, Australia.</t>
  </si>
  <si>
    <t>barry.baker@latitude42.com.au</t>
  </si>
  <si>
    <t>Baker, G. Barry/0000-0003-4766-8182</t>
  </si>
  <si>
    <t>The Deepwater Group Ltd. (Richard Wells and George Clement)</t>
  </si>
  <si>
    <t>Thanks to Richard Wells for access to non-published reports relevant to this paper. We are grateful for the extensive work carried out by E. Abraham, R. Anderson, B. Banerjee, P. Breen, J. Lyle, L. Meynier, D. Middleton, G. Ponte, W. Roe and A. van den Berg who conducted much of the research reviewed here under contract to the Deepwater Group Ltd. and the New Zealand Ministry of Fisheries (now Ministry of Primary Industries). The Deepwater Group Ltd. (Richard Wells and George Clement) provided funding for this work and comments on drafts of this paper. Simon Childerhouse and Aleks Terauds provided comments which greatly enhanced early drafts of this paper. The review of the manuscript undertaken by Derek Hamer and an anonymous reviewer significantly improved this paper. We also thank Priya Viswanathan, Andre Punt and the Editorial Board for managing the editorial processes involved in the publication of this paper.</t>
  </si>
  <si>
    <t>10.1016/j.fishres.2014.07.010</t>
  </si>
  <si>
    <t>WOS:000345478600021</t>
  </si>
  <si>
    <t>Gardner, C; Hartmann, K; Punt, AE; Jennings, S</t>
  </si>
  <si>
    <t>Gardner, Caleb; Hartmann, Klaas; Punt, Andre E.; Jennings, Sarah</t>
  </si>
  <si>
    <t>In pursuit of maximum economic yield in an ITQ managed lobster fishery</t>
  </si>
  <si>
    <t>MEY; TAC; Catch shares; Bioeconomic model; Jesus edwardsii</t>
  </si>
  <si>
    <t>JASUS-EDWARDSII; ROCK LOBSTER; NEW-ZEALAND; AUSTRALIA; VICTORIA; OPTIMISM; FACE</t>
  </si>
  <si>
    <t>A bioeconomic analysis of the Tasmanian rock lobster Jasus edwardsii fishery was conducted using a length- and sex-structured population dynamics model. This model was also spatially- and temporally-structured to account for differences in costs of fishing and prices as well as differences in abundance and productivity among regions within the fishery. The current total allowable commercial catch (TACC) was found to be higher than the level that would maximise economic yield, and this left the industry vulnerable to temporal changes in productivity. Alternative pathways to lower TACCs were explored, but these had less effect on economic yield than the final TACC. The TACC did not move towards MEY through normal decision-making based on biological stock assessments despite the fishery operating under individual transferable quota (ITQ) management for over a decade. This is because industry and government have struggled to accept that economic yield and asset values could increase with lower catches. Bioeconomic analysis assisted in debate on decreasing the TACC, suggesting formal economic analysis is required for effective ITQ management. (C) 2014 Elsevier B.V. All rights reserved.</t>
  </si>
  <si>
    <t>[Gardner, Caleb; Hartmann, Klaas] Univ Tasmania, Inst Marine &amp; Antarctic Studies, Hobart, Tas 7001, Australia; [Punt, Andre E.] CSIRO Marine &amp; Atmospher Res, CSIRO Oceans &amp; Atmosphere Flagship, Hobart, Tas 7001, Australia; [Punt, Andre E.] Univ Washington, Sch Aquat &amp; Fishery Sci, Seattle, WA 98195 USA; [Jennings, Sarah] Univ Tasmania, Sch Econ &amp; Finance, Hobart, Tas 7001, Australia</t>
  </si>
  <si>
    <t>University of Tasmania; Commonwealth Scientific &amp; Industrial Research Organisation (CSIRO); University of Washington; University of Washington Seattle; University of Tasmania</t>
  </si>
  <si>
    <t>Gardner, C (corresponding author), Univ Tasmania, Inst Marine &amp; Antarctic Studies, Private Bag 49, Hobart, Tas 7001, Australia.</t>
  </si>
  <si>
    <t>Caleb.Gardner@utas.edu.au</t>
  </si>
  <si>
    <t>Hartmann, Klaas/B-3991-2008; Jennings, Sarah/J-7888-2014; Gardner, Caleb/I-7086-2013</t>
  </si>
  <si>
    <t>Jennings, Sarah/0000-0002-5760-4193; Gardner, Caleb/0000-0003-0324-4337</t>
  </si>
  <si>
    <t>Australian Seafood Cooperative Research Centre; Fisheries Research and Development Corporation; Tasmanian Department of Primary Industry, Parks, Water and the Environment; Tasmanian Rock Lobster Fishermen's Association; Southern Rock Lobster Ltd.</t>
  </si>
  <si>
    <t>Australian Seafood Cooperative Research Centre(Australian GovernmentDepartment of Industry, Innovation and ScienceCooperative Research Centres (CRC) Programme); Fisheries Research and Development Corporation; Tasmanian Department of Primary Industry, Parks, Water and the Environment; Tasmanian Rock Lobster Fishermen's Association; Southern Rock Lobster Ltd.</t>
  </si>
  <si>
    <t>The manuscript was substantially improved by the input of referees. The research was supported by the Australian Seafood Cooperative Research Centre; the Fisheries Research and Development Corporation; the Tasmanian Department of Primary Industry, Parks, Water and the Environment; the Tasmanian Rock Lobster Fishermen's Association; and Southern Rock Lobster Ltd.</t>
  </si>
  <si>
    <t>10.1016/j.fishres.2014.08.015</t>
  </si>
  <si>
    <t>WOS:000345478600032</t>
  </si>
  <si>
    <t>Goldman, JAL; Kranz, SA; Young, JN; Tortell, PD; Stanley, RHR; Bender, ML; Morel, FMM</t>
  </si>
  <si>
    <t>Goldman, Johanna A. L.; Kranz, Sven A.; Young, Jodi N.; Tortell, Philippe D.; Stanley, Rachel H. R.; Bender, Michael L.; Morel, Francois M. M.</t>
  </si>
  <si>
    <t>Gross and net production during the spring bloom along the Western Antarctic Peninsula</t>
  </si>
  <si>
    <t>cold adaptation; cyclic electron flow (CEF); Fragilariopsis cylindrus; gross production; net community production; respiration; Western Antarctic Peninsula</t>
  </si>
  <si>
    <t>TRIPLE-ISOTOPE COMPOSITION; TEMPERATURE-ACCLIMATION; BIOLOGICAL PRODUCTION; BACTERIAL PRODUCTION; DISSOLVED-OXYGEN; CLIMATE-CHANGE; IN-VITRO; PHYTOPLANKTON; RESPIRATION; OCEAN</t>
  </si>
  <si>
    <t>This study explores some of the physiological mechanisms responsible for high productivity near the shelf in the Western Antarctic Peninsula despite a short growing season and cold temperature. We measured gross and net primary production at Palmer Station during the summer of 2012/2013 via three different techniques: incubation with (H2O)-O-18; incubation with (CO2)-C-14; and in situ measurements of O-2/Ar and triple oxygen isotope. Additional laboratory experiments were performed with the psychrophilic diatom Fragilariopsis cylindrus. During the spring bloom, which accounted for more than half of the seasonal gross production at Palmer Station, the ratio of net-to-gross production reached a maximum greater than c. 60%, among the highest ever reported. The use of multiple techniques showed that these high ratios resulted from low heterotrophic respiration and very low daylight autotrophic respiration. Laboratory experiments revealed a similar ratio of net-to-gross O-2 production in F.cylindrus and provided the first experimental evidence for an important level of cyclic electron flow (CEF) in this organism. The low ratio of community respiration to gross primary production observed during the bloom at Palmer Station may be characteristic of high latitude coastal ecosystems and partially supported by a very active CEF in psychrophilic phytoplankton.</t>
  </si>
  <si>
    <t>[Goldman, Johanna A. L.; Kranz, Sven A.; Young, Jodi N.; Bender, Michael L.; Morel, Francois M. M.] Princeton Univ, Dept Geosci, Princeton, NJ 08544 USA; [Tortell, Philippe D.] Univ British Columbia, Dept Earth Ocean &amp; Atmospher Sci, Dept Bot, Vancouver, BC V6T 1Z4, Canada; [Stanley, Rachel H. R.] Woods Hole Oceanog Inst, Dept Marine Chem &amp; Geochem, Woods Hole, MA 02543 USA</t>
  </si>
  <si>
    <t>Princeton University; University of British Columbia; Woods Hole Oceanographic Institution</t>
  </si>
  <si>
    <t>Goldman, JAL (corresponding author), Princeton Univ, Dept Geosci, Princeton, NJ 08544 USA.</t>
  </si>
  <si>
    <t>johannag@princeton.edu</t>
  </si>
  <si>
    <t>United States Antarctic Program; US National Science Foundation [1040965, 1043593]; Natural Science and Engineering Research Council of Canada; Direct For Biological Sciences; Emerging Frontiers [1040965] Funding Source: National Science Foundation; Office of Polar Programs (OPP); Directorate For Geosciences [1043593] Funding Source: National Science Foundation</t>
  </si>
  <si>
    <t>United States Antarctic Program; US National Science Foundation(National Science Foundation (NSF)); Natural Science and Engineering Research Council of Canada(Natural Sciences and Engineering Research Council of Canada (NSERC)); Direct For Biological Sciences; Emerging Frontiers(National Science Foundation (NSF)NSF - Directorate for Biological Sciences (BIO)); Office of Polar Programs (OPP); Directorate For Geosciences(National Science Foundation (NSF)NSF - Directorate for Geosciences (GEO))</t>
  </si>
  <si>
    <t>We would like to acknowledge the exceptional assistance and support of the United States Antarctic Program support staff at Palmer station as well as the entire Palmer LTER science team. We are particularly thankful to Professor Hugh Ducklow for his help with bacteria productivity measurements. We also thank Professor John Dacey for his assistance during sampling, Stefanie Strebel for her assistance at Palmer station, and Zoe Sandwith for her assistance in measuring triple oxygen isotopes. We are very grateful to Professor Paul Falkowski for letting us use his facilities and instrument to measure cyclic electron flow, and to Dr Benjamin Bailleul for his expert advice and patient help for cyclic electron flow measurements. We also wish to thank Professor Maria Prokopenko for her helpful comments. This study was supported by funds from the US National Science Foundation (Award numbers 1040965 and 1043593). Funding to P.D.T. was provided by the Natural Science and Engineering Research Council of Canada.</t>
  </si>
  <si>
    <t>10.1111/nph.13125</t>
  </si>
  <si>
    <t>WOS:000345596700021</t>
  </si>
  <si>
    <t>Kranz, SA; Young, JN; Hopkinson, BM; Goldman, JAL; Tortell, PD; Morel, FMM</t>
  </si>
  <si>
    <t>Kranz, Sven A.; Young, Jodi N.; Hopkinson, Brian M.; Goldman, Johanna A. L.; Tortell, Philippe D.; Morel, Francois M. M.</t>
  </si>
  <si>
    <t>Low temperature reduces the energetic requirement for the CO2 concentrating mechanism in diatoms</t>
  </si>
  <si>
    <t>CO2 concentrating mechanism; diatoms; modeling; phytoplankton; primary production; psychrophilic; Western Antarctic Peninsula</t>
  </si>
  <si>
    <t>INORGANIC CARBON UPTAKE; SOUTHERN-OCEAN PHYTOPLANKTON; ANHYDRASE ACTIVITY; ISOTOPE DISEQUILIBRIUM; SEA PHYTOPLANKTON; MARINE DIATOMS; ACQUISITION; BICARBONATE; FRACTIONATION; SEAWATER</t>
  </si>
  <si>
    <t>The goal of this study is to investigate the CO2 concentrating mechanism (CCM) of the dominant phytoplankton species during the growing season at Palmer station in the Western Antarctic Peninsula. Key CCM parameters (cellular half-saturation constants for CO2 fixation, carbonic anhydrase activity, CO2/HCO3- uptake, C-13(org)) in natural phytoplankton assemblages were determined. Those results, together with additional measurements on CO2 membrane permeability from Fragilariopsis cylindrus laboratory cultures, were used to develop a numerical model of the CCM of cold water diatoms. The field data demonstrate that the dominant species throughout the season possess an effective CCM, which achieves near saturation of CO2 for fixation. The model provides a means to examine the role of eCA activity and HCO3-/CO2 uptake in the functioning of the CCM. According to the model, the increase in C-13(org) during the bloom results chiefly from decreasing ambient CO2 concentration (which reduces the gross diffusive flux across the membrane) rather than a shift in inorganic carbon uptake from CO2 to HCO3-. The CCM of diatoms in the Western Antarctic Peninsula functions with a relatively small expenditure of energy, resulting chiefly from the low half-saturation constant for Rubisco at cold temperatures.</t>
  </si>
  <si>
    <t>[Kranz, Sven A.; Young, Jodi N.; Goldman, Johanna A. L.; Morel, Francois M. M.] Princeton Univ, Dept Geosci, Princeton, NJ 08544 USA; [Hopkinson, Brian M.] Univ Georgia, Dept Marine Sci, Athens, GA 30602 USA; [Tortell, Philippe D.] Univ British Columbia, Dept Earth Ocean &amp; Atmospher Sci, Vancouver, BC V6T 1Z4, Canada</t>
  </si>
  <si>
    <t>Princeton University; University System of Georgia; University of Georgia; University of British Columbia</t>
  </si>
  <si>
    <t>Kranz, SA (corresponding author), Florida State Univ, Dept Earth Ocean &amp; Atmospher Sci, Tallahassee, FL 32306 USA.</t>
  </si>
  <si>
    <t>skranz@princeton.edu</t>
  </si>
  <si>
    <t>US National Science Foundation [OPP 1043593, EF 1040965, OCE 0825192, EF 1041034, MCB 1129326]; Natural Sciences and Engineering Research Council (NSERC) Canada; Directorate For Geosciences; Office of Polar Programs (OPP) [1043593] Funding Source: National Science Foundation; Emerging Frontiers; Direct For Biological Sciences [1040965, 1041034] Funding Source: National Science Foundation</t>
  </si>
  <si>
    <t>US National Science Foundation(National Science Foundation (NSF)); Natural Sciences and Engineering Research Council (NSERC) Canada(Natural Sciences and Engineering Research Council of Canada (NSERC)); Directorate For Geosciences; Office of Polar Programs (OPP)(National Science Foundation (NSF)NSF - Directorate for Geosciences (GEO)); Emerging Frontiers; Direct For Biological Sciences(National Science Foundation (NSF)NSF - Directorate for Biological Sciences (BIO))</t>
  </si>
  <si>
    <t>We wish to acknowledge the exceptional assistance provided by the science support and administrative staff at Palmer Station and the entire Palmer LTER science team. We also want to acknowledge the help Bjorn Rost and Jana Holscher (AWI, Germany) for the help with the analysis of total alkalinity samples. This study was supported by funds from the US National Science Foundation (OPP 1043593, EF 1040965, OCE 0825192); B.M.H. was supported by funds from the US National Science Foundation (EF 1041034, MCB 1129326); P.D.T. was supported by the Natural Sciences and Engineering Research Council (NSERC) Canada.</t>
  </si>
  <si>
    <t>10.1111/nph.12976</t>
  </si>
  <si>
    <t>WOS:000345596700022</t>
  </si>
  <si>
    <t>Lamendin, R; Miller, K; Ward, RD</t>
  </si>
  <si>
    <t>Lamendin, Richard; Miller, Karen; Ward, Robert D.</t>
  </si>
  <si>
    <t>Labelling accuracy in Tasmanian seafood: An investigation using DNA barcoding</t>
  </si>
  <si>
    <t>FOOD CONTROL</t>
  </si>
  <si>
    <t>Barcoding; CO1; Seafood; Mislabelling; Species identification; Standard fish names</t>
  </si>
  <si>
    <t>MARKET SUBSTITUTION; IDENTIFICATION; REVEALS; PRODUCTS; FINS; SOLD</t>
  </si>
  <si>
    <t>Mislabelling of seafood products has been documented in numerous countries for over three-quarters of a century. With a trend towards increased consumption of seafood, the informed consumer demands accurately labelled products that provide full disclosure of composition. DNA barcoding can be used to accurately identify a seafood product to species based on its genetic signature, and so provides a means to test the authenticity and accuracy of seafood labelling. This can be especially useful for products such as fillets which have few or no unambiguous identifying characters, and can easily be mislabelled. We investigated labelling accuracy in seafood retailers in Tasmania, Australia. Thirty-eight seafood products were obtained from seafood retailers, sequenced for the barcoding gene region cytochrome oxidase subunit 1(CO1), and subsequently identified to species level by querying GenBank and Barcode of Life Data Systems (BOLD) DNA sequence records. Results were compared with standard fish names (SFN) prescribed under the Australian Fish Names Standard (AFNS) and FishBase. Of the 38 samples, none were deemed to have been mislabelled under Australian regulation, although in some cases naming discrepancies and ambiguity may cause confusion for some consumers. Our work, while reflecting high standards in Tasmanian seafood, highlights the need for mandatory standard labelling across all seafood products so as to eliminate any possible misrepresentation. (C) 2014 Elsevier Ltd. All rights reserved.</t>
  </si>
  <si>
    <t>[Lamendin, Richard] Univ Tasmania, Inst Marine &amp; Antarctic Studies, Sandy Bay, Tas 7000, Australia; [Miller, Karen] Univ Western Australia, Oceans Inst M096, Australian Inst Marine Sci, Nedlands, WA 6009, Australia; [Ward, Robert D.] Commonwealth Sci Res &amp; Ind Res Org, Marine &amp; Atmospher Res, Hobart, Tas 7001, Australia</t>
  </si>
  <si>
    <t>University of Tasmania; Australian Institute of Marine Science; University of Western Australia</t>
  </si>
  <si>
    <t>Lamendin, R (corresponding author), Univ Tasmania, Inst Marine &amp; Antarctic Studies, Car Alexander St &amp; Grosvenor St, Sandy Bay, Tas 7000, Australia.</t>
  </si>
  <si>
    <t>rjlamendin@gmail.com</t>
  </si>
  <si>
    <t>Miller, Karen/A-7902-2011; Miller, Karen/V-4098-2019; Ward, Robert D/A-2319-2012</t>
  </si>
  <si>
    <t>0956-7135</t>
  </si>
  <si>
    <t>1873-7129</t>
  </si>
  <si>
    <t>Food Control</t>
  </si>
  <si>
    <t>10.1016/j.foodcont.2014.07.039</t>
  </si>
  <si>
    <t>AR5GI</t>
  </si>
  <si>
    <t>WOS:000343612700062</t>
  </si>
  <si>
    <t>Onana, VD; Koenig, LS; Ruth, J; Studinger, M; Harbeck, JP</t>
  </si>
  <si>
    <t>Onana, Vincent de Paul; Koenig, Lora S.; Ruth, Julia; Studinger, Michael; Harbeck, Jeremy P.</t>
  </si>
  <si>
    <t>A Semiautomated Multilayer Picking Algorithm for Ice-Sheet Radar Echograms Applied to Ground-Based Near-Surface Data</t>
  </si>
  <si>
    <t>IEEE TRANSACTIONS ON GEOSCIENCE AND REMOTE SENSING</t>
  </si>
  <si>
    <t>Antarctic ice sheet; image transforms; layers' trackability; radar echo sounding; Radon transform (RT)</t>
  </si>
  <si>
    <t>LOCALIZED RADON-TRANSFORM; LINEAR FEATURES; WIDE-BAND; ACCUMULATION; SNOW; THICKNESS; PROFILE; IMAGES; LAYERS</t>
  </si>
  <si>
    <t>Snow accumulation over an ice sheet is the sole mass input, making it a primary measurement for understanding the past, present, and future mass balance. Near-surface frequency-modulated continuous-wave (FMCW) radars image isochronous firn layers recording accumulation histories. The Semiautomated Multilayer Picking Algorithm (SAMPA) was designed and developed to trace annual accumulation layers in polar firn from both airborne and ground-based radars. The SAMPA algorithm is based on the Radon transform (RT) computed by blocks and angular orientations over a radar echogram. For each echogram's block, the RT maps firn segmented-layer features into peaks, which are picked using amplitude and width threshold parameters of peaks. A backward RT is then computed for each corresponding block, mapping the peaks back into picked segmented-layers. The segmented layers are then connected and smoothed to achieve a final layer pick across the echogram. Once input parameters are trained, SAMPA operates autonomously and can process hundreds of kilometers of radar data picking more than 40 layers. SAMPA final pick results and layer numbering still require a cursory manual adjustment to correct noncontinuous picks, which are likely not annual, and to correct for inconsistency in layer numbering. Despite the manual effort to train and check SAMPA results, it is an efficient tool for picking multiple accumulation layers in polar firn, reducing time over manual digitizing efforts. The trackability of good detected layers is greater than 90%.</t>
  </si>
  <si>
    <t>[Onana, Vincent de Paul; Koenig, Lora S.; Studinger, Michael; Harbeck, Jeremy P.] NASA, Goddard Space Flight Ctr, Cryospher Sci Branch Code 615, Greenbelt, MD 20771 USA; [Onana, Vincent de Paul; Harbeck, Jeremy P.] ADNET Syst Inc, Lanham, MD 20706 USA; [Ruth, Julia] Univ Maryland, Dept Phys, College Pk, MD 20740 USA; [Harbeck, Jeremy P.] Univ Alaska Fairbanks, Fairbanks, AK 99775 USA</t>
  </si>
  <si>
    <t>National Aeronautics &amp; Space Administration (NASA); NASA Goddard Space Flight Center; University System of Maryland; University of Maryland College Park; University of Alaska System; University of Alaska Fairbanks</t>
  </si>
  <si>
    <t>Onana, VD (corresponding author), NASA, Goddard Space Flight Ctr, Cryospher Sci Branch Code 615, Greenbelt, MD 20771 USA.</t>
  </si>
  <si>
    <t>vincentdepaul.onana@nasa.gov; Lora.s.koenig@nasa.gov; jmruth@terpmail.umd.edu; michael.studinger@nasa.gov; jeremy.p.harbeck@nasa.gov</t>
  </si>
  <si>
    <t>Studinger, Michael/0000-0003-1265-4741</t>
  </si>
  <si>
    <t>NASA's Airborne Science and Cryospheric Sciences Programs; National Science Foundation Antarctic Glaciology Program</t>
  </si>
  <si>
    <t>NASA's Airborne Science and Cryospheric Sciences Programs; National Science Foundation Antarctic Glaciology Program(National Science Foundation (NSF)NSF - Directorate for Geosciences (GEO))</t>
  </si>
  <si>
    <t>This work was supported by a collaborative grant between NASA's Airborne Science and Cryospheric Sciences Programs and the National Science Foundation Antarctic Glaciology Program.</t>
  </si>
  <si>
    <t>0196-2892</t>
  </si>
  <si>
    <t>1558-0644</t>
  </si>
  <si>
    <t>IEEE T GEOSCI REMOTE</t>
  </si>
  <si>
    <t>IEEE Trans. Geosci. Remote Sensing</t>
  </si>
  <si>
    <t>10.1109/TGRS.2014.2318208</t>
  </si>
  <si>
    <t>Geochemistry &amp; Geophysics; Engineering, Electrical &amp; Electronic; Remote Sensing; Imaging Science &amp; Photographic Technology</t>
  </si>
  <si>
    <t>Geochemistry &amp; Geophysics; Engineering; Remote Sensing; Imaging Science &amp; Photographic Technology</t>
  </si>
  <si>
    <t>AO7MG</t>
  </si>
  <si>
    <t>WOS:000341536700005</t>
  </si>
  <si>
    <t>Jezek, KC; Johnson, JT; Drinkwater, MR; Macelloni, G; Tsang, L; Aksoy, M; Durand, M</t>
  </si>
  <si>
    <t>Jezek, Kenneth C.; Johnson, Joel T.; Drinkwater, Mark R.; Macelloni, Giovanni; Tsang, Leung; Aksoy, Mustafa; Durand, Michael</t>
  </si>
  <si>
    <t>Radiometric Approach for Estimating Relative Changes in Intraglacier Average Temperature</t>
  </si>
  <si>
    <t>Antarctica; geoscience; Greenland; microwave radiometry; radiometers</t>
  </si>
  <si>
    <t>ICE; ANTARCTICA; MODEL</t>
  </si>
  <si>
    <t>We investigate the degree to which ultrahigh frequency radio emission can be used to estimate subsurface physical temperature in the polar ice sheets. We combine electromagnetic emission forward models with plausible models of depth-dependent physical properties in the ice sheet. Temperature models are parameterized with variables including accumulation rate, geothermal heat flux, and surface temperature. Scattering is parameterized using empirical observations of grain growth combined with measured densities. Electromagnetic absorption is modeled using dielectric dispersion processes and semiempirical models based on observations. Our models illustrate that information about East Antarctic ice sheet temperature from near the surface to near the base can be gleaned from ultrawideband radiometer data. Based on our modeling study, we illustrate an instrument concept to measure ice sheet temperature profiles comprising a novel ultrawideband radiometer.</t>
  </si>
  <si>
    <t>[Jezek, Kenneth C.; Durand, Michael] Ohio State Univ, Byrd Polar Res Ctr, Columbus, OH 43210 USA; [Johnson, Joel T.; Aksoy, Mustafa] Ohio State Univ, Dept Elect &amp; Comp Engn, Columbus, OH 43210 USA; [Drinkwater, Mark R.] European Space Agcy, NL-2200 AG Noordwijk, Netherlands; [Macelloni, Giovanni] CNR, Inst Appl Phys, I-50019 Florence, Italy; [Tsang, Leung] Univ Washington, Dept Elect Engn, Seattle, WA 98195 USA</t>
  </si>
  <si>
    <t>University System of Ohio; Ohio State University; University System of Ohio; Ohio State University; European Space Agency; Consiglio Nazionale delle Ricerche (CNR); Istituto di Fisiologia Clinica (IFC-CNR); Istituto di Fisica Applicata Nello Carrara (IFAC-CNR); University of Washington; University of Washington Seattle</t>
  </si>
  <si>
    <t>Jezek, KC (corresponding author), Ohio State Univ, Byrd Polar Res Ctr, Columbus, OH 43210 USA.</t>
  </si>
  <si>
    <t>Aksoy, Mustafa/AAG-8279-2019; Macelloni, Giovanni/B-7518-2015; Durand, Michael/D-2885-2013; Drinkwater, Mark/C-2478-2011</t>
  </si>
  <si>
    <t>Aksoy, Mustafa/0000-0001-5452-1862; MACELLONI, GIOVANNI/0000-0002-9738-7939; Durand, Michael/0000-0003-2682-6196; Drinkwater, Mark/0000-0002-9250-3806</t>
  </si>
  <si>
    <t>National Aeronautics and Space Administration's Cryospheric Research Program; National Aeronautics and Space Administration's IIP Program</t>
  </si>
  <si>
    <t>This work was supported in part by the National Aeronautics and Space Administration's Cryospheric Research and IIP Programs.</t>
  </si>
  <si>
    <t>10.1109/TGRS.2014.2319265</t>
  </si>
  <si>
    <t>WOS:000341536700010</t>
  </si>
  <si>
    <t>Fernandes, LF; Calixto-Feres, M; Tenenbaum, DR; Procopiak, LK; Portinho, D; Hinz, F</t>
  </si>
  <si>
    <t>Fernandes, Luciano F.; Calixto-Feres, Mariana; Tenenbaum, Denise Rivera; Procopiak, Leticia K.; Portinho, Danielle; Hinz, Friedel</t>
  </si>
  <si>
    <t>Fine morphology of four Licmophora (Bacillariophyta, Licmophorales) species from Admiralty Bay and Elephant Island, Antarctic Peninsula</t>
  </si>
  <si>
    <t>IHERINGIA SERIE BOTANICA</t>
  </si>
  <si>
    <t>benthic diatoms; taxonomy; ultrastructure</t>
  </si>
  <si>
    <t>KING-GEORGE-ISLAND; POTTER COVE; DIATOMS; NOV.</t>
  </si>
  <si>
    <t>In this paper, four Antarctic species of the diatom genus Licmophora namely L. antarctica M. Peragallo, L. belgicae M. Peragallo, L. gracilis (Ehrenberg) Grunow and L. luxuriosa Heiden are described using an electron microscope, based on two collections of samples collected during different expeditions under the Brazilian Antarctic program (Summer of 1994, and 2003 to 2010). Plankton and benthic samplings were carried out at different locations in King George and Elephant Islands, Antarctic Peninsula. The fine morphologies of three endemic species, L. antarctica, L. belgicae and L. luxuriosa, are described, including information on structures like rimoportula, poroids and multiscissura. L. gracilis was also examined for confirmation of its identity. Comparisons with allied species are also provided, as well as their geographic distribution around the Antarctic Peninsula.</t>
  </si>
  <si>
    <t>[Fernandes, Luciano F.; Calixto-Feres, Mariana] Univ Fed Parana, Dept Bot, BR-81531900 Curitiba, Parana, Brazil; [Tenenbaum, Denise Rivera] Univ Fed Rio de Janeiro, Lab Fitoplancton Marinho, Ilha Fundao, BR-21949900 Rio De Janeiro, Brazil; [Hinz, Friedel] Alfred Wegener Inst Polar &amp; Marine Res, D-27570 Bremerhaven, Germany</t>
  </si>
  <si>
    <t>Universidade Federal do Parana; Universidade Federal do Rio de Janeiro; Helmholtz Association; Alfred Wegener Institute, Helmholtz Centre for Polar &amp; Marine Research</t>
  </si>
  <si>
    <t>Fernandes, LF (corresponding author), Univ Fed Parana, Dept Bot, CP 19031, BR-81531900 Curitiba, Parana, Brazil.</t>
  </si>
  <si>
    <t>luc.felicio@gmail.com</t>
  </si>
  <si>
    <t>Fernandes, Luciano F/J-9907-2013; Portinho, Danielle/A-9757-2014</t>
  </si>
  <si>
    <t>Brazilian Ministry of the Environment; Ministry of Science and Technology; National Council for Research and Development; Instituto Nacional de Ciencia e Tecnologia Antartico de Pesquisas Ambientais (CNPq) [574018/2008-5]; Coordenacao de Aperfeicoamento de Pessoal de Nivel Superior (CAPES/REUNI)</t>
  </si>
  <si>
    <t>Brazilian Ministry of the Environment; Ministry of Science and Technology(Spanish Government); National Council for Research and Development; Instituto Nacional de Ciencia e Tecnologia Antartico de Pesquisas Ambientais (CNPq)(Conselho Nacional de Desenvolvimento Cientifico e Tecnologico (CNPQ)Fundacao de Apoio a Pesquisa do Distrito Federal (FAPDF)); Coordenacao de Aperfeicoamento de Pessoal de Nivel Superior (CAPES/REUNI)(Coordenacao de Aperfeicoamento de Pessoal de Nivel Superior (CAPES))</t>
  </si>
  <si>
    <t>This study was part of the Brazilian Antarctic Program and the International Polar Year, funded by the Brazilian Ministry of the Environment, Ministry of Science and Technology, and National Council for Research and Development, in addition to being part of multidisciplinary projects within the International Polar Year and the Census of Antarctic Marine Life. It is currently supported by the Instituto Nacional de Ciencia e Tecnologia Antartico de Pesquisas Ambientais (CNPq proc. No. 574018/2008-5). The Center of Electron Microscope of Federal University of Parana made the facilities available, including the electron microscopes. M.C.F. received a fellowhsip from the Coordenacao de Aperfeicoamento de Pessoal de Nivel Superior (CAPES/REUNI). We are truly grateful to the Brazilian navy and the crew of Ary Rongel vessel for assistance with SCUBA diving. Personnel at the Friedrich Hustedt Diatom Study Centre (Germany) kindly assisted with the diatom slides examined in this study.</t>
  </si>
  <si>
    <t>FUNDACAO ZOOBOTANICA RIO GRANDE SUL, MUSEU CIENCIAS NATURAIS</t>
  </si>
  <si>
    <t>PORTO ALEGRE</t>
  </si>
  <si>
    <t>CAIXA POSTAL 1188, PORTO ALEGRE, RS 00000, BRAZIL</t>
  </si>
  <si>
    <t>2446-8231</t>
  </si>
  <si>
    <t>IHERINGIA SER BOT</t>
  </si>
  <si>
    <t>Iheringia Ser. Bot.</t>
  </si>
  <si>
    <t>DEC 31</t>
  </si>
  <si>
    <t>CD7EG</t>
  </si>
  <si>
    <t>WOS:000351253000022</t>
  </si>
  <si>
    <t>Ertz, D; Aptroot, A; Van de Vijver, B; Sliwa, L; Moermans, C; Ovstedal, D</t>
  </si>
  <si>
    <t>Ertz, Damien; Aptroot, Andre; Van de Vijver, Bart; Sliwa, Lucyna; Moermans, Coraline; Ovstedal, Dag</t>
  </si>
  <si>
    <t>Lichens from the Utsteinen Nunatak (Sor Rondane Mountains, Antarctica), with the description of one new species and the establishment of permanent plots</t>
  </si>
  <si>
    <t>PHYTOTAXA</t>
  </si>
  <si>
    <t>Dronning Maud Land; monitoring; Princess Elisabeth Station; taxonomy; Trapelia</t>
  </si>
  <si>
    <t>BACTERIAL DIVERSITY; EAST ANTARCTICA; KNOWLEDGE; XANTHORIA; REVISION; FLORA; LAND</t>
  </si>
  <si>
    <t>In order to establish baseline environmental conditions at the Utsteinen Nunatak (Sor Rondane Mountains, Antarctica) chosen for the installation of the new Belgian Antarctic research station, a detailed survey of the different lichen species was performed in 2007. The establishment of permanent plots will allow the accurate monitoring of possible future impacts of human activities on the biodiversity and, on a long-term scale, to detect future climate changes. A complete survey of the lichen species was made for each of the 23 permanent plots of the Utsteinen Ridge. The abundance of each species within each plot was also evaluated. Exhaustive lists of lichens were also completed for other parts of the Utsteinen Nunatak. Additionally, historic collections from the same area were revised. A total of twenty-three lichen species and two lichenicolous fungi was detected in the recent samples whereas the historic material yielded three additional species. These results raise the total number of known taxa for the Sor Rondane Mountains from ten to 28, despite the small area investigated. Trapelia antarctica is described as new to science. Buellia bastini is synonymized with Buellia nelsonii and Lecidea autenboeri is synonymized with Carbonea vorticosa. The lichen flora of Utsteinen is made of a high percentage (48%) of Antarctic endemics. Lichens were abundantly present on the Utsteinen Ridge. The numbers of species per plot varied from one to 18 with an average of ten. The detailed grid map for the Utsteinen Ridge will be useful in monitoring future changes in lichen population and diversity. Five plots presented the richest lichen flora and need therefore careful protection against any future human activities.</t>
  </si>
  <si>
    <t>[Ertz, Damien; Aptroot, Andre; Van de Vijver, Bart; Moermans, Coraline] Dept Bryophyta &amp; Thallophyta, Bot Garden Meise, BE-1860 Meise, Belgium; [Van de Vijver, Bart] Univ Antwerp, ECOBE, Dept Biol, B-2610 Antwerp, Belgium; [Sliwa, Lucyna] Polish Acad Sci, W Szafer Inst Bot, Lab Lichenol, PL-31512 Krakow, Poland; [Ovstedal, Dag] Univ Bergen, DNS, Bergen Museum, N-5007 Bergen, Norway</t>
  </si>
  <si>
    <t>University of Antwerp; Polish Academy of Sciences; W. Szafer Institute of Botany of the Polish Academy of Sciences; University of Bergen</t>
  </si>
  <si>
    <t>Ertz, D (corresponding author), Dept Bryophyta &amp; Thallophyta, Bot Garden Meise, BE-1860 Meise, Belgium.</t>
  </si>
  <si>
    <t>damien.ertz@br.fgov.be; l.sliwa@botany.pl; Dag.Ovstedal@bm.uib.no</t>
  </si>
  <si>
    <t>Sliwa, Lucyna/0000-0002-7662-1415</t>
  </si>
  <si>
    <t>Belgian Federal Science Policy Office (BelSPO) [SD/BA/853 (ANTAR-IMPACT), SD/EA/05A (BELDIVA)]; BelSPO</t>
  </si>
  <si>
    <t>Belgian Federal Science Policy Office (BelSPO)(Belgian Federal Science Policy Office); BelSPO(Belgian Federal Science Policy Office)</t>
  </si>
  <si>
    <t>This work was funded by the Belgian Federal Science Policy Office (BelSPO), project no. SD/BA/853 (ANTAR-IMPACT) and no. SD/EA/05A (BELDIVA). The BELARE 2007 expedition was also funded by BelSPO. Thanks are due to the IPF (International Polar Foundation) for the organization of the expedition of DE. We would like to warmly thank Ulrike Ruprecht who identified Lecidella siplei using our ITS sequences of the Utsteinen material, Prof. H. Mayrhofer who kindly confirmed the identification of Amandinea petermannii and Dr. Elie Verleyen who provided the satellite photo of the Sor Rondane Mountains.</t>
  </si>
  <si>
    <t>MAGNOLIA PRESS</t>
  </si>
  <si>
    <t>AUCKLAND</t>
  </si>
  <si>
    <t>250F Marua Road Mt Wellington, AUCKLAND, ST LUKES 1023, NEW ZEALAND</t>
  </si>
  <si>
    <t>1179-3155</t>
  </si>
  <si>
    <t>1179-3163</t>
  </si>
  <si>
    <t>Phytotaxa</t>
  </si>
  <si>
    <t>DEC 30</t>
  </si>
  <si>
    <t>10.11646/phytotaxa.191.1.6</t>
  </si>
  <si>
    <t>AY4LK</t>
  </si>
  <si>
    <t>WOS:000347549400006</t>
  </si>
  <si>
    <t>Hu, ZJ; Ebihara, Y; Yang, HG; Hu, HQ; Zhang, BC; Ni, BB; Shi, R; Trondsen, TS</t>
  </si>
  <si>
    <t>Hu, Ze-Jun; Ebihara, Yusuke; Yang, Hui-Gen; Hu, Hong-Qiao; Zhang, Bei-Chen; Ni, Binbin; Shi, Run; Trondsen, Trond S.</t>
  </si>
  <si>
    <t>Hemispheric asymmetry of the structure of dayside auroral oval</t>
  </si>
  <si>
    <t>GEOPHYSICAL RESEARCH LETTERS</t>
  </si>
  <si>
    <t>dayside aurora</t>
  </si>
  <si>
    <t>INTERPLANETARY MAGNETIC-FIELD; ALIGNED CURRENTS; ELECTRIC-FIELD; MAGNETOSPHERE; IONOSPHERE; CONVECTION; IMF</t>
  </si>
  <si>
    <t>A comprehensive analysis of long-term and multispectral auroral observations made in the Arctic and Antarctica demonstrates that the dayside auroral ovals in two hemispheres are both presented in a two-peak structure, namely, the prenoon 09:00 magnetic local time (MLT) and postnoon 15:00 MLT peaks. The two-peak structures of dayside ovals, however, are asymmetric in the two hemispheres; i.e., the postnoon average auroral intensity is more than the prenoon one in the Northern Hemisphere but less in the Southern Hemisphere. The hemispheric asymmetry cannot be accounted for by the effect of the interplanetary magnetic field B-y component and the seasonal difference of ionospheric conductivities in the two hemispheres, which were used to interpret satellite-observed real-time auroral intensity asymmetries in the two hemispheres in previous studies. We suggest that the hemispheric asymmetry is the combined effect of the prenoon-postnoon variations of the magnetosheath density and local ionospheric conductivity.</t>
  </si>
  <si>
    <t>[Hu, Ze-Jun; Yang, Hui-Gen; Hu, Hong-Qiao; Zhang, Bei-Chen] Polar Res Inst China, SOA Key Lab Polar Sci, Shanghai, Peoples R China; [Ebihara, Yusuke] Kyoto Univ, Res Inst Sustainable Humanosphere, Uji, Kyoto, Japan; [Ni, Binbin] Wuhan Univ, Sch Elect Informat, Dept Space Phys, Wuhan 430072, Hubei, Peoples R China; [Shi, Run] Mem Univ Newfoundland, Dept Math &amp; Stat, St John, NF A1C 5S7, Canada; [Trondsen, Trond S.] Keo Sci Ltd, Calgary, AB, Canada</t>
  </si>
  <si>
    <t>Polar Research Institute of China; Kyoto University; Wuhan University; Memorial University Newfoundland</t>
  </si>
  <si>
    <t>Hu, ZJ (corresponding author), Polar Res Inst China, SOA Key Lab Polar Sci, Shanghai, Peoples R China.</t>
  </si>
  <si>
    <t>huzejun@pric.org.cn</t>
  </si>
  <si>
    <t>Hu, Ze-Jun/X-8090-2019; Ebihara, Yusuke/ABD-4430-2021; Ebihara, Yusuke/D-1638-2013; Trondsen, Trond/F-5751-2016</t>
  </si>
  <si>
    <t>Hu, Ze-Jun/0000-0003-2448-2094; Ebihara, Yusuke/0000-0002-2293-1557; Ebihara, Yusuke/0000-0002-2293-1557; Zhang, Beichen/0000-0002-0927-9568; Trondsen, Trond/0000-0002-9538-1832</t>
  </si>
  <si>
    <t>National Natural Science Foundation of China [41274164, 41031064, 41274148, 41374159, 41204120, 41474141]; Public Science and Technology Research Funds Projects of Ocean [201005017]; Strategic Priority Research Program on Space Science, Chinese Academy of Sciences [XDA04060201]; Chinese Arctic and Antarctic Administration [IC201205]; Fundamental Research Funds for the Central Universities [2042014kf0251]</t>
  </si>
  <si>
    <t>National Natural Science Foundation of China(National Natural Science Foundation of China (NSFC)); Public Science and Technology Research Funds Projects of Ocean; Strategic Priority Research Program on Space Science, Chinese Academy of Sciences; Chinese Arctic and Antarctic Administration; Fundamental Research Funds for the Central Universities(Fundamental Research Funds for the Central Universities)</t>
  </si>
  <si>
    <t>This work was supported by the National Natural Science Foundation of China (41274164, 41031064, 41274148, 41374159, 41204120, and 41474141), the Public Science and Technology Research Funds Projects of Ocean (201005017), and the Strategic Priority Research Program on Space Science, Chinese Academy of Sciences (XDA04060201). Thanks are also given for the support of the Chinese Arctic and Antarctic Administration (grant IC201205). The Japanese ASI project at the South Pole Station had been conducted under an agreement of cooperation between National Institute of Polar Research, Japan, and the United States National Science Foundation in 1997-2005. B.N. also acknowledges the support from the Fundamental Research Funds for the Central Universities grant 2042014kf0251. Thanks to the World Data Center for Geomagnetism, Kyoto, for The height-integrated conductivity data (http://wdc.kugi.kyoto-u.ac.jp/ionocond/sigcal/index.html).</t>
  </si>
  <si>
    <t>0094-8276</t>
  </si>
  <si>
    <t>1944-8007</t>
  </si>
  <si>
    <t>GEOPHYS RES LETT</t>
  </si>
  <si>
    <t>Geophys. Res. Lett.</t>
  </si>
  <si>
    <t>DEC 28</t>
  </si>
  <si>
    <t>10.1002/2014GL062345</t>
  </si>
  <si>
    <t>CA4ZN</t>
  </si>
  <si>
    <t>WOS:000348916500004</t>
  </si>
  <si>
    <t>Li, Z; Millan, RM; Hudson, MK; Woodger, LA; Smith, DM; Chen, Y; Friedel, R; Rodriguez, JV; Engebretson, MJ; Goldstein, J; Fennell, JF; Spence, HE</t>
  </si>
  <si>
    <t>Li, Zan; Millan, Robyn M.; Hudson, Mary K.; Woodger, Leslie A.; Smith, David M.; Chen, Yue; Friedel, Reiner; Rodriguez, Juan V.; Engebretson, Mark J.; Goldstein, Jerry; Fennell, Joseph F.; Spence, Harlan E.</t>
  </si>
  <si>
    <t>Investigation of EMIC wave scattering as the cause for the BARREL 17 January 2013 relativistic electron precipitation event: A quantitative comparison of simulation with observations</t>
  </si>
  <si>
    <t>relativistic electron precipitation; EMIC waves; pitch angle diffusion; RBSP; BARREL; GOES</t>
  </si>
  <si>
    <t>ION-CYCLOTRON WAVES; PITCH-ANGLE DISTRIBUTIONS; RADIATION BELT; THERMAL PLASMA; ENERGETIC PARTICLE; MAGNETIC ACTIVITY; DENSITY; MAGNETOSPHERE; LOCATION; DRIVEN</t>
  </si>
  <si>
    <t>Electromagnetic ion cyclotron (EMIC) waves were observed at multiple observatory locations for several hours on 17 January 2013. During the wave activity period, a duskside relativistic electron precipitation (REP) event was observed by one of the Balloon Array for Radiation belt Relativistic Electron Losses (BARREL) balloons and was magnetically mapped close to Geostationary Operational Environmental Satellite (GOES) 13. We simulate the relativistic electron pitch angle diffusion caused by gyroresonant interactions with EMIC waves using wave and particle data measured by multiple instruments on board GOES 13 and the Van Allen Probes. We show that the count rate, the energy distribution, and the time variation of the simulated precipitation all agree very well with the balloon observations, suggesting that EMIC wave scattering was likely the cause for the precipitation event. The event reported here is the first balloon REP event with closely conjugate EMIC wave observations, and our study employs the most detailed quantitative analysis on the link of EMIC waves with observed REP to date.</t>
  </si>
  <si>
    <t>[Li, Zan; Millan, Robyn M.; Hudson, Mary K.; Woodger, Leslie A.] Dartmouth Coll, Dept Phys &amp; Astron, Hanover, NH 03755 USA; [Smith, David M.] Univ Calif Santa Cruz, Dept Phys, Santa Cruz, CA 95064 USA; [Smith, David M.] Univ Calif Santa Cruz, Santa Cruz Inst Particle Phys, Santa Cruz, CA 95064 USA; [Chen, Yue; Friedel, Reiner] Los Alamos Natl Lab, Los Alamos, NM USA; [Rodriguez, Juan V.] Univ Colorado, Cooperat Inst Res Environm Sci, Boulder, CO 80309 USA; [Engebretson, Mark J.] Augsburg Coll, Dept Phys, Minneapolis, MN USA; [Goldstein, Jerry] SW Res Inst, San Antonio, TX USA; [Fennell, Joseph F.] Aerosp Corp, Space Sci Applicat Lab, Los Angeles, CA 90009 USA; [Spence, Harlan E.] Univ New Hampshire, Inst Study Earth Oceans &amp; Space, Durham, NH 03824 USA</t>
  </si>
  <si>
    <t>Dartmouth College; University of California System; University of California Santa Cruz; University of California System; University of California Santa Cruz; United States Department of Energy (DOE); Los Alamos National Laboratory; University of Colorado System; University of Colorado Boulder; Augsburg University; Southwest Research Institute; Aerospace Corporation - USA; University System Of New Hampshire; University of New Hampshire</t>
  </si>
  <si>
    <t>Li, Z (corresponding author), Dartmouth Coll, Dept Phys &amp; Astron, Hanover, NH 03755 USA.</t>
  </si>
  <si>
    <t>Zan.Li.GR@dartmouth.edu</t>
  </si>
  <si>
    <t>Rodriguez, Juan/AAA-3588-2022; Spence, Harlan E/A-1942-2011</t>
  </si>
  <si>
    <t>Spence, Harlan E/0000-0002-2526-2205</t>
  </si>
  <si>
    <t>NASA [NNX08AM58G, NNX13AD65G]; National Environmental Research Council (NERC); British Antarctic Survey (BAS); South African National Antarctic Program (SANAP); UNH [ECT (967399)]; UMN [EFW (922613)]; U/APL under NASA prime contract [NAS5-01072]; NASA LWS TR&amp;T Interagency Purchase Request [NNH13AV99I]; NSF grant [PLR-1341493]; NASA Van Allen Probes missions RBSP-ECT project; NASA Heliophysics Guest Investigator program [NNX07AG48G]; NSF Geospace Environment Modeling program [ATM0902591]; JHU/APL Van Allen Probes [967399]; Office of Polar Programs (OPP); Directorate For Geosciences [1341493] Funding Source: National Science Foundation</t>
  </si>
  <si>
    <t>NASA(National Aeronautics &amp; Space Administration (NASA)); National Environmental Research Council (NERC)(UK Research &amp; Innovation (UKRI)Natural Environment Research Council (NERC)); British Antarctic Survey (BAS); South African National Antarctic Program (SANAP); UNH; UMN; U/APL under NASA prime contract; NASA LWS TR&amp;T Interagency Purchase Request; NSF grant(National Science Foundation (NSF)); NASA Van Allen Probes missions RBSP-ECT project; NASA Heliophysics Guest Investigator program(National Aeronautics &amp; Space Administration (NASA)); NSF Geospace Environment Modeling program; JHU/APL Van Allen Probes; Office of Polar Programs (OPP); Directorate For Geosciences(National Science Foundation (NSF)NSF - Directorate for Geosciences (GEO))</t>
  </si>
  <si>
    <t>The BARREL campaigns were supported by NASA grant NNX08AM58G, the National Environmental Research Council (NERC), British Antarctic Survey (BAS), and the South African National Antarctic Program (SANAP). Additional work at Dartmouth was supported by NASA grant NNX13AD65G, ECT (967399) subcontract from UNH, EFW (922613) subcontract from UMN, and by JHU/APL under NASA prime contract NAS5-01072. Juan V. Rodriguez was supported by NASA LWS TR&amp;T Interagency Purchase Request NNH13AV99I to the National Geophysical Data Center. Work at Augsburg College was supported by NSF grant PLR-1341493. Modeling work by Jerry Goldstein was supported by the NASA Van Allen Probes missions RBSP-ECT project, the NASA Heliophysics Guest Investigator program under NNX07AG48G, and the NSF Geospace Environment Modeling program under ATM0902591. The Aerospace efforts are supported by a JHU/APL Van Allen Probes contract 967399. We would also like to thank the Van Allen Probes, GOES and BARREL teams for data and many helpful discussions.</t>
  </si>
  <si>
    <t>10.1002/2014GL062273</t>
  </si>
  <si>
    <t>Green Published, hybrid, Green Submitted</t>
  </si>
  <si>
    <t>WOS:000348916500007</t>
  </si>
  <si>
    <t>Combes, V; Matano, RP</t>
  </si>
  <si>
    <t>Combes, Vincent; Matano, Ricardo P.</t>
  </si>
  <si>
    <t>Trends in the Brazil/Malvinas Confluence region</t>
  </si>
  <si>
    <t>trend; Brazil Malvinas Confluence; Malvinas Current; Brazil Current</t>
  </si>
  <si>
    <t>BRAZIL CURRENT; VARIABILITY; CIRCULATION; REANALYSIS; TOPOGRAPHY; SIMULATION; DYNAMICS</t>
  </si>
  <si>
    <t>Observations show abrupt changes in the oceanic circulation of the southwestern Atlantic. These studies report a southward drift of the Brazil/Malvinas Confluence (BMC) and a change in the spectral characteristics of the Malvinas Current (MC) transport. We address the cause of these changes using the result of a high-resolution numerical experiment. The experiment, which is consistent with observations, shows a southward BMC displacement at a rate of 0.62 degrees/decade between 1993 and 2008, and a shift of the spectral characteristics of the MC transport after 1999. We find that these changes are driven by a weakening of the northern branch of the Antarctic Circumpolar Current, which translates to a weakening of the MC transport and a southward BMC drift. The drift changes the spectral characteristics of the MC transport, which becomes more influenced by annual and semiannual variations associated with the BMC.</t>
  </si>
  <si>
    <t>[Combes, Vincent; Matano, Ricardo P.] Oregon State Univ, Coll Earth Ocean &amp; Atmospher Sci, Corvallis, OR 97331 USA</t>
  </si>
  <si>
    <t>Combes, V (corresponding author), Oregon State Univ, Coll Earth Ocean &amp; Atmospher Sci, Corvallis, OR 97331 USA.</t>
  </si>
  <si>
    <t>vcombes@coas.oregonstate.edu</t>
  </si>
  <si>
    <t>combes, vincent/AAA-2343-2020</t>
  </si>
  <si>
    <t>combes, vincent/0000-0002-0416-1827</t>
  </si>
  <si>
    <t>National Science Foundation [OCE-0928348]; NOAA [NA13OAR4310132]; NASA [NNX08AR40G, NNX12AF67G]; NASA [NNX08AR40G, 95461, 75169, NNX12AF67G] Funding Source: Federal RePORTER; Division Of Ocean Sciences; Directorate For Geosciences [1357530] Funding Source: National Science Foundation</t>
  </si>
  <si>
    <t>National Science Foundation(National Science Foundation (NSF)); NOAA(National Oceanic Atmospheric Admin (NOAA) - USA); NASA(National Aeronautics &amp; Space Administration (NASA)); NASA(National Aeronautics &amp; Space Administration (NASA)); Division Of Ocean Sciences; Directorate For Geosciences(National Science Foundation (NSF)NSF - Directorate for Geosciences (GEO))</t>
  </si>
  <si>
    <t>This article greatly benefited from the insightful comments and criticisms of two anonymous reviewers. We acknowledge the financial support of the National Science Foundation through Grant OCE-0928348, NOAA through Grant NA13OAR4310132, and NASA through Grants NNX08AR40G and NNX12AF67G. Data to support this article are obtained by the modeling experiments explained in the model section. Email corresponding author for more information.</t>
  </si>
  <si>
    <t>10.1002/2014GL062523</t>
  </si>
  <si>
    <t>WOS:000348916500038</t>
  </si>
  <si>
    <t>Forsyth, C; Watt, CEJ; Rae, IJ; Fazakerley, AN; Kalmoni, NME; Freeman, MP; Boakes, PD; Nakamura, R; Dandouras, I; Kistler, LM; Jackman, CM; Coxon, JC; Carr, CM</t>
  </si>
  <si>
    <t>Forsyth, C.; Watt, C. E. J.; Rae, I. J.; Fazakerley, A. N.; Kalmoni, N. M. E.; Freeman, M. P.; Boakes, P. D.; Nakamura, R.; Dandouras, I.; Kistler, L. M.; Jackman, C. M.; Coxon, J. C.; Carr, C. M.</t>
  </si>
  <si>
    <t>Increases in plasma sheet temperature with solar wind driving during substorm growth phases</t>
  </si>
  <si>
    <t>substorm; growth phase; plasma sheet; temperature</t>
  </si>
  <si>
    <t>SUPERPOSED EPOCH ANALYSIS; MAGNETIC-FIELD; ENERGY BUDGET; MAGNETOSPHERE; EVOLUTION; TAIL; CONFIGURATION; PRESSURE; MODEL</t>
  </si>
  <si>
    <t>During substorm growth phases, magnetic reconnection at the magnetopause extracts 10(15)J from the solar wind which is then stored in the magnetotail lobes. Plasma sheet pressure increases to balance magnetic flux density increases in the lobes. Here we examine plasma sheet pressure, density, and temperature during substorm growth phases using 9 years of Cluster data (&gt;316,000 data points). We show that plasma sheet pressure and temperature are higher during growth phases with higher solar wind driving, whereas the density is approximately constant. We also show a weak correlation between plasma sheet temperature before onset and the minimum SuperMAG AL (SML) auroral index in the subsequent substorm. We discuss how energization of the plasma sheet before onset may result from thermodynamically adiabatic processes; how hotter plasma sheets may result in magnetotail instabilities, and how this relates to the onset and size of the subsequent substorm expansion phase.</t>
  </si>
  <si>
    <t>[Forsyth, C.; Rae, I. J.; Fazakerley, A. N.; Kalmoni, N. M. E.] UCL Mullard Space Sci Lab, Dorking, Surrey, England; [Watt, C. E. J.] Univ Reading, Dept Meteorol, Reading, Berks, England; [Freeman, M. P.] British Antarctic Survey, Cambridge CB3 0ET, England; [Boakes, P. D.; Nakamura, R.] Austrian Acad Sci, Space Res Inst, A-8010 Graz, Austria; [Dandouras, I.] Univ Toulouse, Inst Rech Astrophys &amp; Planetol, Toulouse, France; [Dandouras, I.] CNRS, IRAP, Toulouse, France; [Kistler, L. M.] Univ New Hampshire, Ctr Space Sci, Durham, NH 03824 USA; [Jackman, C. M.] Univ Southampton, Sch Phys &amp; Astron, Southampton, Hants, England; [Coxon, J. C.] Univ Leicester, Dept Phys &amp; Astron, Leicester LE1 7RH, Leics, England; [Carr, C. M.] Univ London Imperial Coll Sci Technol &amp; Med, Dept Phys, London, England</t>
  </si>
  <si>
    <t>University of London; University College London; University of Reading; UK Research &amp; Innovation (UKRI); Natural Environment Research Council (NERC); NERC British Antarctic Survey; Austrian Academy of Sciences; Universite de Toulouse; Universite Toulouse III - Paul Sabatier; Universite de Toulouse; Universite Toulouse III - Paul Sabatier; Centre National de la Recherche Scientifique (CNRS); University System Of New Hampshire; University of New Hampshire; University of Southampton; University of Leicester; Imperial College London</t>
  </si>
  <si>
    <t>Forsyth, C (corresponding author), UCL Mullard Space Sci Lab, Dorking, Surrey, England.</t>
  </si>
  <si>
    <t>colin.forsyth@ucl.ac.uk</t>
  </si>
  <si>
    <t>Nakamura, Rumi/I-7712-2013; Rae, Jonathan/D-8132-2013; Coxon, John/AAN-9355-2021; Dandouras, Iannis/V-2709-2017; Watt, Clare/C-5218-2008; Forsyth, Colin/E-4159-2010; Freeman, Mervyn/E-5687-2019</t>
  </si>
  <si>
    <t>Nakamura, Rumi/0000-0002-2620-9211; Rae, Jonathan/0000-0002-2637-4786; Coxon, John/0000-0002-0166-6854; Dandouras, Iannis/0000-0002-7121-1118; Jackman, Caitriona/0000-0003-0635-7361; Watt, Clare/0000-0003-3193-8993; Forsyth, Colin/0000-0002-0026-8395; Freeman, Mervyn/0000-0002-8653-8279</t>
  </si>
  <si>
    <t>National Environmental Research Council (NERC) [NE/L007495/1]; STFC Consolidated grant [ST/K000977/1]; NERC; STFC; Austrian Science Fund [FWF P24740-N27]; STFC studentships; [263325]; NERC [NE/L007177/1, bas0100023, NE/L006456/1] Funding Source: UKRI; STFC [ST/K001051/1, ST/K000977/1, ST/H002383/1, ST/I000623/1] Funding Source: UKRI; Natural Environment Research Council [NE/L006456/1] Funding Source: researchfish; Austrian Science Fund (FWF) [P24740] Funding Source: Austrian Science Fund (FWF)</t>
  </si>
  <si>
    <t>National Environmental Research Council (NERC)(UK Research &amp; Innovation (UKRI)Natural Environment Research Council (NERC)); STFC Consolidated grant(UK Research &amp; Innovation (UKRI)Science &amp; Technology Facilities Council (STFC)); NERC(UK Research &amp; Innovation (UKRI)Natural Environment Research Council (NERC)); STFC(UK Research &amp; Innovation (UKRI)Science &amp; Technology Facilities Council (STFC)); Austrian Science Fund(Austrian Science Fund (FWF)); STFC studentships(UK Research &amp; Innovation (UKRI)Science &amp; Technology Facilities Council (STFC)); ; NERC(UK Research &amp; Innovation (UKRI)Natural Environment Research Council (NERC)); STFC(UK Research &amp; Innovation (UKRI)Science &amp; Technology Facilities Council (STFC)); Natural Environment Research Council(UK Research &amp; Innovation (UKRI)Natural Environment Research Council (NERC)); Austrian Science Fund (FWF)(Austrian Science Fund (FWF))</t>
  </si>
  <si>
    <t>We thank the Cluster CIS and FGM teams, ECLAT project and Cluster Active Archive for providing the Cluster data. We thank CDAWeb and NASA Goddard Space Flight Center for providing the OMNI solar wind data. For the ground magnetometer data we gratefully acknowledge the following: Intermagnet; USGS, Jeffrey J. Love; CARISMA, Ian Mann; CANMOS; The S-RAMP Database, K. Yumoto and K. Shiokawa; The SPIDR database; AARI, Oleg Troshichev; The MACCS program, M. Engebretson, Geomagnetism Unit of the Geological Survey of Canada; GIMA; MEASURE, UCLA IGPP, and Florida Institute of Technology; SAMBA, Eftyhia Zesta; 210 Chain, K. Yumoto; SAMNET, Farideh Honary; The institutes who maintain the IMAGE magnetometer array, Eija Tanskanen; PENGUIN; AUTUMN, Martin Conners; DTU Space, Jurgen Matzka; South Pole and McMurdo Magnetometer, Louis J. Lanzarotti and Alan T. Weatherwax; ICESTAR; RAPIDMAG; PENGUIn; British Artarctic Survey; McMac, Peter Chi; BGS, Susan Macmillan; Pushkov Institute of Terrestrial Magnetism, Ionosphere and Radio Wave Propagation (IZMIRAN); GFZ, Monika Korte; and SuperMAG, Jesper W. Gjerloev. The ECLAT project data were funded by FP7 grant number 263325. I.J.R., C.M.J., and M.P.F. were supported in part by National Environmental Research Council (NERC) grant NE/L007495/1. A.N.F. was funded by STFC Consolidated grant ST/K000977/1. C.F. was funded in part by the NERC and STFC grants. P.D.B. was funded by Austrian Science Fund FWF P24740-N27. J.C.C. and N.M.E.K. were funded by STFC studentships.</t>
  </si>
  <si>
    <t>10.1002/2014GL062400</t>
  </si>
  <si>
    <t>WOS:000348916500006</t>
  </si>
  <si>
    <t>Dykema, JA; Keith, DW; Anderson, JG; Weisenstein, D</t>
  </si>
  <si>
    <t>Dykema, John A.; Keith, David W.; Anderson, James G.; Weisenstein, Debra</t>
  </si>
  <si>
    <t>Stratospheric controlled perturbation experiment: a small-scale experiment to improve understanding of the risks of solar geoengineering</t>
  </si>
  <si>
    <t>PHILOSOPHICAL TRANSACTIONS OF THE ROYAL SOCIETY A-MATHEMATICAL PHYSICAL AND ENGINEERING SCIENCES</t>
  </si>
  <si>
    <t>geoengineering; solar radiation management; stratosphere; balloon; ozone depletion</t>
  </si>
  <si>
    <t>FREE-RADICAL KINETICS; IN-SITU OBSERVATIONS; WATER-VAPOR; ANTARCTIC VORTEX; OZONE DEPLETION; SULFURIC-ACID; HIGH-PRESSURE; CLO; SENSITIVITY; TROPOSPHERE</t>
  </si>
  <si>
    <t>Although solar radiation management (SRM) through stratospheric aerosol methods has the potential to mitigate impacts of climate change, our current knowledge of stratospheric processes suggests that these methods may entail significant risks. In addition to the risks associated with current knowledge, the possibility of 'unknown unknowns' exists that could significantly alter the risk assessment relative to our current understanding. While laboratory experimentation can improve the current state of knowledge and atmospheric models can assess large-scale climate response, they cannot capture possible unknown chemistry or represent the full range of interactive atmospheric chemical physics. Small-scale, in situ experimentation under well-regulated circumstances can begin to remove some of these uncertainties. This experiment-provisionally titled the stratospheric controlled perturbation experiment-is under development and will only proceed with transparent and predominantly governmental funding and independent risk assessment. We describe the scientific and technical foundation for performing, under external oversight, small-scale experiments to quantify the risks posed by SRM to activation of halogen species and subsequent erosion of stratospheric ozone. The paper's scope includes selection of the measurement platform, relevant aspects of stratosphericmeteorology, operational considerations and instrument design and engineering.</t>
  </si>
  <si>
    <t>[Dykema, John A.; Keith, David W.; Anderson, James G.; Weisenstein, Debra] Harvard Univ, Sch Engn &amp; Appl Sci, Cambridge, MA 02138 USA; [Anderson, James G.] Harvard Univ, Dept Chem &amp; Chem Biol, Cambridge, MA 02138 USA; [Keith, David W.] Harvard Univ, Kennedy Sch, Cambridge, MA 02138 USA</t>
  </si>
  <si>
    <t>Harvard University; Harvard University; Harvard University</t>
  </si>
  <si>
    <t>Dykema, JA (corresponding author), Harvard Univ, Sch Engn &amp; Appl Sci, One Brattle Sq, Cambridge, MA 02138 USA.</t>
  </si>
  <si>
    <t>dykema@huarp.harvard.edu</t>
  </si>
  <si>
    <t>ROYAL SOC</t>
  </si>
  <si>
    <t>6-9 CARLTON HOUSE TERRACE, LONDON SW1Y 5AG, ENGLAND</t>
  </si>
  <si>
    <t>1364-503X</t>
  </si>
  <si>
    <t>1471-2962</t>
  </si>
  <si>
    <t>PHILOS T R SOC A</t>
  </si>
  <si>
    <t>Philos. Trans. R. Soc. A-Math. Phys. Eng. Sci.</t>
  </si>
  <si>
    <t>UNSP 20140059</t>
  </si>
  <si>
    <t>10.1098/rsta.2014.0059</t>
  </si>
  <si>
    <t>AT9XW</t>
  </si>
  <si>
    <t>WOS:000345278000007</t>
  </si>
  <si>
    <t>Latham, J; Gadian, A; Fournier, J; Parkes, B; Wadhams, P; Chen, J</t>
  </si>
  <si>
    <t>Latham, John; Gadian, Alan; Fournier, Jim; Parkes, Ben; Wadhams, Peter; Chen, Jack</t>
  </si>
  <si>
    <t>Marine cloud brightening: regional applications</t>
  </si>
  <si>
    <t>Arctic; Antarctic; polar sea-ice; recovery; preservation</t>
  </si>
  <si>
    <t>SEA-SURFACE TEMPERATURE; ALBEDO-ENHANCEMENT; INTENSITY; THWAITES</t>
  </si>
  <si>
    <t>The general principle behind the marine cloud brightening (MCB) climate engineering technique is that seeding marine stratocumulus clouds with substantial concentrations of roughly monodisperse sub-micrometre-sized seawater particles might significantly enhance cloud albedo and longevity, thereby producing a cooling effect. This paper is concerned with preliminary studies of the possible beneficial application of MCB to three regional issues: (1) recovery of polar ice loss, (2) weakening of developing hurricanes and (3) elimination or reduction of coral bleaching. The primary focus is on Item 1. We focus discussion herein on advantages associated with engaging in limited-area seeding, regional effects rather than global; and the levels of seeding that may be required to address changing current and near-term conditions in the Arctic. We also mention the possibility that MCB might be capable of producing a localized cooling to help stabilize the West Antarctic Ice Sheet.</t>
  </si>
  <si>
    <t>[Latham, John; Chen, Jack] Natl Ctr Atmospher Res, Boulder, CO 80301 USA; [Latham, John] Univ Manchester, Sch Earth &amp; Atmospher Sci, Manchester M13 9PL, Lancs, England; [Gadian, Alan] Univ Leeds, SEE, NCAS, Leeds LS2 9JT, W Yorkshire, England; [Fournier, Jim] Planetwork, San Francisco, CA 94102 USA; [Parkes, Ben] Univ Paris 06, LOCEAN, F-75252 Paris, France; [Wadhams, Peter] Univ Cambridge, DAMTP, Cambridge CB3 0WB, England</t>
  </si>
  <si>
    <t>National Center Atmospheric Research (NCAR) - USA; University of Manchester; University of Leeds; UK Research &amp; Innovation (UKRI); Natural Environment Research Council (NERC); NERC National Centre for Atmospheric Science; Museum National d'Histoire Naturelle (MNHN); Sorbonne Universite; University of Cambridge</t>
  </si>
  <si>
    <t>Latham, J (corresponding author), Natl Ctr Atmospher Res, Boulder, CO 80301 USA.</t>
  </si>
  <si>
    <t>john.lathm-2@manchester.ac.uk</t>
  </si>
  <si>
    <t>Parkes, Ben/Y-4213-2019</t>
  </si>
  <si>
    <t>Parkes, Ben/0000-0002-5936-8331; Chen, Chih-Chieh/0000-0002-4819-2510</t>
  </si>
  <si>
    <t>Fund for Innovative Climate and Energy Research, FICER, at the University of Calgary; European Union [603864]; NERC [ncas10003] Funding Source: UKRI; Natural Environment Research Council [ncas10003] Funding Source: researchfish</t>
  </si>
  <si>
    <t>Fund for Innovative Climate and Energy Research, FICER, at the University of Calgary; European Union(European Union (EU)); NERC(UK Research &amp; Innovation (UKRI)Natural Environment Research Council (NERC)); Natural Environment Research Council(UK Research &amp; Innovation (UKRI)Natural Environment Research Council (NERC))</t>
  </si>
  <si>
    <t>Support for elements of this research was provided by the Fund for Innovative Climate and Energy Research, FICER, at the University of Calgary. This does not constitute endorsement of deployment in any form of cloud albedo modification by the funding agency. The research leading to these results has received funding from the European Union Seventh Framework Programme FP7/2007-2013 under grant agreement no. 603864.</t>
  </si>
  <si>
    <t>10.1098/rsta.2014.0053</t>
  </si>
  <si>
    <t>WOS:000345278000004</t>
  </si>
  <si>
    <t>Oyabu, I; Iizuka, Y; Uemura, R; Miyake, T; Hirabayashi, M; Motoyama, H; Sakurai, T; Suzuki, T; Hondoh, T</t>
  </si>
  <si>
    <t>Oyabu, Ikumi; Iizuka, Yoshinori; Uemura, Ryu; Miyake, Takayuki; Hirabayashi, Motohiro; Motoyama, Hideaki; Sakurai, Toshimitsu; Suzuki, Toshitaka; Hondoh, Takeo</t>
  </si>
  <si>
    <t>Chemical compositions of sulfate and chloride salts over the last termination reconstructed from the Dome Fuji ice core, inland Antarctica</t>
  </si>
  <si>
    <t>JOURNAL OF GEOPHYSICAL RESEARCH-ATMOSPHERES</t>
  </si>
  <si>
    <t>CLIMATIC CYCLES; SOUTHERN-OCEAN; POLAR ICE; CHEMISTRY; PROJECT; CO2; INCLUSIONS; PARTICLES; NUCLEUS; RECORDS</t>
  </si>
  <si>
    <t>The flux and chemical composition of aerosols impact the climate. Antarctic ice cores preserve the record of past atmospheric aerosols, providing useful information about past atmospheric environments. However, few studies have directly measured the chemical composition of aerosol particles preserved in ice cores. Here we present the chemical compositions of sulfate and chloride salts from aerosol particles in the Dome Fuji ice core. The analysis method involves ice sublimation, and the period covers the last termination, 25.0-11.0 thousand years before present (kyr B.P.), with a 350 year resolution. The major components of the soluble particles are CaSO4, Na2SO4, and NaCl. The dominant sulfate salt changes at 16.8 kyr B.P. from CaSO4, a glacial type, to Na2SO4, an interglacial type. The sulfate salt flux (CaSO4 plus Na2SO4) inversely correlates with delta O-18 in Dome Fuji over millennial timescales. This correlation is consistent with the idea that sulfate salt aerosols contributed to the last deglacial warming of inland Antarctica by reducing the aerosol indirect effect. Between 16.3 and 11.0 kyr B.P., the presence of NaCl suggests that winter atmospheric aerosols are preserved. A high NaCl/Na2SO4 fraction between 12.3 and 11.0 kyr B.P. indicates that the contribution from the transport of winter atmospheric aerosols increased during this period.</t>
  </si>
  <si>
    <t>[Oyabu, Ikumi] Hokkaido Univ, Grad Sch Environm Sci, Sapporo, Hokkaido, Japan; [Oyabu, Ikumi; Iizuka, Yoshinori; Sakurai, Toshimitsu; Hondoh, Takeo] Hokkaido Univ, Inst Low Temp Sci, Sapporo, Hokkaido 060, Japan; [Uemura, Ryu] Univ Ryukyus, Dept Chem Biol &amp; Marine Sci, Fac Sci, Nishihara, Okinawa 90301, Japan; [Miyake, Takayuki; Hirabayashi, Motohiro; Motoyama, Hideaki; Sakurai, Toshimitsu] Natl Inst Polar Res, Tokyo, Japan; [Sakurai, Toshimitsu] Inst Laser Technol, Osaka, Japan; [Suzuki, Toshitaka] Yamagata Univ, Dept Earth &amp; Environm Sci, Fac Sci, Yamagata 990, Japan</t>
  </si>
  <si>
    <t>Hokkaido University; Hokkaido University; University of the Ryukyus; Research Organization of Information &amp; Systems (ROIS); National Institute of Polar Research (NIPR) - Japan; Yamagata University</t>
  </si>
  <si>
    <t>Oyabu, I (corresponding author), Hokkaido Univ, Grad Sch Environm Sci, Sapporo, Hokkaido, Japan.</t>
  </si>
  <si>
    <t>oyabu@lowtem.hokudai.ac.jp</t>
  </si>
  <si>
    <t>Uemura, Ryu/AGR-0677-2022; HONDOH, TAKEO/E-7551-2011; Uemura, Ryu/C-9793-2012; Oyabu, Ikumi/AGE-1164-2022; Iizuka, Yoshinori/D-9112-2012</t>
  </si>
  <si>
    <t>Uemura, Ryu/0000-0002-4236-0085; Uemura, Ryu/0000-0002-4236-0085; Oyabu, Ikumi/0000-0001-8017-1085; Sakurai, Toshimitsu/0000-0002-9943-361X; Iizuka, Yoshinori/0000-0001-7241-6062</t>
  </si>
  <si>
    <t>Ministry of Education, Culture, Sports, Science and Technology (MEXT) [23681001, 26257201, 21221002, 26550013]; Japan Society for the Promotion of Science (JSPS); Grant for Joint Research Program of the Institute of Low Temperature Science, Hokkaido University; Grants-in-Aid for Scientific Research [26550013, 26400462, 26257201, 23681001] Funding Source: KAKEN</t>
  </si>
  <si>
    <t>Ministry of Education, Culture, Sports, Science and Technology (MEXT)(Ministry of Education, Culture, Sports, Science and Technology, Japan (MEXT)); Japan Society for the Promotion of Science (JSPS)(Ministry of Education, Culture, Sports, Science and Technology, Japan (MEXT)Japan Society for the Promotion of Science); Grant for Joint Research Program of the Institute of Low Temperature Science, Hokkaido University; Grants-in-Aid for Scientific Research(Ministry of Education, Culture, Sports, Science and Technology, Japan (MEXT)Japan Society for the Promotion of ScienceGrants-in-Aid for Scientific Research (KAKENHI))</t>
  </si>
  <si>
    <t>We thank all members of the Dome Fuji drilling team, all participants in the Japanese Antarctic Research Expedition and Ice Core Consortium for Dome Fuji activities, S. Fujita of the National Institute of Polar Research for data revising, H. Ohno of the Kitami Institute of Technology for useful comments, M. Furusaki of the Institute of Low Temperature Science for help with EDS analysis, and J. Nelson for help with revising the manuscript. The paper was significantly improved as a result of comments by anonymous reviewers and the Scientific Editor, L. Russell, to whom we are greatly indebted. This study was supported by Young Scientists (A) (grant 23681001), Scientific Research (A) (grant 26257201), Scientific Research (S) (grant 21221002), and Challenging Exploratory Research (grant 26550013) provided by the Ministry of Education, Culture, Sports, Science and Technology (MEXT), the Japan Society for the Promotion of Science (JSPS), and by the Grant for Joint Research Program of the Institute of Low Temperature Science, Hokkaido University. Inquiries about the data used in the study can be made to the authors.</t>
  </si>
  <si>
    <t>2169-897X</t>
  </si>
  <si>
    <t>2169-8996</t>
  </si>
  <si>
    <t>J GEOPHYS RES-ATMOS</t>
  </si>
  <si>
    <t>J. Geophys. Res.-Atmos.</t>
  </si>
  <si>
    <t>DEC 27</t>
  </si>
  <si>
    <t>10.1002/2014JD022030</t>
  </si>
  <si>
    <t>AZ8IX</t>
  </si>
  <si>
    <t>WOS:000348460000024</t>
  </si>
  <si>
    <t>Strahan, SE; Douglass, AR; Newman, PA; Steenrod, SD</t>
  </si>
  <si>
    <t>Strahan, S. E.; Douglass, A. R.; Newman, P. A.; Steenrod, S. D.</t>
  </si>
  <si>
    <t>Inorganic chlorine variability in the Antarctic vortex and implications for ozone recovery</t>
  </si>
  <si>
    <t>IN-SITU; TRANSPORT; HOLE; VALIDATION; AEROSOL; WINTER</t>
  </si>
  <si>
    <t>We infer the interannual variability of inorganic chlorine in the Antarctic lower stratospheric vortex using 9 years of Aura Microwave Limb Sounder (MLS) nitrous oxide (N2O) measurements and a previously measured compact correlation. Inorganic chlorine (Cl-y) is the sum of the destruction products of long-lived chlorine-containing source gases. Its correlation with N2O, derived from observations in the year 2000, is scaled to the years 2004-2012 to account for subsequent N2O growth and chlorofluorocarbon decline. The expected annual Cly change due to the Montreal Protocol is -20 ppt/yr, but the MLS-inferred Cly varies year-to-year from -200 to + 150 ppt. Because of this large variability, attributing Antarctic ozone recovery to a statistically significant chlorine trend requires 10 years of chlorine decline. We examine the relationship between equivalent effective stratospheric chlorine (EESC) and ozone hole area. Temperature variations driven by dynamics are a primary contributor to area variability, but we find a clear linear relationship between EESC and area during years when Antarctic collar temperatures are 1 sigma or more below the mean. This relationship suggests that smaller ozone hole areas in recent cold years 2008 and 2011 are responding to decreased chlorine loading. Using ozone hole areas from 1979 to 2013, the projected EESC decline, and the inferred interannual Cly variability, we expect ozone hole areas greater than 20 million km(2) will occur during very cold years until 2040. After that time, all ozone hole areas are likely to be below that size due to reduced EESC levels.</t>
  </si>
  <si>
    <t>[Strahan, S. E.; Steenrod, S. D.] Univ Space Res Assoc, Goddard Earth Sci Technol &amp; Res, Columbia, MD 21046 USA; [Strahan, S. E.; Douglass, A. R.; Newman, P. A.; Steenrod, S. D.] NASA, Goddard Space Flight Ctr, Greenbelt, MD 20771 USA</t>
  </si>
  <si>
    <t>Universities Space Research Association (USRA); National Aeronautics &amp; Space Administration (NASA); NASA Goddard Space Flight Center</t>
  </si>
  <si>
    <t>Strahan, SE (corresponding author), Univ Space Res Assoc, Goddard Earth Sci Technol &amp; Res, Columbia, MD 21046 USA.</t>
  </si>
  <si>
    <t>susan.e.strahan@nasa.gov</t>
  </si>
  <si>
    <t>Steenrod, Stephen D/H-2218-2012; Douglass, Anne R/D-4655-2012; Strahan, Susan E/H-1965-2012; Newman, Paul A./D-6208-2012</t>
  </si>
  <si>
    <t>Newman, Paul A./0000-0003-1139-2508</t>
  </si>
  <si>
    <t>NASA Modeling, Analysis, and Prediction Program; NASA Atmospheric Composition Modeling and Analysis Program</t>
  </si>
  <si>
    <t>NASA Modeling, Analysis, and Prediction Program(National Aeronautics &amp; Space Administration (NASA)); NASA Atmospheric Composition Modeling and Analysis Program(National Aeronautics &amp; Space Administration (NASA))</t>
  </si>
  <si>
    <t>This work was supported by the NASA Modeling, Analysis, and Prediction Program and the NASA Atmospheric Composition Modeling and Analysis Program. MLS data are available at http://mls.jpl.nasa.gov. GMI simulation output is available by request to susan.e.strahan@nasa.gov. We thank Eric Nash for providing column O3 measurements on the NASA Ozone Watch website, http://ozonewatch.gsfc.nasa.gov/meteorology/annual_data.html. We genuinely appreciate the insightful and constructive comments from the reviewers.</t>
  </si>
  <si>
    <t>10.1002/2014JD022295</t>
  </si>
  <si>
    <t>WOS:000348460000027</t>
  </si>
  <si>
    <t>Gurney, LJ; Pakhomov, EA; Christensen, V</t>
  </si>
  <si>
    <t>Gurney, Leigh J.; Pakhomov, Eygeny A.; Christensen, Villy</t>
  </si>
  <si>
    <t>An ecosystem model of the Prince Edward Island archipelago</t>
  </si>
  <si>
    <t>ECOLOGICAL MODELLING</t>
  </si>
  <si>
    <t>Prince Edward Islands; Southern ocean; Ecosystem model; Ecopath</t>
  </si>
  <si>
    <t>DISSOSTICHUS-ELEGINOIDES RESOURCE; SOUTHERN ELEPHANT SEAL; PATAGONIAN TOOTHFISH; FUR SEALS; FOOD-CONSUMPTION; MARINE MAMMALS; TROPHIC MODEL; FISH; BIOMASS; TRENDS</t>
  </si>
  <si>
    <t>A model of an ecosystem provides a useful tool for the exploration of management options to achieve desired objectives. With the move to a more holistic approach to marine resource management, ecosystem models and the indicators that can be derived using them, are providing a means to move away from single species management and allow for the ecosystem effects of population dynamics to be explored. This work describes the construction of an ecosystem model of the Prince Edward archipelago. The archipelago consists of two islands, Marion and Prince Edward, which are situated southeast of the southern tip of Africa at 46 degrees 46'S,37 degrees 51'E. The islands are host to millions of seabirds and seals that use the islands as a refuge for breeding and moulting. Using the Ecopath software, the ecosystem is described across three separate decades (1960s, 1980s, 2000s). All trophic links are described based on the rich published literature that exists for the islands. Local survey data for population estimates and trophic linkages were sourced for defining and quantifying the food web. The system is summarised into 37 functional groups which include 4 primary producer groups at the lower trophic spectrum, and 14 land based top predator groups (seals and seabirds) representing the majority of the higher trophic levels. Two detrital groups are included. The food web is compared across the three time periods with transfer efficiencies declining for the higher trophic levels through time, suggesting a decline in energetic coupling between groups. Comparison of the PEI ecosystem with eight other modeled sub Antarctic/Antarctic systems showed the ecosystem size (as measured in total biomass throughput per year, year(-1)) to be lower than all other systems and was found to be most similar to the Kerguelen Islands for the ecological metrics assessed. Future research priorities are highlighted based on an assessment of data availability, data gaps and sensitivity testing. The construction of this model provides a much needed tool for the advancement of management for the archipelago, which have both fisheries and conservation concerns. (C) 2014 Elsevier B.V. All rights reserved.</t>
  </si>
  <si>
    <t>[Gurney, Leigh J.; Pakhomov, Eygeny A.] Dept Earth Ocean &amp; Atmospher Sci, Vancouver, BC V6T 1Z4, Canada; [Christensen, Villy] UBC Fisheries Ctr, Vancouver, BC V6T 1Z4, Canada</t>
  </si>
  <si>
    <t>University of British Columbia</t>
  </si>
  <si>
    <t>Gurney, LJ (corresponding author), Dept Earth Ocean &amp; Atmospher Sci, 2020-2207 Main Mall, Vancouver, BC V6T 1Z4, Canada.</t>
  </si>
  <si>
    <t>leighgurney@gmail.com</t>
  </si>
  <si>
    <t>Christensen, Villy/C-3945-2009</t>
  </si>
  <si>
    <t>Christensen, Villy/0000-0003-0688-2633</t>
  </si>
  <si>
    <t>University of British Columbia; Natural Sciences and Engineering Research Council of Canada</t>
  </si>
  <si>
    <t>University of British Columbia; Natural Sciences and Engineering Research Council of Canada(Natural Sciences and Engineering Research Council of Canada (NSERC)CGIAR)</t>
  </si>
  <si>
    <t>LG would like to acknowledge the scholarship provided by the University of British Columbia for doctoral studies; Peter Ryan for comments made on early versions of the model which resulted in the revision of the consumption rate estimates; Bruce Monger for assistance with the remote satellite sensing data; Lucy Bastin for assistance with sensitivity testing, Chiara Piroddi for revision of the manuscript and preparation of the summary statistics prepared with permission of each author and held within the UBC Fisheries Centre database. VC acknowledges support from the Natural Sciences and Engineering Research Council of Canada.</t>
  </si>
  <si>
    <t>0304-3800</t>
  </si>
  <si>
    <t>1872-7026</t>
  </si>
  <si>
    <t>ECOL MODEL</t>
  </si>
  <si>
    <t>Ecol. Model.</t>
  </si>
  <si>
    <t>DEC 24</t>
  </si>
  <si>
    <t>10.1016/j.ecolmodel.2014.09.008</t>
  </si>
  <si>
    <t>AU8BG</t>
  </si>
  <si>
    <t>WOS:000345821100012</t>
  </si>
  <si>
    <t>Kalantary, RR; Mohseni-Bandpi, A; Esrafili, A; Nasseri, S; Ashmagh, FR; Jorfi, S; Ja'fari, M</t>
  </si>
  <si>
    <t>Kalantary, Roshanak Rezaei; Mohseni-Bandpi, Anoushiravan; Esrafili, Ali; Nasseri, Simin; Ashmagh, Fatemeh Rashid; Jorfi, Sahand; Ja'fari, Mahsa</t>
  </si>
  <si>
    <t>Effectiveness of biostimulation through nutrient content on the bioremediation of phenanthrene contaminated soil</t>
  </si>
  <si>
    <t>JOURNAL OF ENVIRONMENTAL HEALTH SCIENCE AND ENGINEERING</t>
  </si>
  <si>
    <t>Polycyclic aromatic hydrocarbons; Phenanthrene; Bioremediation; Biostimulation; Macro/Micro nutrient</t>
  </si>
  <si>
    <t>POLYCYCLIC AROMATIC-HYDROCARBONS; ENHANCED BIOREMEDIATION; ANTARCTIC SOIL; BIODEGRADATION; BIOAUGMENTATION; DEGRADATION; SEDIMENTS; REMOVAL; PYRENE; BIOSURFACTANTS</t>
  </si>
  <si>
    <t>Bioremediation has shown its applicability for removal of polycyclic aromatic hydrocarbons (PAHs) from soil and sediments. In the present study, the effect of biostimulation on phenanthrene removal from contaminated soil via adding macro and/or micronutrients and trace elements was investigated. For these purposes three macro nutrients (as N, P and K), eight micronutrients (as Mg, S, Fe, Cl, Zn, Mn, Cu and Na) and four trace elements (as B, Mo, Co and Ni) in 11 mineral salts (MS) as variables were used. Placket-Burman statistical design was used to evaluate significance of variables (MS) in two levels of high and low. A consortium of adapted microorganisms with PAHs was used for inoculation to the soil slurry which was spiked with phenanthrene in concentration of 500 mg/kg soil. The optimal reduction resulted when a high level of macro nutrient in the range of 67-87% and low level of micro nutrient in the range of 12-32% were used with the nitrogen as the dominant macronutrient. The Pareto chart showed that NH4NO3 was the most effective variable in this experiment. The effect of elements on phenanthrene biodegradation showed following sequence as N &gt; K &gt; P &gt; Cl &gt; Na &gt; Mg. Effectiveness of the other elements in all runs was less than 1%. The type and concentration of nutrient can play an important role in biodegradation of phenanthrene. Biostimulation with suitable combination of nutrient can enhance bioremediation of PAHs contaminated soils.</t>
  </si>
  <si>
    <t>[Kalantary, Roshanak Rezaei; Esrafili, Ali; Ashmagh, Fatemeh Rashid] Iran Univ Med Sci, Sch Publ Hlth, Dept Environm Hlth Engn, Tehran, Iran; [Mohseni-Bandpi, Anoushiravan] Shahid Beheshti Univ Med Sci, Sch Publ Hlth, Dept Environm Hlth Engn, Tehran, Iran; [Nasseri, Simin] Univ Tehran Med Sci, Sch Publ Hlth, Dept Environm Hlth Engn, Tehran, Iran; [Nasseri, Simin] Univ Tehran Med Sci, Ctr Water Qual Res, Inst Environm Res, Tehran, Iran; [Jorfi, Sahand] Ahvaz Jondishapour Univ Med Sci, Environm Technol Res Ctr, Ahvaz, Iran; [Jorfi, Sahand] Ahvaz Jondishapour Univ Med Sci, Sch Publ Hlth, Ahvaz, Iran; [Ja'fari, Mahsa] Petr Univ Technol, Abadan Fac Petr Engn, Abadan, Iran</t>
  </si>
  <si>
    <t>Iran University of Medical Sciences; Shahid Beheshti University Medical Sciences; Tehran University of Medical Sciences; Tehran University of Medical Sciences; Petroleum University of Technology</t>
  </si>
  <si>
    <t>Jorfi, S (corresponding author), Iran Univ Med Sci, Sch Publ Hlth, Dept Environm Hlth Engn, Tehran, Iran.</t>
  </si>
  <si>
    <t>jorfi-s@ajums.ac.ir</t>
  </si>
  <si>
    <t>Kalantary, Roshanak Rezaei/H-4316-2018; jorfi, sahand/L-8906-2017; Bandpi, Anoushirvan Mohseni/AAW-4239-2020; esrafili, ali/H-6307-2018</t>
  </si>
  <si>
    <t>Rezaei Kalantary, Roshanak/0000-0003-4839-1349; esrafili, ali/0000-0002-9178-2735; Mohseni-Bandpei, Anoushirvan/0000-0003-0590-0975; nasseri, simin/0000-0003-4498-5617; Jorfi, sahand/0000-0003-2505-7356</t>
  </si>
  <si>
    <t>Tehran University of Medical Sciences; Tarbiat Modares University; Ahvaz jondishapour University of Medical Sciences</t>
  </si>
  <si>
    <t>Tehran University of Medical Sciences(Tehran University of Medical Sciences); Tarbiat Modares University; Ahvaz jondishapour University of Medical Sciences</t>
  </si>
  <si>
    <t>The authors would like to thank Tehran University of Medical Sciences and Tarbiat Modares University and Ahvaz jondishapour University of Medical Sciences for their kind support.</t>
  </si>
  <si>
    <t>2052-336X</t>
  </si>
  <si>
    <t>J ENVIRON HEALTH SCI</t>
  </si>
  <si>
    <t>J. Environ. Health Sci. Eng</t>
  </si>
  <si>
    <t>10.1186/s40201-014-0143-1</t>
  </si>
  <si>
    <t>Engineering, Environmental; Environmental Sciences</t>
  </si>
  <si>
    <t>Engineering; Environmental Sciences &amp; Ecology</t>
  </si>
  <si>
    <t>CA8QK</t>
  </si>
  <si>
    <t>WOS:000349185800001</t>
  </si>
  <si>
    <t>Lawson, RP; Gettelman, A</t>
  </si>
  <si>
    <t>Lawson, R. Paul; Gettelman, Andrew</t>
  </si>
  <si>
    <t>Impact of Antarctic mixed-phase clouds on climate</t>
  </si>
  <si>
    <t>PROCEEDINGS OF THE NATIONAL ACADEMY OF SCIENCES OF THE UNITED STATES OF AMERICA</t>
  </si>
  <si>
    <t>Antarctica; climate; mixed-phase; clouds</t>
  </si>
  <si>
    <t>SUPERCOOLED LIQUID WATER; IN-SITU OBSERVATIONS; ICE-NUCLEATION; MICROPHYSICAL PROPERTIES; SOUTHERN-OCEAN; MODEL; PARTICLES; CRYSTALS; NUCLEI; WAVE</t>
  </si>
  <si>
    <t>Precious little is known about the composition of low-level clouds over the Antarctic Plateau and their effect on climate. In situ measurements at the South Pole using a unique tethered balloon system and ground-based lidar reveal a much higher than anticipated incidence of low-level, mixed-phase clouds (i.e., consisting of supercooled liquid water drops and ice crystals). The high incidence of mixed-phase clouds is currently poorly represented in global climate models (GCMs). As a result, the effects that mixed-phase clouds have on climate predictions are highly uncertain. We modify the National Center for Atmospheric Research (NCAR) Community Earth System Model (CESM) GCM to align with the new observations and evaluate the radiative effects on a continental scale. The net cloud radiative effects (CREs) over Antarctica are increased by +7.4 Wm(-2), and although this is a significant change, a much larger effect occurs when the modified model physics are extended beyond the Antarctic continent. The simulations show significant net CRE over the Southern Ocean storm tracks, where recent measurements also indicate substantial regions of supercooled liquid. These sensitivity tests confirm that Southern Ocean CREs are strongly sensitive to mixed-phase clouds colder than -20 degrees C.</t>
  </si>
  <si>
    <t>[Lawson, R. Paul] SPEC Inc, Boulder, CO 80301 USA; [Gettelman, Andrew] Natl Ctr Atmospher Res, Boulder, CO 80307 USA</t>
  </si>
  <si>
    <t>SPEC Inc.; National Center Atmospheric Research (NCAR) - USA</t>
  </si>
  <si>
    <t>Lawson, RP (corresponding author), SPEC Inc, Boulder, CO 80301 USA.</t>
  </si>
  <si>
    <t>plawson@specinc.com</t>
  </si>
  <si>
    <t>Gettelman, Andrew/AAY-2312-2021</t>
  </si>
  <si>
    <t>US National Science Foundation [OPP-0337876]; US Department of Energy [DE-SC0006269]; US Department of Energy Atmospheric System Research Program [DE-SC0006702]; NASA Earth Observing System and Radiation Sciences Program; National Oceanic and Atmospheric Administration; US National Science Foundation Office of Polar Programs; NASA [NNG05CA06C]; U.S. Department of Energy (DOE) [DE-SC0006269, DE-SC0006702] Funding Source: U.S. Department of Energy (DOE)</t>
  </si>
  <si>
    <t>US National Science Foundation(National Science Foundation (NSF)); US Department of Energy(United States Department of Energy (DOE)); US Department of Energy Atmospheric System Research Program; NASA Earth Observing System and Radiation Sciences Program(National Aeronautics &amp; Space Administration (NASA)); National Oceanic and Atmospheric Administration(National Oceanic Atmospheric Admin (NOAA) - USA); US National Science Foundation Office of Polar Programs(National Science Foundation (NSF)); NASA(National Aeronautics &amp; Space Administration (NASA)); U.S. Department of Energy (DOE)(United States Department of Energy (DOE))</t>
  </si>
  <si>
    <t>We thank Dr. Qixu Mo for his contribution to the analysis of data collected at the South Pole. The observational component of this research is sponsored under Grant OPP-0337876 from the US National Science Foundation and Grant DE-SC0006269 from the US Department of Energy. The modeling component of this research is supported by the US Department of Energy Atmospheric System Research Program Grant DE-SC0006702. The National Center for Atmospheric Research is supported by the US National Science Foundation. Micro Pulse Lidar Network (MPLNET) is funded by the NASA Earth Observing System and Radiation Sciences Program, and the South Pole MPLNET site is maintained with support from the National Oceanic and Atmospheric Administration and the US National Science Foundation Office of Polar Programs. A portion of the balloon instrument package was funded through NASA Contract NNG05CA06C.</t>
  </si>
  <si>
    <t>NATL ACAD SCIENCES</t>
  </si>
  <si>
    <t>2101 CONSTITUTION AVE NW, WASHINGTON, DC 20418 USA</t>
  </si>
  <si>
    <t>0027-8424</t>
  </si>
  <si>
    <t>1091-6490</t>
  </si>
  <si>
    <t>P NATL ACAD SCI USA</t>
  </si>
  <si>
    <t>Proc. Natl. Acad. Sci. U. S. A.</t>
  </si>
  <si>
    <t>DEC 23</t>
  </si>
  <si>
    <t>10.1073/pnas.1418197111</t>
  </si>
  <si>
    <t>AX2IP</t>
  </si>
  <si>
    <t>WOS:000346767200034</t>
  </si>
  <si>
    <t>Delmont, TO; Hammar, KM; Ducklow, HW; Yager, PL; Post, AF</t>
  </si>
  <si>
    <t>Delmont, Tom O.; Hammar, Katherine M.; Ducklow, Hugh W.; Yager, Patricia L.; Post, Anton F.</t>
  </si>
  <si>
    <t>Phaeocystis antarctica blooms strongly influence bacterial community structures in the Amundsen Sea polynya</t>
  </si>
  <si>
    <t>FRONTIERS IN MICROBIOLOGY</t>
  </si>
  <si>
    <t>Amundsen Sea polynya; phytoplankton bloom; Phaeocystis antarctica; microbial community structure; mutualism</t>
  </si>
  <si>
    <t>ROSS SEA; MARINE-BACTERIA; PHYTOPLANKTON BIOMASS; OCEAN; DIVERSITY; DYNAMICS; SURFACE; IRON; BACTERIOPLANKTON; PRYMNESIOPHYCEAE</t>
  </si>
  <si>
    <t>Rising temperatures and changing winds drive the expansion of the highly productive polynyas (open water areas surrounded by sea ice) abutting the Antarctic continent. Phytoplankton blooms in polynyas are often dominated by the haptophyte Phaeocystis antarctica, and they generate the organic carbon that enters the resident microbial food web. Yet, little is known about how Phaeocystis blooms shape bacterial community structures and carbon fluxes in these systems. We identified the bacterial communities that accompanied a Phaeocystis bloom in the Amundsen Sea polynya during the austral summers of 20072008 and 20102011. These communities are distinct from those determined for the Antarctic Circumpolar Current (ACC) and off the Palmer Peninsula. Diversity patterns for most microbial taxa in the Amundsen Sea depended on location (e.g., waters abutting the pack ice near the shelf break and at the edge of the Dotson glacier) and depth, reflecting different niche adaptations within the confines of this isolated ecosystem. Inside the polynya, P. antarctica coexisted with the bacterial taxa Polaribacter sensu lato, a cryptic Oceanospirillum, SAR92 and Pelagibacter. These taxa were dominated by a single oligotype (genotypes partitioned by Shannon entropy analysis) and together contributed up to 73% of the bacterial community. Size fractionation of the bacterial community [&lt;3 mu m (free-living bacteria) vs. &gt;3 mu m (particle-associated bacteria)] identified several taxa (especially SAR92) that were preferentially associated with Phaeocystis colonies, indicative of a distinct role in Phaeocystis bloom ecology. In contrast, particle-associated bacteria at 250 m depth were enriched in Colwellia and members of the Cryomorphaceae suggesting that they play important roles in the decay of Phaeocystis blooms.</t>
  </si>
  <si>
    <t>[Delmont, Tom O.; Hammar, Katherine M.; Post, Anton F.] Josephine Bay Paul Ctr Comparat Mol Biol &amp; Evalut, Marine Biol Lab, Woods Hole, MA 02543 USA; [Ducklow, Hugh W.] Columbia Univ, Lamont Doherty Earth Observ, Palisades, NY USA; [Yager, Patricia L.] Univ Georgia, Dept Marine Sci, Athens, GA 30602 USA</t>
  </si>
  <si>
    <t>Marine Biological Laboratory - Woods Hole; Columbia University; University System of Georgia; University of Georgia</t>
  </si>
  <si>
    <t>Post, AF (corresponding author), Josephine Bay Paul Ctr Comparat Mol Biol &amp; Evalut, Marine Biol Lab, 7 MBL St, Woods Hole, MA 02543 USA.</t>
  </si>
  <si>
    <t>apost@mbl.edu</t>
  </si>
  <si>
    <t>Yager, Patricia/K-8020-2014; delmont, tom/A-4331-2018</t>
  </si>
  <si>
    <t>Yager, Patricia/0000-0002-8462-6427; delmont, tom/0000-0001-7053-7848</t>
  </si>
  <si>
    <t>NSF Antarctic Sciences awards [ANT-1142095]; Office of Polar Programs (OPP); Directorate For Geosciences [0839069, 1542220] Funding Source: National Science Foundation</t>
  </si>
  <si>
    <t>NSF Antarctic Sciences awards; Office of Polar Programs (OPP); Directorate For Geosciences(National Science Foundation (NSF)NSF - Directorate for Geosciences (GEO))</t>
  </si>
  <si>
    <t>This work received financial support from NSF Antarctic Sciences awards ANT-1142095 (AntonF. Post), ANT-0839069 and ANT-0741409 (PatriciaL. Yager), and ANT-0839012 (Hugh W. Ducklow). We further acknowledge the support by Oden Southern Ocean, SWEDARP 2010/2011, a project organized by the Swedish Polar Research Secretariat and National Science Foundation Office of Polar Programs. We are indebted to the NathanielBPalmercrewandtheRaytheonsciencecrewfortheir assistanceduringsamplingacrosstheASP. Drs. KevinArrigoand Anne CarlijnAlderkamp(StanfordUniversity) contributedtothe maps oftheAmundsenSeashownin Figure 1. The2007/ 2008 samples werecollectedwiththeassistanceofK. Bakkerand sequencedaspartoftheInternationalCensusofMarineMicrobes (ICOMM). WegratefullyacknowledgetechnicalassistanceprovidedbyA. MuratEren, SharonGrimandJosephH. Vineis duringvariousstepsofthesequencingandqualitycontrolanaly- ses. WearealsogratefultoSaraPaverforcriticalcommentsand tothereviewersfortheirconstructiveremarks.</t>
  </si>
  <si>
    <t>1664-302X</t>
  </si>
  <si>
    <t>FRONT MICROBIOL</t>
  </si>
  <si>
    <t>Front. Microbiol.</t>
  </si>
  <si>
    <t>DEC 19</t>
  </si>
  <si>
    <t>10.3389/fmicb.2014.00646</t>
  </si>
  <si>
    <t>AZ9GZ</t>
  </si>
  <si>
    <t>WOS:000348523100001</t>
  </si>
  <si>
    <t>Hayes, CT; Martínez-García, A; Hasenfratz, AP; Jaccard, SL; Hodell, DA; Sigman, DM; Haug, GH; Anderson, RF</t>
  </si>
  <si>
    <t>Hayes, Christopher T.; Martinez-Garcia, Alfredo; Hasenfratz, Adam P.; Jaccard, Samuel L.; Hodell, David A.; Sigman, Daniel M.; Haug, Gerald H.; Anderson, Robert F.</t>
  </si>
  <si>
    <t>A stagnation event in the deep South Atlantic during the last interglacial period</t>
  </si>
  <si>
    <t>SCIENCE</t>
  </si>
  <si>
    <t>ATMOSPHERIC CO2; CLIMATE-CHANGE; ANTARCTIC ICE; SEA-LEVEL; OCEAN; WATER; PRODUCTIVITY; DEGLACIATION; VARIABILITY; POLYNYA</t>
  </si>
  <si>
    <t>During the last interglacial period, global temperatures were similar to 2 degrees C warmer than at present and sea level was 6 to 8 meters higher. Southern Ocean sediments reveal a spike in authigenic uranium 127,000 years ago, within the last interglacial, reflecting decreased oxygenation of deep water by Antarctic Bottom Water (AABW). Unlike ice age reductions in AABW, the interglacial stagnation event appears decoupled from open ocean conditions and may have resulted from coastal freshening due to mass loss from the Antarctic ice sheet. AABW reduction coincided with increased North Atlantic Deep Water (NADW) formation, and the subsequent reinvigoration in AABW coincided with reduced NADW formation. Thus, alternation of deep water formation between the Antarctic and the North Atlantic, believed to characterize ice ages, apparently also occurs in warm climates.</t>
  </si>
  <si>
    <t>[Hayes, Christopher T.] MIT, Dept Earth Atmospher &amp; Planetary Sci, Cambridge, MA 02142 USA; [Hayes, Christopher T.; Anderson, Robert F.] Columbia Univ, Lamont Doherty Earth Observ, Palisades, NY 10964 USA; [Martinez-Garcia, Alfredo; Hasenfratz, Adam P.; Haug, Gerald H.] ETH, Geol Inst, CH-8092 Zurich, Switzerland; [Jaccard, Samuel L.] Univ Bern, Inst Geol Sci, CH-3012 Bern, Switzerland; [Jaccard, Samuel L.] Univ Bern, Oeschger Ctr Climate Change Res, CH-3012 Bern, Switzerland; [Hodell, David A.] Univ Cambridge, Dept Earth Sci, Cambridge CB2 3EQ, England; [Sigman, Daniel M.] Princeton Univ, Dept Geosci, Princeton, NJ 08544 USA</t>
  </si>
  <si>
    <t>Massachusetts Institute of Technology (MIT); Columbia University; Swiss Federal Institutes of Technology Domain; ETH Zurich; University of Bern; University of Bern; University of Cambridge; Princeton University</t>
  </si>
  <si>
    <t>Hayes, CT (corresponding author), MIT, Dept Earth Atmospher &amp; Planetary Sci, Cambridge, MA 02142 USA.</t>
  </si>
  <si>
    <t>cthayes@mit.edu</t>
  </si>
  <si>
    <t>Martinez-Garcia, Alfredo/A-6244-2010; Sigman, Daniel M./A-2649-2008; Sigman, Daniel M./IYJ-2613-2023; Jaccard, Samuel/G-3447-2014; Jaccard, Samuel/IZP-9669-2023; Hayes, Christopher/P-3145-2016</t>
  </si>
  <si>
    <t>Martinez-Garcia, Alfredo/0000-0002-7206-5079; Sigman, Daniel M./0000-0002-7923-1973; Jaccard, Samuel/0000-0002-5793-0896; Hayes, Christopher/0000-0002-5636-2989; Anderson, Robert/0000-0002-8472-2494; Hodell, David/0000-0001-8537-1588</t>
  </si>
  <si>
    <t>Comer Science and Education Foundation (CTH/RFA); W.O. Crosby Fellowship; Swiss National Science Foundation [PZ00P2_142424, PP00P2_144811]; ETH [ETH-0411-1]; NERC [NE/H014292/1] Funding Source: UKRI; Swiss National Science Foundation (SNF) [PZ00P2_142424] Funding Source: Swiss National Science Foundation (SNF); Natural Environment Research Council [NE/H014292/1] Funding Source: researchfish</t>
  </si>
  <si>
    <t>Comer Science and Education Foundation (CTH/RFA); W.O. Crosby Fellowship; Swiss National Science Foundation(Swiss National Science Foundation (SNSF)); ETH(ETH Zurich); NERC(UK Research &amp; Innovation (UKRI)Natural Environment Research Council (NERC)); Swiss National Science Foundation (SNF)(Swiss National Science Foundation (SNSF)); Natural Environment Research Council(UK Research &amp; Innovation (UKRI)Natural Environment Research Council (NERC))</t>
  </si>
  <si>
    <t>We acknowledge the Integrated Ocean Drilling Program for providing samples. Data not previously reported are archived at the U.S. National Climate Data Center (http://www.ncdc.noaa.gov/paleo/study/17455) and Pangaea (http://doi.pangaea.de/10.1594/PANGAEA.839454) and can be accessed in tables S3 and S4. Financial support was provided by the Comer Science and Education Foundation (CTH/RFA), the W.O. Crosby Fellowship (C.T.H.), Swiss National Science Foundation grants PZ00P2_142424 (AM-G) and PP00P2_144811 (SLJ), and ETH grant ETH-0411-1 (SLJ/APH).</t>
  </si>
  <si>
    <t>AMER ASSOC ADVANCEMENT SCIENCE</t>
  </si>
  <si>
    <t>1200 NEW YORK AVE, NW, WASHINGTON, DC 20005 USA</t>
  </si>
  <si>
    <t>0036-8075</t>
  </si>
  <si>
    <t>1095-9203</t>
  </si>
  <si>
    <t>Science</t>
  </si>
  <si>
    <t>10.1126/science.1256620</t>
  </si>
  <si>
    <t>AW8UI</t>
  </si>
  <si>
    <t>WOS:000346536500064</t>
  </si>
  <si>
    <t>Surma, S; Pakhomov, EA; Pitcher, TJ</t>
  </si>
  <si>
    <t>Surma, Szymon; Pakhomov, Evgeny A.; Pitcher, Tony J.</t>
  </si>
  <si>
    <t>Effects of Whaling on the Structure of the Southern Ocean Food Web: Insights on the Krill Surplus'' from Ecosystem Modelling</t>
  </si>
  <si>
    <t>PLOS ONE</t>
  </si>
  <si>
    <t>SEA-ICE EXTENT; ROSS SEA; WHALES; COMPETITION; INCREASES; SHETLAND; REVEALS; GEORGIA; DECLINE; BIOMASS</t>
  </si>
  <si>
    <t>The aim of this study was to examine the ecological plausibility of the krill surplus'' hypothesis and the effects of whaling on the Southern Ocean food web using mass-balance ecosystem modelling. The depletion trajectory and unexploited biomass of each rorqual population in the Antarctic was reconstructed using yearly catch records and a set of species-specific surplus production models. The resulting estimates of the unexploited biomass of Antarctic rorquals were used to construct an Ecopath model of the Southern Ocean food web existing in 1900. The rorqual depletion trajectory was then used in an Ecosim scenario to drive rorqual biomasses and examine the krill surplus'' phenomenon and whaling effects on the food web in the years 1900-2008. An additional suite of Ecosim scenarios reflecting several hypothetical trends in Southern Ocean primary productivity were employed to examine the effect of bottom-up forcing on the documented krill biomass trend. The output of the Ecosim scenarios indicated that while the krill surplus'' hypothesis is a plausible explanation of the biomass trends observed in some penguin and pinniped species in the mid-20th century, the excess krill biomass was most likely eliminated by a rapid decline in primary productivity in the years 1975-1995. Our findings suggest that changes in physical conditions in the Southern Ocean during this time period could have eliminated the ecological effects of rorqual depletion, although the mechanism responsible is currently unknown. Furthermore, a decline in iron bioavailability due to rorqual depletion may have contributed to the rapid decline in overall Southern Ocean productivity during the last quarter of the 20th century. The results of this study underscore the need for further research on historical changes in the roles of top-down and bottom-up forcing in structuring the Southern Ocean food web.</t>
  </si>
  <si>
    <t>[Surma, Szymon; Pitcher, Tony J.] Univ British Columbia, Fisheries Ctr, Vancouver, BC V5Z 1M9, Canada; [Pakhomov, Evgeny A.] Univ British Columbia, Dept Earth Ocean &amp; Atmospher Sci, Vancouver, BC V5Z 1M9, Canada</t>
  </si>
  <si>
    <t>University of British Columbia; University of British Columbia</t>
  </si>
  <si>
    <t>Surma, S (corresponding author), Univ British Columbia, Fisheries Ctr, Vancouver, BC V5Z 1M9, Canada.</t>
  </si>
  <si>
    <t>s.surma@fisheries.ubc.ca</t>
  </si>
  <si>
    <t>Surma, Szymon/GOG-9811-2022</t>
  </si>
  <si>
    <t>Surma, Szymon/0000-0002-0236-6757</t>
  </si>
  <si>
    <t>PUBLIC LIBRARY SCIENCE</t>
  </si>
  <si>
    <t>SAN FRANCISCO</t>
  </si>
  <si>
    <t>1160 BATTERY STREET, STE 100, SAN FRANCISCO, CA 94111 USA</t>
  </si>
  <si>
    <t>1932-6203</t>
  </si>
  <si>
    <t>PLoS One</t>
  </si>
  <si>
    <t>DEC 17</t>
  </si>
  <si>
    <t>e114978</t>
  </si>
  <si>
    <t>10.1371/journal.pone.0114978</t>
  </si>
  <si>
    <t>AX9IA</t>
  </si>
  <si>
    <t>WOS:000347215600034</t>
  </si>
  <si>
    <t>Sergeev, VA; Sormakov, DA; Angelopoulos, V</t>
  </si>
  <si>
    <t>Sergeev, V. A.; Sormakov, D. A.; Angelopoulos, V.</t>
  </si>
  <si>
    <t>A missing variable in solar wind-magnetosphere-ionosphere coupling studies</t>
  </si>
  <si>
    <t>magnetic variations; plasma sheet control</t>
  </si>
  <si>
    <t>FIELD-ALIGNED CURRENTS; ENERGY; SUBSTORM</t>
  </si>
  <si>
    <t>The auroral electrojet (AL) index is commonly used to characterize the magnetospheric activity. The ground magnetic perturbations that comprise AL are formed predominantly by Hall currents, however, and the Hall conductivity is sensitive to plasma sheet T-e and N-e parameters, which control the production of energetic electrons via their field-aligned acceleration. Using AL index and nightside-dawn sector plasma sheet electron data, we demonstrate that a hotter, lower density plasma sheet is associated with stronger ground magnetic variations in the nightside auroral zone than a colder, denser plasma sheet under similar solar wind driving conditions. The T-e(1/2)/N-e-dependent difference may exceed a factor of 4 during the growth phase events, whereas the acceleration during substorm expansions smears it out. Background plasma sheet state is mainly controlled by the solar wind velocity and density. We suggest that plasma sheet T-e(1/2)/N-e variable constitutes an important (and currently ignored) variable in studies of solar wind-magnetosphere-ionosphere coupling.</t>
  </si>
  <si>
    <t>[Sergeev, V. A.] St Petersburg State Univ, Earths Phys Dept, St Petersburg 199034, Russia; [Sormakov, D. A.] Arctic &amp; Antarctic Res Inst, St Petersburg 199226, Russia; [Angelopoulos, V.] Univ Calif Los Angeles, Dept Earth Planetary &amp; Space Sci, Los Angeles, CA USA</t>
  </si>
  <si>
    <t>Saint Petersburg State University; Arctic &amp; Antarctic Research Institute; University of California System; University of California Los Angeles</t>
  </si>
  <si>
    <t>Sergeev, VA (corresponding author), St Petersburg State Univ, Earths Phys Dept, St Petersburg 199034, Russia.</t>
  </si>
  <si>
    <t>victor@geo.phys.spbu.ru</t>
  </si>
  <si>
    <t>Sormakov, Dmitry A/K-1695-2014; Sergeev, Victor A/H-1173-2013</t>
  </si>
  <si>
    <t>Sergeev, Victor A/0000-0002-4569-9631; Angelopoulos, Vassilis/0000-0001-7024-1561</t>
  </si>
  <si>
    <t>Russian Science Foundation [14-17-00072]; Russian Science Foundation [14-17-00072] Funding Source: Russian Science Foundation</t>
  </si>
  <si>
    <t>Russian Science Foundation(Russian Science Foundation (RSF)); Russian Science Foundation(Russian Science Foundation (RSF))</t>
  </si>
  <si>
    <t>We thank data providers, NSSDC at NASA GSFC for OMNI data, Kyoto WDC for the AL index data, and Arctic Antarctic Research Institute for Vostok PC index data. We thank N. Tsyganenko and Judy Hohl for valuable suggestions on the paper. We thank C. W. Carlson and J.P. McFadden for use of ESA THEMIS data and Cindy Russell for providing pseudo-AL index. This work was supported by the Russian Science Foundation grant 14-17-00072.</t>
  </si>
  <si>
    <t>DEC 16</t>
  </si>
  <si>
    <t>10.1002/2014GL062271</t>
  </si>
  <si>
    <t>AZ8JP</t>
  </si>
  <si>
    <t>WOS:000348462000010</t>
  </si>
  <si>
    <t>Ridley, JK; Hewitt, HT</t>
  </si>
  <si>
    <t>Ridley, Jeff K.; Hewitt, Helene T.</t>
  </si>
  <si>
    <t>A mechanism for lack of sea ice reversibility in the Southern Ocean</t>
  </si>
  <si>
    <t>sea ice; cryospheric change; oceans; climate dynamics; global climate models</t>
  </si>
  <si>
    <t>MODEL; AOGCM</t>
  </si>
  <si>
    <t>We find evidence that ocean processes during global warming may result in irreversible changes to the Antarctic sea ice, whereas the Arctic sea ice changes appear to be reversible. Increased forcing gives rise to strong heat uptake in the Southern Ocean, and existing pathways provide an increased transport of heat to the Weddell Sea. As atmospheric concentrations of CO2 are returned to preindustrial levels, the Antarctic ice extent at first recovers, but a rapid change in the position of the an ocean front in the South Atlantic maintains the heat transport into the Weddell Sea. A cooling surface initiates deep convection, accessing the stored heat, resulting in a substantial loss of sea ice, which has not recovered after a further 150years at preindustrial CO2.</t>
  </si>
  <si>
    <t>[Ridley, Jeff K.; Hewitt, Helene T.] Hadley Ctr, Met Off, Exeter, Devon, England</t>
  </si>
  <si>
    <t>Met Office - UK; Hadley Centre</t>
  </si>
  <si>
    <t>Ridley, JK (corresponding author), Hadley Ctr, Met Off, Exeter, Devon, England.</t>
  </si>
  <si>
    <t>jeff.ridley@metoffice.gov.uk</t>
  </si>
  <si>
    <t>Hewitt, Helene/0000-0001-7432-6001</t>
  </si>
  <si>
    <t>The data depicted in this paper may be made available to research users on request to the lead author. This work was supported by the Joint DECC/Defra Met Office Hadley Centre Climate Programme (GA01101).</t>
  </si>
  <si>
    <t>10.1002/2014GL062167</t>
  </si>
  <si>
    <t>WOS:000348462000034</t>
  </si>
  <si>
    <t>Haumann, FA; Notz, D; Schmidt, H</t>
  </si>
  <si>
    <t>Haumann, F. Alexander; Notz, Dirk; Schmidt, Hauke</t>
  </si>
  <si>
    <t>Anthropogenic influence on recent circulation-driven Antarctic sea ice changes</t>
  </si>
  <si>
    <t>Antarctic; sea ice; climate change; anthropogenic; model; observations</t>
  </si>
  <si>
    <t>SOUTHERN ANNULAR MODE; CMIP5 SIMULATIONS; OZONE HOLE; TRENDS; OCEAN; VARIABILITY; CLIMATE; EXTENT</t>
  </si>
  <si>
    <t>Observations reveal an increase of Antarctic sea ice over the past three decades, yet global climate models tend to simulate a sea ice decrease for that period. Here we combine observations with model experiments (MPI-ESM) to investigate causes for this discrepancy and for the observed sea ice increase. Based on observations and atmospheric reanalysis, we show that on multidecadal time scales Antarctic sea ice changes are linked to intensified meridional winds that are caused by a zonally asymmetric lowering of the high-latitude surface pressure. In our simulations, this surface pressure lowering is a response to a combination of anthropogenic stratospheric ozone depletion and greenhouse gas increase. Combining these two lines of argument, we infer a possible anthropogenic influence on the observed sea ice changes. However, similar to other models, MPI-ESM simulates a surface-pressure response that is rather zonally symmetric, which explains why the simulated sea ice response differs from observations.</t>
  </si>
  <si>
    <t>[Haumann, F. Alexander; Notz, Dirk; Schmidt, Hauke] Max Planck Inst Meteorol, D-20146 Hamburg, Germany; [Haumann, F. Alexander] ETH, Inst Biogeochem &amp; Pollutant Dynam, Zurich, Switzerland; [Haumann, F. Alexander] ETH, Ctr Climate Syst Modeling, Zurich, Switzerland</t>
  </si>
  <si>
    <t>Max Planck Society; Swiss Federal Institutes of Technology Domain; ETH Zurich; Swiss Federal Institutes of Technology Domain; ETH Zurich</t>
  </si>
  <si>
    <t>Haumann, FA (corresponding author), Max Planck Inst Meteorol, Bundesstr 55, D-20146 Hamburg, Germany.</t>
  </si>
  <si>
    <t>alexander.haumann@usys.ethz.ch</t>
  </si>
  <si>
    <t>Notz, Dirk/P-4428-2017; Haumann, Alexander/J-6679-2014; Schmidt, Hauke/J-4469-2013</t>
  </si>
  <si>
    <t>Notz, Dirk/0000-0003-0365-5654; Haumann, Alexander/0000-0002-8218-977X; Schmidt, Hauke/0000-0001-7977-5041</t>
  </si>
  <si>
    <t>Max Planck Research Group fellowship; ETH Research grant [CH2-01 11-1]; German Research Foundation (DFG) within the research group SHARP [SCHM2158/2-2]</t>
  </si>
  <si>
    <t>Max Planck Research Group fellowship; ETH Research grant; German Research Foundation (DFG) within the research group SHARP(German Research Foundation (DFG))</t>
  </si>
  <si>
    <t>Model output is available from the authors upon request. We thank U. Mikolajewicz, N. Gruber, H. Haak, E. Olasson, and S. Kern for comments and discussion. We also thank M. van den Broecke, J. Lenaerts, and J. van Angelen for some initial thoughts contributing to this study. This work has primarily been funded through a Max Planck Research Group fellowship. F.A.H. has been supported by ETH Research grant CH2-01 11-1. H.S. received funding from the German Research Foundation (DFG) within the research group SHARP under grant SCHM2158/2-2. Computational resources were made available by Deutsches Klimarechenzentrum (DKRZ) through support from the Bundesministerium fur Bildung und Forschung (BMBF).</t>
  </si>
  <si>
    <t>10.1002/2014GL061659</t>
  </si>
  <si>
    <t>WOS:000348462000037</t>
  </si>
  <si>
    <t>Signori, CN; Thomas, F; Enrich-Prast, A; Pollery, RCG; Sievert, SM</t>
  </si>
  <si>
    <t>Signori, Camila N.; Thomas, Franois; Enrich-Prast, Alex; Pollery, Ricardo C. G.; Sievert, Stefan M.</t>
  </si>
  <si>
    <t>Microbial diversity and community structure across environmental gradients in Bransfield Strait Western Antarctic Peninsula</t>
  </si>
  <si>
    <t>Antarctica; pyrosequencing; microbial community structure; environmental factors; microbial oceanography; climate change</t>
  </si>
  <si>
    <t>BACTERIOPLANKTON COMMUNITY; SUMMER BACTERIOPLANKTON; INTERACTIVE TREE; DEEP-SEA; OCEAN; BACTERIAL; ARCHAEAL; WINTER; ASSEMBLAGES; VARIABILITY</t>
  </si>
  <si>
    <t>The Southern Ocean is currently subject to intense investigations, mainly related to its importance for global biogeochemical cycles and its alarming rate of warming in response to climate change. Microbes play an essential role in the functioning of this ecosystem and are the main drivers of the biogeochemical cycling of elements. Yet, the diversity and abundance of microorganisms in this system remain poorly studied, in particular with regards to changes along environmental gradients. Here, we used amplicon sequencing of 16S rRNA gene tags using primers covering both Bacteria and Archaea to assess the composition and diversity of the microbial communities from four sampling depths (surface, the maximum and minimum of the oxygen concentration, and near the seafloor) at 10 oceanographic stations located in Bransfield Strait [northwest of the Antarctic Peninsula (AP)] and near the sea ice edge (north of the AP). Samples collected near the seafloor and at the oxygen minimum exhibited a higher diversity than those from the surface and oxygen maximum for both bacterial and archaeal communities. The main taxonomic groups identified below 100 m were Thaumarchaeota, Euryarchaeota and Proteobacteria (Gamma-, Delta-, Beta-, and Alphaproteobacteria), whereas in the mixed layer above 100 m Bacteroidetes and Proteobacteria (mainly Alpha- and Gammaproteobacteria) were found to be dominant. A combination of environmental factors seems to influence the microbial community composition. Our results help to understand how the dynamic seascape of the Southern Ocean shapes the microbial community composition and set a baseline for upcoming studies to evaluate the response of this ecosystem to future changes.</t>
  </si>
  <si>
    <t>[Signori, Camila N.; Enrich-Prast, Alex] Univ Fed Rio de Janeiro, Inst Microbiol Prof Paulo Goes, BR-68020 Rio De Janeiro, Brazil; [Signori, Camila N.; Enrich-Prast, Alex; Pollery, Ricardo C. G.] Univ Fed Rio de Janeiro, Inst Biol, Lab Biogeoquim, Ctr Ciencias Saude, BR-68020 Rio De Janeiro, Brazil; [Signori, Camila N.; Thomas, Franois; Sievert, Stefan M.] Woods Hole Oceanog Inst, Dept Biol, Woods Hole, MA 02543 USA; [Enrich-Prast, Alex] Linkoping Univ, Dept Environm Change, Linkoping, Sweden</t>
  </si>
  <si>
    <t>Universidade Federal do Rio de Janeiro; Universidade Federal do Rio de Janeiro; Woods Hole Oceanographic Institution; Linkoping University</t>
  </si>
  <si>
    <t>Enrich-Prast, A (corresponding author), Univ Fed Rio de Janeiro, Inst Biol, Dept Ecol, Lab Biogeochem, Cidade Univ S-N, BR-68020 Rio De Janeiro, Brazil.</t>
  </si>
  <si>
    <t>aeprast@biologia.ufrj.br; ssievert@whoi.edu</t>
  </si>
  <si>
    <t>Signori, Camila Negrão/AAQ-4156-2020; Prast, Alex Enrich/AAL-4722-2021; Enrich-Prast, Alex/H-5391-2012</t>
  </si>
  <si>
    <t>Signori, Camila Negrão/0000-0001-5259-9332; Prast, Alex Enrich/0000-0003-3561-0936; Sievert, Stefan/0000-0002-9541-2707; Thomas, Francois/0000-0003-1896-0774</t>
  </si>
  <si>
    <t>Brazilian National Counsel of Technological and Scientific Development (Polar Canion CNPq) [556848/2009-8, 565040/2010-3, 407889/2013-2]; Alex Enrich-Prast received a CNPq Productivity fellowship; WHOI Mary Sears Visitor Award; Brazilian Federal Agency; Evaluation of Graduate Education (CAPES) for the Doctorate Sandwich scholarship [18835/12-0]</t>
  </si>
  <si>
    <t>Brazilian National Counsel of Technological and Scientific Development (Polar Canion CNPq)(Fundacao de Apoio a Pesquisa do Distrito Federal (FAPDF)); Alex Enrich-Prast received a CNPq Productivity fellowship; WHOI Mary Sears Visitor Award; Brazilian Federal Agency; Evaluation of Graduate Education (CAPES) for the Doctorate Sandwich scholarship</t>
  </si>
  <si>
    <t>We thank the captain Newton Pinto Homem (XXXI Operantar) and the crew of the Npo. Almirante Maximiano (H41) for their assistance in collecting samples. We also thank the scientific team from the Projects ProOasis, Polar Canion, Interbiota and INCT-Mar-COI for sharing their knowledge and the environmental data, as well as Sievert's lab team (Jesse, Lara, and Emelia) for their help. We thank both reviewers for their comments and suggestions that improved the paper. This work was supported by the Brazilian National Counsel of Technological and Scientific Development (Polar Canion CNPq 556848/2009-8, ProOasis CNPq 565040/2010-3, Interbiota CNPq 407889/2013-2 and INCT-MAR-COI). Alex Enrich-Prast received a CNPq Productivity fellowship. Camila N. Signori was supported by a WHOI Mary Sears Visitor Award (for the microbial community analyses) and by the Brazilian Federal Agency for Support and Evaluation of Graduate Education (CAPES) for the Doctorate Sandwich scholarship (n. 18835/12-0).</t>
  </si>
  <si>
    <t>10.3389/fmicb.2014.00647</t>
  </si>
  <si>
    <t>AX9SY</t>
  </si>
  <si>
    <t>WOS:000347243500001</t>
  </si>
  <si>
    <t>Carter, BA; Retterer, JM; Yizengaw, E; Wiens, K; Wing, S; Groves, K; Caton, R; Bridgwood, C; Francis, M; Terkildsen, M; Norman, R; Zhang, K</t>
  </si>
  <si>
    <t>Carter, B. A.; Retterer, J. M.; Yizengaw, E.; Wiens, K.; Wing, S.; Groves, K.; Caton, R.; Bridgwood, C.; Francis, M.; Terkildsen, M.; Norman, R.; Zhang, K.</t>
  </si>
  <si>
    <t>Using solar wind data to predict daily GPS scintillation occurrence in the African and Asian low-latitude regions</t>
  </si>
  <si>
    <t>GPS scintillation; equatorial plasma bubbles; ionosphere-thermosphere modeling</t>
  </si>
  <si>
    <t>EQUATORIAL PLASMA BUBBLES; IRREGULARITIES; VARIABILITY; IONOSPHERE; MODEL</t>
  </si>
  <si>
    <t>The feasibility of predicting the daily occurrence of Global Positioning System scintillation events using forecasts of common geophysical indices to drive a physics-based model of the system is demonstrated over a 5 month period for the African and Asian longitude sectors. The output from the Wing Kp model, which uses solar wind data to predict the geomagnetic activity level up to 4h in advance, was used to drive the National Center for Atmospheric Research thermosphere/ionosphere model, from which the strength of the Rayleigh-Taylor instability growth rate was calculated to determine the likelihood of scintillation. It is found that the physics-based model demonstrates superior skill to an empirical scintillation model (Wideband Model (WBMOD)) in forecasting scintillation suppression events during seasons when scintillation is common. However, neither of the models driven in this way possess the ability to forecast isolated scintillation events during transitional and off-peak seasons.</t>
  </si>
  <si>
    <t>[Carter, B. A.; Retterer, J. M.; Yizengaw, E.; Groves, K.; Bridgwood, C.] Boston Coll, Inst Sci Res, Boston, MA 02467 USA; [Carter, B. A.; Norman, R.; Zhang, K.] RMIT Univ, SPACE Res Ctr, Melbourne, Vic, Australia; [Wiens, K.; Caton, R.] Air Force Res Lab, Kirtland AFB, NM USA; [Wing, S.] Johns Hopkins Univ, Appl Phys Lab, Laurel, MD USA; [Francis, M.; Terkildsen, M.] Bur Meteorol, Space Weather Serv, Sydney, NSW, Australia</t>
  </si>
  <si>
    <t>Boston College; Royal Melbourne Institute of Technology (RMIT); Melbourne Genomics Health Alliance; United States Department of Defense; United States Air Force; US Air Force Research Laboratory; Johns Hopkins University; Johns Hopkins University Applied Physics Laboratory; Bureau of Meteorology - Australia</t>
  </si>
  <si>
    <t>Carter, BA (corresponding author), Boston Coll, Inst Sci Res, Boston, MA 02467 USA.</t>
  </si>
  <si>
    <t>carterba@bc.edu</t>
  </si>
  <si>
    <t>Yizengaw, Endawoke/J-2475-2018; Wing, Simon/H-2232-2016; Yizengaw, Endawoke/I-3471-2015; Zhang, Kefei/R-5239-2019; zhang, ke/AAH-8217-2019; Carter, Brett/J-2224-2012</t>
  </si>
  <si>
    <t>Wing, Simon/0000-0001-9342-1813; Yizengaw, Endawoke/0000-0001-5772-3355; Carter, Brett/0000-0003-4881-3345; Norman, Robert/0000-0001-8306-9588; Terkildsen, Michael/0000-0002-6290-158X; Groves, Keith/0000-0002-2067-1579; Retterer, John/0000-0002-3240-9308</t>
  </si>
  <si>
    <t>Victorian Postdoctoral Research Fellowship; Australian Research Council Linkage grant [LP130100243]; Australian Antarctic Science grant [4159]; NASA LWS [NNX11AP02G]; AFOSR [FA9550-12-104371]; NSF [ATM-0802715, AGS-1058456]; NASA [NNX13AE12G]; NASA [NNX13AE12G, 475137] Funding Source: Federal RePORTER; Australian Research Council [LP130100243] Funding Source: Australian Research Council</t>
  </si>
  <si>
    <t>Victorian Postdoctoral Research Fellowship; Australian Research Council Linkage grant(Australian Research Council); Australian Antarctic Science grant; NASA LWS(National Aeronautics &amp; Space Administration (NASA)); AFOSR(United States Department of DefenseAir Force Office of Scientific Research (AFOSR)); NSF(National Science Foundation (NSF)); NASA(National Aeronautics &amp; Space Administration (NASA)); NASA(National Aeronautics &amp; Space Administration (NASA)); Australian Research Council(Australian Research Council)</t>
  </si>
  <si>
    <t>This research was partially supported by the Victorian Postdoctoral Research Fellowship awarded to B. A. Carter., the Australian Research Council Linkage grant (project LP130100243) and the Australian Antarctic Science grant (project 4159) to K. Zhang. E. Yizengaw's time was supported by NASA LWS (NNX11AP02G) and AFOSR (FA9550-12-104371) grants. S. Wing acknowledges the support of NSF grants ATM-0802715 and AGS-1058456, and NASA grant NNX13AE12G. The SCINDA network was operated by the Air Force Research Laboratory. The TIEGCM source code was obtained from the High Altitude Observatory website, http://www.hao.ucar.edu/modeling/tgcm/. The Wing Kp predictions and solar activity data were obtained from the NOAA SWPC website, http://http://www.swpc.noaa.gov. Assistance with WBMOD provided by B. McNeil is kindly acknowledged.</t>
  </si>
  <si>
    <t>10.1002/2014GL062203</t>
  </si>
  <si>
    <t>WOS:000348462000005</t>
  </si>
  <si>
    <t>Juricke, S; Goessling, HF; Jung, T</t>
  </si>
  <si>
    <t>Juricke, Stephan; Goessling, Helge F.; Jung, Thomas</t>
  </si>
  <si>
    <t>Potential sea ice predictability and the role of stochastic sea ice strength perturbations</t>
  </si>
  <si>
    <t>sea ice; potential predictability; stochastic parametrizations; coupled climate model</t>
  </si>
  <si>
    <t>ENSEMBLE PREDICTION SYSTEM; OCEAN MODEL; PARAMETERIZATION; UNCERTAINTIES; FLOW</t>
  </si>
  <si>
    <t>Ensemble experiments with a climate model are carried out in order to explore how incorporating a stochastic ice strength parameterization to account for model uncertainty affects estimates of potential sea ice predictability on time scales from days to seasons. The impact of this new parameterization depends strongly on the spatial scale, lead time and the hemisphere being considered: Whereas the representation of model uncertainty increases the ensemble spread of Arctic sea ice thickness predictions generated by atmospheric initial perturbations up to about 4 weeks into the forecast, rather small changes are found for longer lead times as well as integrated quantities such as total sea ice area. The regions where initial condition uncertainty generates spread in sea ice thickness on subseasonal time scales (primarily along the ice edge) differ from that of the stochastic sea ice strength parameterization (along the coast lines and in the interior of the Arctic). For the Antarctic the influence of the stochastic sea ice strength parameterization is much weaker due to the predominance of thinner first year ice. These results suggest that sea ice data assimilation and prediction on subseasonal time scales could benefit from taking model uncertainty into account, especially in the Arctic.</t>
  </si>
  <si>
    <t>[Juricke, Stephan; Goessling, Helge F.; Jung, Thomas] Helmholtz Ctr Polar &amp; Marine Res, Alfred Wegener Inst, Bremerhaven, Germany; [Juricke, Stephan] Univ Oxford, Oxford, England</t>
  </si>
  <si>
    <t>Helmholtz Association; Alfred Wegener Institute, Helmholtz Centre for Polar &amp; Marine Research; University of Oxford</t>
  </si>
  <si>
    <t>Juricke, S (corresponding author), Helmholtz Ctr Polar &amp; Marine Res, Alfred Wegener Inst, Bremerhaven, Germany.</t>
  </si>
  <si>
    <t>Stephan.Juricke@awi.de</t>
  </si>
  <si>
    <t>Goessling, Helge/AAE-1597-2020; Jung, Thomas/J-5239-2012</t>
  </si>
  <si>
    <t>Goessling, Helge/0000-0001-9018-1383; Jung, Thomas/0000-0002-2651-1293; Juricke, Stephan/0000-0003-4614-2509</t>
  </si>
  <si>
    <t>TORUS-MiKlip project; German Climate Computing Center (DKRZ) through German Federal Ministry of Education and Research (BMBF) [ba0771]; North-German Supercomputing Alliance (HLRN) [hbk00032]</t>
  </si>
  <si>
    <t>TORUS-MiKlip project; German Climate Computing Center (DKRZ) through German Federal Ministry of Education and Research (BMBF); North-German Supercomputing Alliance (HLRN)</t>
  </si>
  <si>
    <t>This study was supported by the TORUS-MiKlip project. Computational resources were made available by project ba0771 of the German Climate Computing Center (DKRZ) through support from the German Federal Ministry of Education and Research (BMBF), and by project hbk00032 of the North-German Supercomputing Alliance (HLRN). The authors thank Virginie Guemas and an anonymous reviewer for their helpful comments.</t>
  </si>
  <si>
    <t>10.1002/2014GL062081</t>
  </si>
  <si>
    <t>WOS:000348462000033</t>
  </si>
  <si>
    <t>van Haren, H; Gostiaux, L; Morozov, E; Tarakanov, R</t>
  </si>
  <si>
    <t>van Haren, Hans; Gostiaux, Louis; Morozov, Eugene; Tarakanov, Roman</t>
  </si>
  <si>
    <t>Extremely long Kelvin-Helmholtz billow trains in the Romanche Fracture Zone</t>
  </si>
  <si>
    <t>Kelvin-Helmholtz billows; Romanche Fracture Zone; mixing Antarctic Bottom Water</t>
  </si>
  <si>
    <t>ANTARCTIC BOTTOM WATER; GRAVITY-WAVES; SHEAR; FLOW; DISSIPATION; INSTABILITY; TURBULENCE; STABILITY</t>
  </si>
  <si>
    <t>In the Atlantic Ocean, the densest water mass Antarctic Bottom Water AABW can only cross the Mid-Atlantic Ridge from its southwestern to northeastern basins in limited, because deep, conduits. At the southwestern entrance of one of these, the equatorial Romanche Fracture Zone, AABW crosses a sill at 4550m depth in a 7km narrow channel before plunging into the deep. At the sill-slope, the rapidly flowing AABW causes shear-induced turbulent mixing with the overlying water masses. We present an excerpt of 1Hz sampled, half-yearlong moored observations from 99 high-resolution temperature sensors that demonstrate and quantify the turbulence details. On top of quasi-steady shear flow, an internal tide modulates the mixing. Together, they constitute a means for an extremely long train of &gt;250 consecutive Kelvin-Helmholtz billows in a day that vary between 5 and 100m in vertical scale.</t>
  </si>
  <si>
    <t>[van Haren, Hans] NIOZ Royal Netherlands Inst Sea Res, Den Burg, Netherlands; [Gostiaux, Louis] Univ Lyon, Ecole Cent Lyon, Lab Mecan Fluides &amp; Acoust, Ecully, France; [Morozov, Eugene; Tarakanov, Roman] Russian Acad Sci, Shirshov Inst Oceanol, Moscow, Russia</t>
  </si>
  <si>
    <t>Utrecht University; Royal Netherlands Institute for Sea Research (NIOZ); Centre National de la Recherche Scientifique (CNRS); Ecole Centrale de Lyon; Institut National des Sciences Appliquees de Lyon - INSA Lyon; Universite Claude Bernard Lyon 1; Universite Jean Monnet; Russian Academy of Sciences; Shirshov Institute of Oceanology</t>
  </si>
  <si>
    <t>van Haren, H (corresponding author), NIOZ Royal Netherlands Inst Sea Res, Den Burg, Netherlands.</t>
  </si>
  <si>
    <t>hans.van.haren@nioz.nl</t>
  </si>
  <si>
    <t>Tarakanov, Roman/R-3325-2016; Morozov, Eugene G/L-3023-2018</t>
  </si>
  <si>
    <t>Tarakanov, Roman/0000-0002-8711-1859; Morozov, Eugene/0000-0002-0251-3454; Gostiaux, Louis/0000-0001-9683-4461</t>
  </si>
  <si>
    <t>Presidium of the Russian Academy of Sciences [23]; Russian Foundation for Basic Research; Ecole Centrale de Lyon; Agence Nationale de la Recherche [ANR-13-JS09-0004-01]; Agence Nationale de la Recherche (ANR) [ANR-13-JS09-0004] Funding Source: Agence Nationale de la Recherche (ANR)</t>
  </si>
  <si>
    <t>Presidium of the Russian Academy of Sciences(Russian Academy of Sciences); Russian Foundation for Basic Research(Russian Foundation for Basic Research (RFBR)Spanish Government); Ecole Centrale de Lyon; Agence Nationale de la Recherche(Agence Nationale de la Recherche (ANR)); Agence Nationale de la Recherche (ANR)(Agence Nationale de la Recherche (ANR))</t>
  </si>
  <si>
    <t>We thank the crew of the R/V Ak. S. Vavilov for deployment and recovery of the mooring. We are grateful to Martin Laan for all his thermistor-support. The research cruises were financed by Program 23 of the Presidium of the Russian Academy of Sciences and the Russian Foundation for Basic Research. The paper was initiated during HvH's stay as a visiting professor at and financed by the Ecole Centrale de Lyon. L.G. supported by the Agence Nationale de la Recherche, ANR-13-JS09-0004-01 (STRATIMIX). Data use requests can be directed to hans.van.haren@nioz.nl.</t>
  </si>
  <si>
    <t>10.1002/2014GL062421</t>
  </si>
  <si>
    <t>WOS:000348462000039</t>
  </si>
  <si>
    <t>Grist, JP; Josey, SA; Boehme, L; Meredith, MP; Laidre, KL; Heide-Jorgensen, MP; Kovacs, KM; Lydersen, C; Davidson, FJM; Stenson, GB; Hammill, MO; Marsh, R; Coward, AC</t>
  </si>
  <si>
    <t>Grist, Jeremy P.; Josey, Simon A.; Boehme, Lars; Meredith, Michael P.; Laidre, Kristin L.; Heide-Jorgensen, Mads Peter; Kovacs, Kit M.; Lydersen, Christian; Davidson, Fraser J. M.; Stenson, Garry B.; Hammill, Mike O.; Marsh, Robert; Coward, Andrew C.</t>
  </si>
  <si>
    <t>Seasonal variability of the warm Atlantic water layer in the vicinity of the Greenland shelf break</t>
  </si>
  <si>
    <t>Ocean temperature; Greenland Shelf; Seasonal Cycle; Observations; Sea-Mammals; Trajectory analysis</t>
  </si>
  <si>
    <t>JAKOBSHAVN ISBRAE; EAST GREENLAND; ELEPHANT SEALS; NORTH-ATLANTIC; LABRADOR SEA; DISKO BAY; CIRCULATION; FJORD; ICE; PROFILES</t>
  </si>
  <si>
    <t>The warmest water reaching the east and west coast of Greenland is found between 200 and 600m. While important for melting Greenland's outlet glaciers, limited winter observations of this layer prohibit determination of its seasonality. To address this, temperature data from Argo profiling floats, a range of sources within the World Ocean Database, and unprecedented coverage from marine-mammal borne sensors have been analyzed for the period 2002-2011. A significant seasonal range in temperature (similar to 1-2 degrees C) is found in the warm layer, in contrast to most of the surrounding ocean. The phase of the seasonal cycle exhibits considerable spatial variability, with the warmest water found near the eastern and southwestern shelf break toward the end of the calendar year. High-resolution ocean model trajectory analysis suggests the timing of the arrival of the year's warmest water is a function of advection time from the subduction site in the Irminger Basin.</t>
  </si>
  <si>
    <t>[Grist, Jeremy P.; Josey, Simon A.; Marsh, Robert; Coward, Andrew C.] Univ Southampton, Natl Oceanog Ctr, Southampton, Hants, England; [Boehme, Lars] Univ St Andrews, Sea Mammal Res Unit, St Andrews KY16 9AJ, Fife, Scotland; [Meredith, Michael P.] British Antarctic Survey, Cambridge CB3 0ET, England; [Meredith, Michael P.] Scottish Assoc Marine Sci, Oban, Argyll, Scotland; [Laidre, Kristin L.] Univ Washington, Appl Phys Lab, Polar Sci Ctr, Seattle, WA 98105 USA; [Heide-Jorgensen, Mads Peter] Greenland Inst Nat Resources, Nuuk, Greenland; [Kovacs, Kit M.; Lydersen, Christian] Norwegian Polar Res Inst, Fram Ctr, Tromso, Norway; [Davidson, Fraser J. M.; Stenson, Garry B.] Fisheries &amp; Oceans Canada, St John, NF, Canada; [Hammill, Mike O.] Fisheries &amp; Oceans Canada, Maurice Lamontagne Inst, Mont Joli, PQ G5H 3Z4, Canada</t>
  </si>
  <si>
    <t>NERC National Oceanography Centre; University of Southampton; University of St Andrews; UK Research &amp; Innovation (UKRI); Natural Environment Research Council (NERC); NERC British Antarctic Survey; UHI Millennium Institute; University of Washington; University of Washington Seattle; Greenland Institute of Natural Resources; Norwegian Polar Institute; Fisheries &amp; Oceans Canada; Fisheries &amp; Oceans Canada</t>
  </si>
  <si>
    <t>Grist, JP (corresponding author), Univ Southampton, Natl Oceanog Ctr, Waterfront Campus, Southampton, Hants, England.</t>
  </si>
  <si>
    <t>jeremy.grist@noc.ac.uk</t>
  </si>
  <si>
    <t>Jeremy, Grist P/B-4517-2012; Marsh, Robert/G-4988-2013; Heide-Jorgensen, Mads Peter/F-6464-2011; Boehme, Lars/B-6567-2009</t>
  </si>
  <si>
    <t>Jeremy, Grist P/0000-0003-1068-9211; Meredith, Michael/0000-0002-7342-7756; Heide-Jorgensen, Mads Peter/0000-0003-4846-7622; Boehme, Lars/0000-0003-3513-6816; Marsh, Robert/0000-0002-1051-8749</t>
  </si>
  <si>
    <t>UK Natural Environment Research Council [NE/H01103X/1]; Fisheries and Oceans Canada Centre of Expertise in Marine Mammalogy (CEMAM); DFO's International Governance and Atlantic Seal Research Programs; Canada's International Polar Year Program; Greenland Institute of Natural Resources; NOAA Ocean Exploration grant; NERC National Capability funds; NERC [noc010010, bas0100028, NE/J013137/1, NE/H01103X/1] Funding Source: UKRI; Natural Environment Research Council [noc010012, bas0100028, noc010010, NE/H01103X/1, NE/J013137/1] Funding Source: researchfish</t>
  </si>
  <si>
    <t>UK Natural Environment Research Council(UK Research &amp; Innovation (UKRI)Natural Environment Research Council (NERC)); Fisheries and Oceans Canada Centre of Expertise in Marine Mammalogy (CEMAM); DFO's International Governance and Atlantic Seal Research Programs; Canada's International Polar Year Program; Greenland Institute of Natural Resources; NOAA Ocean Exploration grant(National Oceanic Atmospheric Admin (NOAA) - USA); NERC National Capability funds; NERC(UK Research &amp; Innovation (UKRI)Natural Environment Research Council (NERC)); Natural Environment Research Council(UK Research &amp; Innovation (UKRI)Natural Environment Research Council (NERC))</t>
  </si>
  <si>
    <t>We acknowledge the use of data from the World Ocean data base (http://www.nodc.noaa.gov/OC5/SELECT/dbsearch/dbsearch.html) and the International Argo program (http://www.usgodai.org/cgi-bin/argo_select.pl). This research was funded by the UK Natural Environment Research Council Grant. NE/H01103X/1. The Canadian marine mammal deployments were funded by Fisheries and Oceans Canada Centre of Expertise in Marine Mammalogy (CEMAM), DFO's International Governance and Atlantic Seal Research Programs, Canada's International Polar Year Program, and the Greenland Institute of Natural Resources. Enquiries about these data should be made to GS (Garry.Stenson@dfo-mpo.gc.ca). The narwhal data were funded by a NOAA Ocean Exploration grant and the Greenland Institute of Natural Resources. Enquiries about this data should be made to KL (klaidre@apl.washington.edu). The Norwegian hooded seal deployments were undertaken within the Norwegian Research Council, International Polar Year project MEOP (Marine Mammals Exploring the Ocean Pole to Pole). Enquiries about this data should be made to KK (kit.kovacs@npolar.no). The high-resolution model runs were supported by NERC National Capability funds and performed on the ARCHER UK National Supercomputing Service.</t>
  </si>
  <si>
    <t>10.1002/2014GL062051</t>
  </si>
  <si>
    <t>hybrid, Green Accepted, Green Published</t>
  </si>
  <si>
    <t>WOS:000348462000049</t>
  </si>
  <si>
    <t>Neely, RR; Marsh, DR; Smith, KL; Davis, SM; Polvani, LM</t>
  </si>
  <si>
    <t>Neely, R. R., III; Marsh, D. R.; Smith, K. L.; Davis, S. M.; Polvani, L. M.</t>
  </si>
  <si>
    <t>Biases in southern hemisphere climate trends induced by coarsely specifying the temporal resolution of stratospheric ozone</t>
  </si>
  <si>
    <t>ozone; climate; trends; southern hemisphere; troposphere; stratosphere</t>
  </si>
  <si>
    <t>CMIP5 MODELS; IMPACT</t>
  </si>
  <si>
    <t>Global climate models that do not include interactive middle atmosphere chemistry, such as most of those contributing to the Coupled Model Intercomparison Project Phase 5, typically specify stratospheric ozone using monthly mean, zonal mean values and linearly interpolate to the time resolution of the model. We show that this method leads to significant biases in the simulated climate of the southern hemisphere (SH) over the late twentieth century. Previous studies have attributed similar biases in simulated SH climate change to the effect of the spatial smoothing of the specified ozone, i.e., to using zonal mean concentrations. We here show that the bias in climate trends due to undersampling of the rapid temporal changes in ozone during the seasonal evolution of the Antarctic ozone hole is considerable and reaches all the way into the troposphere. Our results suggest that the bias can be substantially reduced by specifying daily ozone concentrations.</t>
  </si>
  <si>
    <t>[Neely, R. R., III; Marsh, D. R.] NCAR, Boulder, CO 80307 USA; [Neely, R. R., III] Univ Leeds, Natl Ctr Atmospher Sci, Leeds, W Yorkshire, England; [Neely, R. R., III] Univ Leeds, Inst Climate &amp; Atmospher Sci, Leeds, W Yorkshire, England; [Neely, R. R., III; Davis, S. M.] Univ Colorado, CIRES, Boulder, CO 80309 USA; [Smith, K. L.; Polvani, L. M.] Columbia Univ, New York, NY USA; [Davis, S. M.] NOAA, Earth Syst Res Lab, Div Chem Sci, Boulder, CO USA</t>
  </si>
  <si>
    <t>National Center Atmospheric Research (NCAR) - USA; UK Research &amp; Innovation (UKRI); Natural Environment Research Council (NERC); NERC National Centre for Atmospheric Science; University of Leeds; University of Leeds; University of Colorado System; University of Colorado Boulder; Columbia University; National Oceanic Atmospheric Admin (NOAA) - USA</t>
  </si>
  <si>
    <t>Neely, RR (corresponding author), NCAR, Boulder, CO 80307 USA.</t>
  </si>
  <si>
    <t>r.neely@leeds.ac.uk</t>
  </si>
  <si>
    <t>Polvani, Lorenzo M/E-5949-2011; Davis, Sean/HGC-5795-2022; Marsh, Daniel/A-8406-2008; Davis, Sean/C-9570-2011; Neely III, Ryan R./F-8702-2010</t>
  </si>
  <si>
    <t>Davis, Sean/0000-0001-9276-6158; Marsh, Daniel/0000-0001-6699-494X; Davis, Sean/0000-0001-9276-6158; Neely III, Ryan R./0000-0003-4560-4812; Smith, Karen/0000-0002-4652-6310</t>
  </si>
  <si>
    <t>U.S. National Science Foundation (NSF); Office of Science of the U.S. Department of Energy; NSF; NSF via the NCAR's Advanced Study Program's postdoctoral fellowship; Natural Sciences and Engineering Research Council of Canada Postdoctoral Fellowship; NASA ACMAP grant [12-ACMAP12-0010]; Frontier of Earth System Dynamics grant from the NSF [OCE-1338814]</t>
  </si>
  <si>
    <t>U.S. National Science Foundation (NSF)(National Science Foundation (NSF)); Office of Science of the U.S. Department of Energy(United States Department of Energy (DOE)); NSF(National Science Foundation (NSF)); NSF via the NCAR's Advanced Study Program's postdoctoral fellowship; Natural Sciences and Engineering Research Council of Canada Postdoctoral Fellowship(Natural Sciences and Engineering Research Council of Canada (NSERC)); NASA ACMAP grant; Frontier of Earth System Dynamics grant from the NSF</t>
  </si>
  <si>
    <t>We thank Rolando Garcia, Doug Kinnison, Anne Smith, Francis Vitt, Sean Santos, and Michael Mills for their assistance in developing CESM1 (WACCM and SC-WACCM) and interpreting its output. The CESM project is supported by the U.S. National Science Foundation (NSF) and the Office of Science of the U.S. Department of Energy. The National Center for Atmospheric Research (NCAR) is sponsored by the NSF. The authors also want to acknowledge Robert W. Portman (NOAA/ESRL) for the many fruitful discussions on this topic. The authors acknowledge the NOAA Research and Development High Performance Computing Program for providing computing and storage resources that significantly contributed to the research results reported within this paper (http://rdhpcs.noaa.gov). We also thank Henry LeRoy Miller Jr. (NOAA/ESRL) for his assistance with NOAA's high-performance computing facilities. Computing resources were also provided by the Climate Simulation Laboratory at NCAR's Computational and Information Systems Laboratory, sponsored by the NSF and other agencies. R.R.N. is currently supported by the NSF via the NCAR's Advanced Study Program's postdoctoral fellowship and as a postdoctoral research associate at NOAA/ESRL. K.L.S. is funded by a Natural Sciences and Engineering Research Council of Canada Postdoctoral Fellowship. SMD's participation in this work was funded by NASA ACMAP grant 12-ACMAP12-0010. The work of D.R.M. and L.M.P. is funded, in part, by Frontier of Earth System Dynamics grant (OCE-1338814) from the NSF. All of the original model results produced in this work are freely available via requests to the corresponding author.</t>
  </si>
  <si>
    <t>10.1002/2014GL061627</t>
  </si>
  <si>
    <t>WOS:000348462000058</t>
  </si>
  <si>
    <t>Seismic network will measure the effects of ocean waves on Antarctic ice shelves</t>
  </si>
  <si>
    <t>MARINE POLLUTION BULLETIN</t>
  </si>
  <si>
    <t>0025-326X</t>
  </si>
  <si>
    <t>1879-3363</t>
  </si>
  <si>
    <t>MAR POLLUT BULL</t>
  </si>
  <si>
    <t>Mar. Pollut. Bull.</t>
  </si>
  <si>
    <t>DEC 15</t>
  </si>
  <si>
    <t>AY3PG</t>
  </si>
  <si>
    <t>WOS:000347494700005</t>
  </si>
  <si>
    <t>Antarctic scientists create 'future ocean'</t>
  </si>
  <si>
    <t>WOS:000347494700010</t>
  </si>
  <si>
    <t>Stark, JS; Johnstone, GJ; Riddle, MJ</t>
  </si>
  <si>
    <t>Stark, Jonathan S.; Johnstone, Glenn J.; Riddle, Martin J.</t>
  </si>
  <si>
    <t>A sediment mesocosm experiment to determine if the remediation of a shoreline waste disposal site in Antarctica caused further environmental impacts</t>
  </si>
  <si>
    <t>Metals; Infaunal assemblages; Monitoring; Recruitment; Casey; Benthic communities</t>
  </si>
  <si>
    <t>CASEY-STATION; PETROLEUM HYDROCARBON; MULTIVARIATE-ANALYSIS; SPATIAL VARIABILITY; WATER-TREATMENT; ASSEMBLAGES; CONTAMINATION; RECRUITMENT; METAL; COLONIZATION</t>
  </si>
  <si>
    <t>A shoreline waste disposal site at Casey Station, Antarctica was removed because it was causing impacts in the adjacent marine environment (Brown Bay). We conducted a field experiment to determine whether the excavation created further impacts. Trays of clean, defaunated sediment were deployed at two locations within Brown Bay and two control locations, two years prior to remediation. Trays were sampled one year before, 1 month before, 1 month after and two years after the excavation. An increase in metals was found at Brown Bay two years after the remediation. However there was little evidence of impacts on sediment assemblages. Communities at each location were different, but differences from before to after the remediation were comparable, indicating there were unlikely to have been further impacts. We demonstrate that abandoned waste disposal sites in hydrologically active places in Antarctica can be removed without creating greater adverse impacts to ecosystems downstream. Crown Copyright (C) 2014 Published by Elsevier Ltd. All rights reserved.</t>
  </si>
  <si>
    <t>[Stark, Jonathan S.; Johnstone, Glenn J.; Riddle, Martin J.] Australian Antarctic Div, Kingston, Tas 7050, Australia</t>
  </si>
  <si>
    <t>Australian Antarctic Division</t>
  </si>
  <si>
    <t>Stark, JS (corresponding author), Australian Antarctic Div, Channel Highway, Kingston, Tas 7050, Australia.</t>
  </si>
  <si>
    <t>jonny.stark@aad.gov.au</t>
  </si>
  <si>
    <t>Stark, Jonathan/ABF-4025-2020</t>
  </si>
  <si>
    <t>Stark, Jonathan/0000-0002-4268-8072; Johnstone, Glenn/0000-0002-9302-4794</t>
  </si>
  <si>
    <t>Australian Antarctic Division (AAS projects) [2201, 4180]</t>
  </si>
  <si>
    <t>Australian Antarctic Division (AAS projects)</t>
  </si>
  <si>
    <t>The authors are very grateful to the many people that assisted in this experiment including P. Goldsworthy, A. Tabor, A. Cawthorn, S. Stark, A. Palmer, R. Connell, and C. Sampson. We also thank I. Snape and K. Stark for their continuous support. This research was funded by the Australian Antarctic Division (AAS projects 2201 and 4180).</t>
  </si>
  <si>
    <t>10.1016/j.marpolbul.2014.09.045</t>
  </si>
  <si>
    <t>WOS:000347494700048</t>
  </si>
  <si>
    <t>Veretenenko, S; Ogurtsov, M</t>
  </si>
  <si>
    <t>Veretenenko, S.; Ogurtsov, M.</t>
  </si>
  <si>
    <t>Stratospheric polar vortex as a possible reason for temporal variations of solar activity and galactic cosmic ray effects on the lower atmosphere circulation</t>
  </si>
  <si>
    <t>Solar activity; Galactic cosmic rays; The lower atmosphere circulation; Climate variability</t>
  </si>
  <si>
    <t>STORM TRACKS; QBO; CYCLE; VARIABILITY; ASSOCIATION; OSCILLATION</t>
  </si>
  <si>
    <t>Possible reasons for the temporal instability of long-term effects of solar activity (SA) and galactic cosmic ray (GCR) variations on the lower atmosphere circulation were studied. It was shown that the detected earlier similar to 60-year oscillations of the amplitude and sign of SA/GCR effects on the troposphere pressure at high and middle latitudes (Veretenenko and Ogurtsov, Adv.Space Res., 2012) are closely related to the state of a cyclonic vortex forming in the polar stratosphere. The intensity of the vortex was found to reveal a roughly 60-year periodicity affecting the evolution of the large-scale atmospheric circulation and the character of SA/GCR effects. An intensification of both Arctic anticyclones and mid-latitudinal cyclones associated with an increase of GCR fluxes at minima of the 11-year solar cycles is observed in the epochs of a strong polar vortex. In the epochs of a weak polar vortex SA/GCR effects on the development of bark systems at middle and high latitudes were found to change the sign. The results obtained provide evidence that the mechanism of solar activity and cosmic ray influences on the lower atmosphere circulation involves changes in the evolution of the stratospheric polar vortex. (C) 2013 COSPAR. Published by Elsevier Ltd. All rights reserved.</t>
  </si>
  <si>
    <t>[Veretenenko, S.; Ogurtsov, M.] Russian Acad Sci, Ioffe Phys Tech Inst, St Petersburg 194021, Russia</t>
  </si>
  <si>
    <t>Russian Academy of Sciences; St. Petersburg Scientific Centre of the Russian Academy of Sciences; Ioffe Physical Technical Institute</t>
  </si>
  <si>
    <t>Veretenenko, S (corresponding author), Russian Acad Sci, Ioffe Phys Tech Inst, Politekhnicheskaya 26, St Petersburg 194021, Russia.</t>
  </si>
  <si>
    <t>s.veretenenko@mail.ioffe.ru</t>
  </si>
  <si>
    <t>Veretenenko, Svetlana/F-3341-2014</t>
  </si>
  <si>
    <t>Veretenenko, Svetlana/0000-0001-8968-0724</t>
  </si>
  <si>
    <t>Presidium of the Russian Academy of Sciences [22]; Russian Foundation for Basic Research [10-05-00129, 11-02-00755, 13-02-00783]</t>
  </si>
  <si>
    <t>Presidium of the Russian Academy of Sciences(Russian Academy of Sciences); Russian Foundation for Basic Research(Russian Foundation for Basic Research (RFBR)Spanish Government)</t>
  </si>
  <si>
    <t>The work was supported by the Presidium of the Russian Academy of Sciences (Project No. 22) and Russian Foundation for Basic Research (Grants Nos. 10-05-00129, 11-02-00755, 13-02-00783). Authors thank Dr. V.V. Ivanov, Dr. Z.M. Gudkovich (Arctic and Antarctic Research Institute, St.Petersburg) and Dr. Yu.N. Nagovitsyn (Main Astronomical Observatory, St.Petersburg) for discussion of the results and the referees for helpful remarks. We are especially grateful to Dr. V.V. Ivanov for providing data on Vangengeim-Girs indices.</t>
  </si>
  <si>
    <t>10.1016/j.asr.2013.09.001</t>
  </si>
  <si>
    <t>AX7ZN</t>
  </si>
  <si>
    <t>WOS:000347130200001</t>
  </si>
  <si>
    <t>Gabis, IP</t>
  </si>
  <si>
    <t>Gabis, I. P.</t>
  </si>
  <si>
    <t>Quasi-biennial oscillation (QBO) of tropical total ozone under alternative QBO scenarios of equatorial stratospheric wind</t>
  </si>
  <si>
    <t>Quasi-biennial oscillation (QBO); Total column ozone (TOZ); Ozone QBO; Equatorial stratosphere</t>
  </si>
  <si>
    <t>SOLAR UV IRRADIANCE; SPATIAL-PATTERNS; ZONAL WINDS; GLOBAL QBO; CIRCULATION; MODEL; CYCLE; REPRESENTATION; CLIMATOLOGY</t>
  </si>
  <si>
    <t>Equatorial total column ozone variations with quasi-biennial periodicity are described by paying attention to their coupling with the quasi-biennial oscillation (QBO) of zonal wind in equatorial stratosphere. Analysis is made for the 35-year time interval from 1978 to 2013 using the zonal mean total ozone (TOZ) data in latitude band from 5 degrees S to 5 degrees N derived from satellite measurements by means of Total Ozone Mapping Spectrometer (TOMS) and Ozone Monitoring Instrument (OMI). The study was performed using strong seasonal regularities of the wind QBO and the discrete variation of the QBO-period revealed earlier. The forecast of the wind QBO evolution made in Gabis (2012) is fully justified. The comparison between predicted and actually observed changes of the height wind structure shows the prominent accordance, which confirms the forecast validity. It is shown that variations of deseasonalized TOZ are in strong coupling with changes of equatorial wind QBO that coincides with the numerous previous researches. However our results contradict the assumption about quite complicated ozone response in the equatorial region due to continuously varying with time relationship between annual and quasi-biennial cycles and irregularly variable wind QBO-period. The total ozone changes actually observed clearly corresponds to the mean ozone variations calculated for different QBO scenarios and aligned according to the sequence of QBO scenarios already occurred in fact. This close association indicates the possibility of forecasting the equatorial total ozone QBO based on the predicted wind QBO. (C) 2014 COSPAR. Published by Elsevier Ltd. All rights reserved.</t>
  </si>
  <si>
    <t>Arctic &amp; Antarctic Res Inst, St Petersburg 199397, Russia</t>
  </si>
  <si>
    <t>Gabis, IP (corresponding author), Arctic &amp; Antarctic Res Inst, 38 Str Bering, St Petersburg 199397, Russia.</t>
  </si>
  <si>
    <t>gabis@aari.nw.ru</t>
  </si>
  <si>
    <t>10.1016/j.asr.2014.01.019</t>
  </si>
  <si>
    <t>WOS:000347130200004</t>
  </si>
  <si>
    <t>Holschuh, N; Pollard, D; Alley, RB; Anandakrishnan, S</t>
  </si>
  <si>
    <t>Holschuh, N.; Pollard, D.; Alley, R. B.; Anandakrishnan, S.</t>
  </si>
  <si>
    <t>Evaluating Marie Byrd Land stability using an improved basal topography</t>
  </si>
  <si>
    <t>Marie Byrd Land; DeVicq Glacier; geophysics; glaciology; ice-sheet modeling</t>
  </si>
  <si>
    <t>ANTARCTIC ICE-SHEET; WEST ANTARCTICA; SEA-LEVEL; MODEL; EVOLUTION; GREENLAND; OLIGOCENE; THICKNESS; GLACIERS; COLLAPSE</t>
  </si>
  <si>
    <t>Prior understanding of the ice-sheet setting in Marie Byrd Land (MBL) was derived primarily from geologic and geochemical studies of the current nunataks, with very few geophysical surveys imaging the ice covered regions. The geologic context suggested that the ice rests on a broad regional high, in contrast to the deep basins and trenches that characterize the majority of West Antarctica. This assumed topography would favor long-term stability for the West Antarctic Ice Sheet (WAIS) in MBL. Airborne geophysical data collected in 2009 reveal a much deeper bed than previously estimated, including a significant trough underlying DeVicq Glacier and evidence for extensive glacial erosion. Using these data, we produce a new map of subglacial topography, with which we model the sensitivity of WAIS to a warming ocean using the ice-sheet model of Pollard and DeConto (2012b). We compare the results to estimates of ice loss during WAIS collapse using the previously defined subglacial topography, to determine the impact of the newly discovered subglacial features. Our results indicate that the topographic changes are not sufficient to destabilize the northern margin of MBL currently feeding the Getz Ice Shelf; the majority of ice loss occurs from flow toward the Siple Coast. However, despite only slight dynamic differences, using the new bed as a boundary condition results in an additional 8 cm of sea-level rise during major glacial retreat, an increase of just over 2%. Precise estimation of past and future ice retreat, as well as a complete understanding of the geologic history of the region, will require a higher resolution picture of the bed topography around the Executive Committee mountains. (C) 2014 Elsevier B.V. All rights reserved.</t>
  </si>
  <si>
    <t>[Holschuh, N.; Alley, R. B.; Anandakrishnan, S.] Penn State Univ, Dept Geosci, University Pk, PA 16802 USA; [Pollard, D.; Alley, R. B.; Anandakrishnan, S.] Penn State Univ, Earth &amp; Environm Syst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</si>
  <si>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</si>
  <si>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Holschuh, N (corresponding author), Penn State Univ, Dept Geosci, University Pk, PA 16802 USA.</t>
  </si>
  <si>
    <t>ndh147@psu.edu</t>
  </si>
  <si>
    <t>Anandakrishnan, Sridhar/JCN-5026-2023</t>
  </si>
  <si>
    <t>Holschuh, Nicholas/0000-0003-1703-5085</t>
  </si>
  <si>
    <t>NSF [AGS-1338832]; NSF Graduate Research Fellowship [DGHZ55832]; [0852697]; Div Atmospheric &amp; Geospace Sciences; Directorate For Geosciences [1338832] Funding Source: National Science Foundation</t>
  </si>
  <si>
    <t>NSF(National Science Foundation (NSF)); NSF Graduate Research Fellowship(National Science Foundation (NSF)); ; Div Atmospheric &amp; Geospace Sciences; Directorate For Geosciences(National Science Foundation (NSF)NSF - Directorate for Geosciences (GEO))</t>
  </si>
  <si>
    <t>We would like to thank our reviewers for their thorough analysis of this manuscript, which resulted in a much deeper work. Funding for the data collection was provided to CReSIS under grant No. 0852697. Additional funding was provided under NSF AGS-1338832 and the NSF Graduate Research Fellowship, grant No. DGHZ55832.</t>
  </si>
  <si>
    <t>10.1016/j.epsl.2014.10.034</t>
  </si>
  <si>
    <t>AX5CF</t>
  </si>
  <si>
    <t>WOS:000346944000034</t>
  </si>
  <si>
    <t>Artamonova, I; Veretenenko, S</t>
  </si>
  <si>
    <t>Artamonova, I.; Veretenenko, S.</t>
  </si>
  <si>
    <t>Atmospheric pressure variations at extratropical latitudes associated with Forbush decreases of galactic cosmic rays</t>
  </si>
  <si>
    <t>Cosmic rays; Forbush decreases; Pressure variations; Baric system dynamics</t>
  </si>
  <si>
    <t>SOLAR PROTON EVENTS; NORTH-ATLANTIC; POSSIBLE CONNECTIONS; CLIMATE; VARIABILITY; CIRCULATION; WEATHER; CYCLE</t>
  </si>
  <si>
    <t>Changes of troposphere pressure associated with short-time variations of galactic cosmic rays (GCRs) taking place in the Northern hemisphere's cold months (October March) were analyzed for the period 1980-2006, NCEP/NCAR reanalysis data being used. Noticeable pressure variations during Forbush decreases of GCRs were revealed at extratropical latitudes of both hemispheres. The maxima of pressure increase were observed on the 3rd-4th days after the event onsets over Northern Europe and the European part of Russia in the Northern hemisphere, as well as on the 4th-5th days over the eastern part of the South Atlantic opposite Queen Maud Land and over the d'Urville Sea in the Southern Ocean. According to the weather chart analysis, the observed pressure growth, as a rule, results from the weakening of cyclones and intensification of anticyclone development in these areas. The presented results suggest that cosmic ray variations may influence the evolution of extratropical baric systems and play an important role in solar-terrestrial relationships. (C) 2013 COSPAR. Published by Elsevier Ltd. All rights reserved.</t>
  </si>
  <si>
    <t>[Artamonova, I.; Veretenenko, S.] St Petersburg State Univ, St Petersburg 198504, Russia; [Veretenenko, S.] AF Ioffe Phys Tech Inst, St Petersburg 194021, Russia</t>
  </si>
  <si>
    <t>Saint Petersburg State University; Russian Academy of Sciences; St. Petersburg Scientific Centre of the Russian Academy of Sciences; Ioffe Physical Technical Institute</t>
  </si>
  <si>
    <t>Artamonova, I (corresponding author), St Petersburg State Univ, St Petersburg 198504, Russia.</t>
  </si>
  <si>
    <t>artirin@yandex.ru; s.veretenen-ko@mail.ioffe.ru</t>
  </si>
  <si>
    <t>Artamonova, Irina/AAZ-8663-2021; Veretenenko, Svetlana/F-3341-2014</t>
  </si>
  <si>
    <t>Presidium of the Russian Academy of Sciences [22]; Russian Foundation for Basic Research [13-02-00783]</t>
  </si>
  <si>
    <t>The work was supported by the Presidium of the Russian Academy of Sciences (project No 22) and Russian Foundation for Basic Research (grant No 13-02-00783). We are grateful to Dr. V.V. Ivanov (Arctic and Antarctic Research Institute, St. Petersburg) for providing synoptic charts and discussion of the results and to the referees for their helpful remarks.</t>
  </si>
  <si>
    <t>10.1016/j.asr.2013.11.057</t>
  </si>
  <si>
    <t>WOS:000347130200003</t>
  </si>
  <si>
    <t>Hansen, SE; Graw, JH; Kenyon, LM; Nyblade, AA; Wiens, DA; Aster, RC; Huerta, AD; Anandakrishnan, S; Wilson, T</t>
  </si>
  <si>
    <t>Hansen, Samantha E.; Graw, Jordan H.; Kenyon, Lindsey M.; Nyblade, Andrew A.; Wiens, Douglas A.; Aster, Richard C.; Huerta, Audrey D.; Anandakrishnan, Sridhar; Wilson, Terry</t>
  </si>
  <si>
    <t>Imaging the Antarctic mantle using adaptively parameterized P-wave tomography: Evidence for heterogeneous structure beneath West Antarctica</t>
  </si>
  <si>
    <t>Antarctica; seismic tomography; mantle structure; geodynamics</t>
  </si>
  <si>
    <t>TRANSANTARCTIC MOUNTAINS; ROSS SEA; EAST ANTARCTICA; CENOZOIC MAGMATISM; GRAVITY-ANOMALIES; RIFT FLANKS; UPLIFT; PLUME; CONSTRAINTS; HISTORY</t>
  </si>
  <si>
    <t>Previously developed continental-scale surface wave models for Antarctica provide only broad interpretations of the mantle structure, and the best resolved features in recent regional-scale seismic models are restricted above similar to 300-400 km depth. We have developed the first continental-scale P-wave velocity model beneath Antarctica using an adaptively parameterized tomography approach that includes data from many new seismic networks. Our model shows considerable, previously unrecognized mantle heterogeneity, especially beneath West Antarctica. A pronounced slow velocity anomaly extends between Ross Island and Victoria Land, further grid south than previous studies indicate. However, at least for mantle depths &gt;=similar to 200 km, this anomaly does not extend grid north along the Transantarctic Mountains (TAMs) and beneath the West Antarctic Rift System. The boundary between these slow velocities and fast velocities underlying East Antarctica is similar to 100-150 km beneath the front of the TAMs, consistent with flexural uplift models. The lateral extent of the low velocity anomaly is best explained by focused, rift-related decompression melting. In West Antarctica, Marie Byrd Land is underlain by a deep (similar to 800 km) low velocity anomaly. Synthetic tests illustrate that the low velocities also extend laterally below the transition zone, consistent with a mantle plume ponded below the 660 km discontinuity. The slow anomalies beneath Ross Island and Marie Byrd Land are separate features, highlighting the heterogeneous upper mantle of West Antarctica. (C) 2014 Elsevier B.V. All rights reserved.</t>
  </si>
  <si>
    <t>[Hansen, Samantha E.; Graw, Jordan H.; Kenyon, Lindsey M.] Univ Alabama, Dept Geol Sci, Tuscaloosa, AL 35487 USA; [Nyblade, Andrew A.; Anandakrishnan, Sridhar] Penn State Univ, Dept Geosci, University Pk, PA 16802 USA; [Wiens, Douglas A.] Washington Univ, Dept Earth &amp; Planetary Sci, St Louis, MO 63130 USA; [Aster, Richard C.] Colorado State Univ, Dept Geosci, Ft Collins, CO 80523 USA; [Huerta, Audrey D.] Cent Washington Univ, Dept Geol Sci, Ellensburg, WA 98926 USA; [Wilson, Terry] Ohio State Univ, Dept Earth Sci, Columbus, OH 43210 USA</t>
  </si>
  <si>
    <t>University of Alabama System; University of Alabama Tuscaloosa; Pennsylvania Commonwealth System of Higher Education (PCSHE); Pennsylvania State University; Pennsylvania State University - University Park; Washington University (WUSTL); Colorado State University; Central Washington University; University System of Ohio; Ohio State University</t>
  </si>
  <si>
    <t>Hansen, SE (corresponding author), Univ Alabama, Dept Geol Sci, Tuscaloosa, AL 35487 USA.</t>
  </si>
  <si>
    <t>shansen@geo.ua.edu</t>
  </si>
  <si>
    <t>Huerta, Audrey D/A-8680-2009; Anandakrishnan, Sridhar/JCN-5026-2023; Aster, Richard/E-5067-2013; Wiens, Douglas/J-9259-2016</t>
  </si>
  <si>
    <t>Aster, Richard/0000-0002-0821-4906; Kenyon, Lindsey/0000-0001-5655-5732; Wiens, Douglas/0000-0002-5169-4386; Hansen, Samantha/0000-0001-7608-5715; Huerta, Audrey/0000-0002-0252-8496</t>
  </si>
  <si>
    <t>National Science Foundation (NSF) [EAR-1063471]; NSF Office of Polar Programs, and the Department of Energy National Nuclear Security Administration; NSF [PLR-0851560, ANT-1139739, PLR-1141916, PLR-0632230, PRL-0632239, PLR-0652322, PLR-0632335, PLR-0632136, PLR-0632209, PLR-0632185, PLR-1246712]; Office of Polar Programs (OPP); Directorate For Geosciences [1246666, 1148982, 1249631] Funding Source: National Science Foundation</t>
  </si>
  <si>
    <t>National Science Foundation (NSF)(National Science Foundation (NSF)National Research Foundation of Korea); NSF Office of Polar Programs, and the Department of Energy National Nuclear Security Administration; NSF(National Science Foundation (NSF)); Office of Polar Programs (OPP); Directorate For Geosciences(National Science Foundation (NSF)NSF - Directorate for Geosciences (GEO))</t>
  </si>
  <si>
    <t>We thank R. van der Hilst and S. Burdick for providing the tomography software and the Incorporated Research Institutions for Seismology (IRIS) Data Management System for data handling assistance. We also thank two anonymous reviewers for their thorough critiques of this manuscript. The facilities of the IRIS Consortium are supported by the National Science Foundation (NSF) under cooperative agreement EAR-1063471, the NSF Office of Polar Programs, and the Department of Energy National Nuclear Security Administration. Funding for this research was provided by the NSF (grant numbers PLR-0851560, ANT-1139739, PLR-1141916, PLR-0632230, PRL-0632239, PLR-0652322, PLR-0632335, PLR-0632136, PLR-0632209, PLR-0632185, and PLR-1246712).</t>
  </si>
  <si>
    <t>10.1016/j.epsl.2014.09.043</t>
  </si>
  <si>
    <t>WOS:000346944000008</t>
  </si>
  <si>
    <t>Kesheri, M; Kanchan, S; Richa; Sinha, RP</t>
  </si>
  <si>
    <t>Kesheri, Minu; Kanchan, Swarna; Richa; Sinha, Rajeshwar P.</t>
  </si>
  <si>
    <t>Isolation and in silico analysis of Fe-superoxide dismutase in the cyanobacterium Nostoc commune</t>
  </si>
  <si>
    <t>GENE</t>
  </si>
  <si>
    <t>Cyanobacteria; Fe-SOD; Catalase; Native-PAGE; Homology modeling; Phylogenetic analysis</t>
  </si>
  <si>
    <t>3-DIMENSIONAL STRUCTURES; ASCORBATE PEROXIDASE; OXIDATIVE STRESS; EXPRESSION; CATALASE; DAMAGE; GROWTH; RECOGNITION; TEMPERATURE; GENERATION</t>
  </si>
  <si>
    <t>Cyanobacteria are known to endure various stress conditions due to the inbuilt potential for oxidative stress alleviation owing to the presence of an array of antioxidants. The present study shows that Antarctic cyanobacterium Nostoc commune possesses two antioxidative enzymes viz., superoxide dismutase (SOD) and catalase that jointly cope with environmental stresses prevailing at its natural habitat. Native-PAGE analysis illustrates the presence of a single prominent isoform recognized as Fe-SOD and three distinct isoforms of catalase. The protein sequence of Fe-SOD in N. commune retrieved from NCBI protein sequence database was used for in silica analysis. 3D structure of N. commune was predicted by comparative modeling using MODELLER 9v11. Further, this model was validated for its quality by Ramachandran plot, ERRAT, Verify 3D and ProSA-web which revealed good structure quality of the model. Multiple sequence alignment showed high conservation in N and C-terminal domain regions along with all metal binding positions in Fe-SOD which were also found to be highly conserved in all 28 cyanobacterial species under'study, including N. commune. In silico prediction of isoelectric point and molecular weight of Fe-SOD was found to be 5.48 and 22,342.98 Da respectively. The phylogenetic tree revealed that among 28 cyanobacterial species, Fe-SOD in N. commune was the closest evolutionary homolog of Fe-SOD in Nostoc punctiforme as evident by strong bootstrap value. Thus, N. commune may serve as a good biological model for studies related to survival of life under extreme conditions prevailing at the Antarctic region. Moreover cyanobacteria may be exploited for biochemical and biotechnological applications of enzymatic antioxidants. (C) 2014 Elsevier B.V. All rights reserved.</t>
  </si>
  <si>
    <t>[Kesheri, Minu; Richa; Sinha, Rajeshwar P.] Banaras Hindu Univ, Ctr Adv Study Bot, Lab Photobiol &amp; Mol Microbiol, Varanasi 221005, Uttar Pradesh, India; [Kanchan, Swarna] Birla Inst Technol &amp; Sci, Dept Biol Sci, Pilani 333031, Rajasthan, India</t>
  </si>
  <si>
    <t>Banaras Hindu University (BHU); Birla Institute of Technology &amp; Science Pilani (BITS Pilani)</t>
  </si>
  <si>
    <t>Sinha, RP (corresponding author), Banaras Hindu Univ, Ctr Adv Study Bot, Varanasi 221005, Uttar Pradesh, India.</t>
  </si>
  <si>
    <t>r.p.sinha@gmx.net</t>
  </si>
  <si>
    <t>Kanchan, Swarna/M-1943-2019; Kesheri, Minu/IAR-1568-2023; Sinha, Rajeshwar/CAC-2606-2022</t>
  </si>
  <si>
    <t>Kanchan, Swarna/0000-0002-6785-8496; Kesheri, Minu/0000-0003-3262-7564; Sinha, Rajeshwar/0000-0002-0112-6161</t>
  </si>
  <si>
    <t>University Grants Commission, New Delhi, India [R/Dev/IX-Sch.(BHU Res. Sch.-2007)/8513]; Department of Science and Technology, New Delhi, India [SR/WOS-A/LS-140/2011]</t>
  </si>
  <si>
    <t>University Grants Commission, New Delhi, India(University Grants Commission, India); Department of Science and Technology, New Delhi, India(Department of Science &amp; Technology (India))</t>
  </si>
  <si>
    <t>Minu Kesheri is thankful to the University Grants Commission, New Delhi, India (R/Dev/IX-Sch.(BHU Res. Sch.-2007)/8513), for providing financial assistance in the form of a fellowship. The work was also partially supported by the Department of Science and Technology, New Delhi, India (No. SR/WOS-A/LS-140/2011) sanctioned to Richa.</t>
  </si>
  <si>
    <t>0378-1119</t>
  </si>
  <si>
    <t>1879-0038</t>
  </si>
  <si>
    <t>Gene</t>
  </si>
  <si>
    <t>10.1016/j.gene.2014.10.010</t>
  </si>
  <si>
    <t>Genetics &amp; Heredity</t>
  </si>
  <si>
    <t>AU3BR</t>
  </si>
  <si>
    <t>WOS:000345488400007</t>
  </si>
  <si>
    <t>Damerau, M; Salzburger, W; Hanel, R</t>
  </si>
  <si>
    <t>Damerau, Malte; Salzburger, Walter; Hanel, Reinhold</t>
  </si>
  <si>
    <t>Population genetic structure of Lepidonotothen larseni revisited: cyb and microsatellites suggest limited connectivity in the Southern Ocean</t>
  </si>
  <si>
    <t>MARINE ECOLOGY PROGRESS SERIES</t>
  </si>
  <si>
    <t>Notothenioidei; Antarctic icefishes; Larval dispersal; Gene flow; Bayesian skyline plots</t>
  </si>
  <si>
    <t>ANTARCTIC NOTOTHENIOID FISH; CHAENOCEPHALUS-ACERATUS; ICE-SHEET; DIVERSITY; SOFTWARE; HISTORY; DIFFERENTIATION; PERCIFORMES; PATTERNS; FLOW</t>
  </si>
  <si>
    <t>Antarctic fishes (Notothenioidei) are characterized by unusually long pelagic larval stages of up to more than 1 yr, and population genetic studies on notothenioids have often revealed insignificant population differentiations over large geographic scales. Hence, gene flow by passive larval dispersal with ocean currents is often assumed to be predominant among notothenioid populations. We re-examined the genetic population structure of the semi-pelagic painted notothen Lepidonotothen larseni in the Atlantic sector of the Southern Ocean based on cytochrome b gene sequences and microsatellite markers, for which absence of population structure had been inferred in a preliminary study. Our new results suggest restricted gene flow be tween populations and low levels of successful dispersal with the currents. Hence, long pelagic larval phase durations do not translate into high genetic exchanges. In addition, we provide evidence based on Bayesian skyline plots of increasing population sizes in this sub-Antarctic species since the last glacial maximum.</t>
  </si>
  <si>
    <t>[Damerau, Malte; Hanel, Reinhold] Thunen Inst Fisheries Ecol, D-22767 Hamburg, Germany; [Salzburger, Walter] Univ Basel, Inst Zool, CH-4051 Basel, Switzerland</t>
  </si>
  <si>
    <t>Johann Heinrich von Thunen Institute; University of Basel</t>
  </si>
  <si>
    <t>Damerau, M (corresponding author), Thunen Inst Fisheries Ecol, Palmaille 9, D-22767 Hamburg, Germany.</t>
  </si>
  <si>
    <t>malte.damerau@ti.bund.de</t>
  </si>
  <si>
    <t>Hanel, Reinhold/AAO-4887-2021</t>
  </si>
  <si>
    <t>National Oceanic and Atmospheric Administration; Alfred Wegener Institute; Deutsche Forschungsgemeinschaft (DFG) [HA 4328/4, 1158]; Swiss National Science Foundation [CRSII3_136293]; Swiss National Science Foundation (SNF) [CRSII3_136293] Funding Source: Swiss National Science Foundation (SNF)</t>
  </si>
  <si>
    <t>National Oceanic and Atmospheric Administration(National Oceanic Atmospheric Admin (NOAA) - USA); Alfred Wegener Institute; Deutsche Forschungsgemeinschaft (DFG)(German Research Foundation (DFG)); Swiss National Science Foundation(Swiss National Science Foundation (SNSF)); Swiss National Science Foundation (SNF)(Swiss National Science Foundation (SNSF))</t>
  </si>
  <si>
    <t>We are grateful to the crews and helping scientists during the US AMLR 2009 finfish survey aboard RV 'Yuzhmorgeologiya' and during expedition ANT-XXVII/3 aboard RV 'Polarstern' for making sampling safe and possible. We owe special thanks to the respective cruise leaders Christopher D. Jones from the National Oceanic and Atmospheric Administration and Rainer Knust from the Alfred Wegener Institute for their support. We highly appreciate the constructive comments of Sven Thatje and 2 anonymous reviewers on an earlier draft of this manuscript. The study was funded by grant HA 4328/4 from the Deutsche Forschungsgemeinschaft (DFG-Priority programme 1158) to R.H. and W.S. and the Swiss National Science Foundation (Sinergia grant CRSII3_136293) to W.S.</t>
  </si>
  <si>
    <t>0171-8630</t>
  </si>
  <si>
    <t>1616-1599</t>
  </si>
  <si>
    <t>MAR ECOL PROG SER</t>
  </si>
  <si>
    <t>Mar. Ecol.-Prog. Ser.</t>
  </si>
  <si>
    <t>10.3354/meps11061</t>
  </si>
  <si>
    <t>Ecology; Marine &amp; Freshwater Biology; Oceanography</t>
  </si>
  <si>
    <t>Environmental Sciences &amp; Ecology; Marine &amp; Freshwater Biology; Oceanography</t>
  </si>
  <si>
    <t>AW7CF</t>
  </si>
  <si>
    <t>WOS:000346421400019</t>
  </si>
  <si>
    <t>Ryan, PG; Musker, S; Rink, A</t>
  </si>
  <si>
    <t>Ryan, Peter G.; Musker, Seth; Rink, Ariella</t>
  </si>
  <si>
    <t>Low densities of drifting litter in the African sector of the Southern Ocean</t>
  </si>
  <si>
    <t>Marine debris; Plastic litter; Fishery wastes; South Atlantic Ocean; Indian Ocean; Survey</t>
  </si>
  <si>
    <t>PLASTIC DEBRIS; MARINE DEBRIS; ACCUMULATION; ISLAND</t>
  </si>
  <si>
    <t>Only 52 litter items (&gt;1 cm diameter) were observed in 10,467 km of at-sea transects in the African sector of the Southern Ocean. Litter density north of the Subtropical Front (0.58 items km(-2)) was less than in the adjacent South Atlantic Ocean (1-6 items km(-2)), but has increased compared to the mid-1980s. Litter density south of the Subtropical Front was an order of magnitude less than in temperate waters (0.032 items km(-2)). There was no difference in litter density between sub-Antarctic and Antarctic waters either side of the Antarctic Polar Front. Most litter was made of plastic (96%). Fishery-related debris comprised a greater proportion of litter south of the Subtropical Front (33%) than in temperate waters (13%), where packaging dominated litter items (68%). The results confirm that the Southern Ocean is the least polluted ocean in terms of drifting debris and suggest that most debris comes from local sources. (C) 2014 Elsevier Ltd. All rights reserved.</t>
  </si>
  <si>
    <t>[Ryan, Peter G.; Musker, Seth; Rink, Ariella] Univ Cape Town, DST NRF Ctr Excellence, Percy Fitzpatrick Inst African Ornithol, ZA-7701 Rondebosch, South Africa</t>
  </si>
  <si>
    <t>National Research Foundation - South Africa; University of Cape Town</t>
  </si>
  <si>
    <t>Ryan, PG (corresponding author), Univ Cape Town, DST NRF Ctr Excellence, Percy Fitzpatrick Inst African Ornithol, ZA-7701 Rondebosch, South Africa.</t>
  </si>
  <si>
    <t>plyan31@gmail.com</t>
  </si>
  <si>
    <t>Rink, Ariella/0000-0002-0259-3634</t>
  </si>
  <si>
    <t>National Research Foundation; University of Cape Town</t>
  </si>
  <si>
    <t>We thank Bruce Dyer for assisting with litter surveys. Captain Knowledge Bengu kindly allowed observations from the bridge during inclement weather. The project was part of the South African National Antarctic Programme, with financial support from the National Research Foundation and the University of Cape Town.</t>
  </si>
  <si>
    <t>10.1016/j.marpolbul.2014.10.043</t>
  </si>
  <si>
    <t>WOS:000347494700017</t>
  </si>
  <si>
    <t>Bishop, JL; Englert, PAJ; Patel, S; Tirsch, D; Roy, AJ; Koeberl, C; Böttger, U; Hanke, F; Jaumann, R</t>
  </si>
  <si>
    <t>Bishop, Janice L.; Englert, Peter A. J.; Patel, Shital; Tirsch, Daniela; Roy, Alex J.; Koeberl, Christian; Boettger, Ute; Hanke, Franziska; Jaumann, Ralf</t>
  </si>
  <si>
    <t>Mineralogical analyses of surface sediments in the Antarctic Dry Valleys: coordinated analyses of Raman spectra, reflectance spectra and elemental abundances</t>
  </si>
  <si>
    <t>Antarctic Dry Valleys; sediments; Raman spectra; reflectance spectra; chemistry</t>
  </si>
  <si>
    <t>COVERED LAKE-HOARE; IN-SITU; MOSSBAUER-SPECTROSCOPY; GEOCHEMICAL ANALYSES; VICTORIA LAND; MARS; ICE; ANALOG; SPECTROMETER; ENVIRONMENT</t>
  </si>
  <si>
    <t>Surface sediments at Lakes Fryxell, Vanda and Brownworth in the Antarctic Dry Valleys (ADV) were investigated as analogues for the cold, dry environment on Mars. Sediments were sampled from regions surrounding the lakes and from the ice cover on top of the lakes. The ADV sediments were studied using Raman spectra of individual grains and reflectance spectra of bulk particulate samples and compared with previous analyses of subsurface and lakebottom sediments. Elemental abundances were coordinated with the spectral data in order to assess trends in sediment alteration. The surface sediments in this study were compared with lakebottom sediments (Bishop JL et al. 2003 Int. J. Astrobiol. 2, 273-287 (doi:10.1017/S1473550403001654)) and samples from soil pits (Englert P et al. 2013 In European Planetary Science Congress, abstract no. 96; Englert P et al. 2014 In 45th Lunar and Planetary Science Conf., abstract no. 1707). Feldspar, quartz and pyroxene are common minerals found in all the sediments. Minor abundances of carbonate, chlorite, actinolite and allophane are also found in the surface sediments, and are similar to minerals found in greater abundance in the lakebottom sediments. Surface sediment formation is dominated by physical processes; a few centimetres below the surface chemical alteration sets in, whereas lakebottom sediments experience biomineralization. Characterizing the mineralogical variations in these samples provides insights into the alteration processes occurring in the ADV and supports understanding alteration in the cold and dry environment on Mars.</t>
  </si>
  <si>
    <t>[Bishop, Janice L.; Patel, Shital] SETI Inst, Carl Sagan Ctr, Mountain View, CA 94043 USA; [Bishop, Janice L.] NASA, Ames Res Ctr, Moffett Field, CA 94035 USA; [Englert, Peter A. J.] Univ Hawaii Manoa, Hawaii Inst Geophys &amp; Planetol, Honolulu, HI 96822 USA; [Patel, Shital] San Jose State Univ, Dept Chem, San Jose, CA 95192 USA; [Tirsch, Daniela; Boettger, Ute; Hanke, Franziska; Jaumann, Ralf] German Aerosp Ctr DLR, Berlin, Germany; [Roy, Alex J.] Dept Land &amp; Nat Resources, Honolulu, HI USA; [Koeberl, Christian] Univ Vienna, Dept Lithospher Res, A-1090 Vienna, Austria; [Koeberl, Christian] Nat Hist Museum, A-1010 Vienna, Austria; [Hanke, Franziska] Tech Univ Berlin, Berlin, Germany</t>
  </si>
  <si>
    <t>National Aeronautics &amp; Space Administration (NASA); NASA Ames Research Center; University of Hawaii System; University of Hawaii Manoa; California State University System; San Jose State University; Helmholtz Association; German Aerospace Centre (DLR); University of Vienna; Technical University of Berlin</t>
  </si>
  <si>
    <t>Bishop, JL (corresponding author), SETI Inst, Carl Sagan Ctr, 189 Bernardo Ave, Mountain View, CA 94043 USA.</t>
  </si>
  <si>
    <t>jbishop@seti.org</t>
  </si>
  <si>
    <t>Tirsch, Daniela/I-7916-2012; Jaumann, Ralf/N-1001-2018</t>
  </si>
  <si>
    <t>Tirsch, Daniela/0000-0001-5905-5426; Bishop, Janice/0000-0002-6681-9954; Koeberl, Christian/0000-0001-5155-7405</t>
  </si>
  <si>
    <t>DEC 13</t>
  </si>
  <si>
    <t>10.1098/rsta.2014.0198</t>
  </si>
  <si>
    <t>AT5OK</t>
  </si>
  <si>
    <t>WOS:000344991900006</t>
  </si>
  <si>
    <t>Edwards, HGM; Hutchinson, IB; Ingley, R; Jehlicka, J</t>
  </si>
  <si>
    <t>Edwards, Howell G. M.; Hutchinson, Ian B.; Ingley, Richard; Jehlicka, Jan</t>
  </si>
  <si>
    <t>Biomarkers and their Raman spectroscopic signatures: a spectral challenge for analytical astrobiology</t>
  </si>
  <si>
    <t>biomarkers; extremophiles; Raman spectroscopy; biomolecular signatures</t>
  </si>
  <si>
    <t>IN-SITU; ANTARCTIC HABITATS; KEY BIOMARKERS; LASER RAMAN; MARS; LIFE; SEARCH; IDENTIFICATION; INDICATORS; RELEVANCE</t>
  </si>
  <si>
    <t>The remote robotic exploration of extraterrestrial scenarios for evidence of biological colonization in 'search for life' missions using Raman spectroscopy is critically dependent on two major factors: firstly, the Raman spectral recognition of characteristic biochemical spectral signatures in the presence of mineral matrix features; and secondly, the positive unambiguous identification of molecular biomaterials which are indicative of extinct or extant life. Both of these factors are considered here: the most important criterion is the clear definition of which biochemicals truly represent biomarkers, whose presence in the planetary geological record from an analytical astrobiological standpoint will unambiguously be indicative of life as recognized from its remote instrumental interrogation. Also discussed in this paper are chemical compounds which are associated with living systems, including biominerals, which may not in themselves be definitive signatures of life processes and origins but whose presence provides an indicator of potential life-bearing matrices.</t>
  </si>
  <si>
    <t>[Edwards, Howell G. M.; Hutchinson, Ian B.; Ingley, Richard] Univ Leicester, Dept Phys &amp; Astron, Ctr Astrobiol &amp; Extremophiles Res, Space Res Ctr, Leicester LE1 7RH, Leics, England; [Jehlicka, Jan] Charles Univ Prague, Inst Geochem Mineral &amp; Mineral Resources, Prague 12843, Czech Republic</t>
  </si>
  <si>
    <t>University of Leicester; Charles University Prague</t>
  </si>
  <si>
    <t>Edwards, HGM (corresponding author), Univ Leicester, Dept Phys &amp; Astron, Ctr Astrobiol &amp; Extremophiles Res, Space Res Ctr, Leicester LE1 7RH, Leics, England.</t>
  </si>
  <si>
    <t>h.g.m.edwards@bradford.ac.uk</t>
  </si>
  <si>
    <t>Jehlicka, Jan/H-9357-2016</t>
  </si>
  <si>
    <t>Jehlicka, Jan/0000-0002-4294-876X</t>
  </si>
  <si>
    <t>UK Space Agency [ST/I002677/1, ST/L006103/1] Funding Source: researchfish</t>
  </si>
  <si>
    <t>UK Space Agency</t>
  </si>
  <si>
    <t>UNSP 20140193</t>
  </si>
  <si>
    <t>10.1098/rsta.2014.0193</t>
  </si>
  <si>
    <t>WOS:000344991900001</t>
  </si>
  <si>
    <t>Vítek, P; Jehlicka, J; Edwards, HGM; Hutchinson, I; Ascaso, C; Wierzchos, J</t>
  </si>
  <si>
    <t>Vitek, P.; Jehlicka, J.; Edwards, H. G. M.; Hutchinson, I.; Ascaso, C.; Wierzchos, J.</t>
  </si>
  <si>
    <t>Miniaturized Raman instrumentation detects carotenoids in Mars-analogue rocks from the Mojave and Atacama deserts</t>
  </si>
  <si>
    <t>portable Raman; halophile; pigments; salt; cyanobacteria; algae</t>
  </si>
  <si>
    <t>SPECTROSCOPIC ANALYSIS; MERIDIANI-PLANUM; HYPERARID CORE; FILAMENTOUS MICROFOSSILS; HALOTOLERANT BACTERIUM; MICROBIAL COLONIZATION; ANTARCTIC HABITATS; HALOPHILIC ARCHAEA; FLUID INCLUSIONS; FOSSIL BACTERIA</t>
  </si>
  <si>
    <t>This study is primarily focused on proving the potential of miniaturized Raman systems to detect any biomolecular and mineral signal in natural geobiological samples that are relevant for future application of the technique within astrobiologically aimed missions on Mars. A series of evaporites of varying composition and origin from two extremely dry deserts were studied, namely Atacama and Mojave. The samples represent both dry evaporitic deposits and recent evaporitic efflorescences from hypersaline brines. The samples comprise halite and different types of sulfates and carbonates. The samples were analysed in two different ways: (i) directly as untreated rocks and (ii) as homogenized powders. Two excitation wavelengths of miniaturized Raman spectrometers were compared: 532 and 785 nm. The potential to detect carotenoids as biomarkers on Mars compared with the potential detection of carbonaceous matter using miniaturized instrumentation is discussed.</t>
  </si>
  <si>
    <t>[Vitek, P.; Jehlicka, J.] Charles Univ Prague, Inst Geochem Mineral &amp; Mineral Resources, Prague 12843 2, Czech Republic; [Edwards, H. G. M.; Hutchinson, I.] Univ Leicester, Dept Phys &amp; Astron, Ctr Space Sci, Leicester LE1 7RH, Leics, England; [Ascaso, C.; Wierzchos, J.] CSIC, Museo Nacl Ciencias Nat, E-28006 Madrid, Spain</t>
  </si>
  <si>
    <t>Charles University Prague; University of Leicester; Consejo Superior de Investigaciones Cientificas (CSIC); CSIC - Museo Nacional de Ciencias Naturales (MNCN)</t>
  </si>
  <si>
    <t>Vítek, P (corresponding author), Charles Univ Prague, Inst Geochem Mineral &amp; Mineral Resources, Albertov 6, Prague 12843 2, Czech Republic.</t>
  </si>
  <si>
    <t>petr.vitek@natur.cuni.cz</t>
  </si>
  <si>
    <t>Vitek, Petr/R-8022-2016; Ascaso, Carmen/F-5369-2011; Jehlicka, Jan/H-9357-2016; Wierzchos, Jacek/F-7036-2011</t>
  </si>
  <si>
    <t>Ascaso, Carmen/0000-0001-9665-193X; Jehlicka, Jan/0000-0002-4294-876X; Wierzchos, Jacek/0000-0003-3084-3837</t>
  </si>
  <si>
    <t>Czech Science Foundation [210/10/0467, P210/12/P330]; UK Space Agency; Spanish Ministry of Economy and Competitiveness [CGL2010-16004, CGL2013-42509]; UK Space Agency [ST/L006103/1, ST/I002677/1] Funding Source: researchfish</t>
  </si>
  <si>
    <t>Czech Science Foundation(Grant Agency of the Czech Republic); UK Space Agency; Spanish Ministry of Economy and Competitiveness(Spanish Government); UK Space Agency</t>
  </si>
  <si>
    <t>This work has been supported by the Czech Science Foundation (project nos. 210/10/0467 and P210/12/P330). H. G. M. E. and I. H. acknowledge support from the UK Space Agency and J.W. and C. A. from Spanish Ministry of Economy and Competitiveness (projects CGL2010-16004 and CGL2013-42509)</t>
  </si>
  <si>
    <t>UNSP 20140196</t>
  </si>
  <si>
    <t>10.1098/rsta.2014.0196</t>
  </si>
  <si>
    <t>WOS:000344991900004</t>
  </si>
  <si>
    <t>Li, C; Zhang, Y; Li, JW; Kong, LS; Hu, HF; Pan, HL; Xu, LH; Deng, Y; Li, QY; Jin, LJ; Yu, H; Chen, Y; Liu, BH; Yang, LF; Liu, SP; Zhang, Y; Lang, YS; Xia, JQ; He, WM; Shi, Q; Subramanian, S; Millar, CD; Meader, S; Rands, CM; Fujita, MK; Greenwold, MJ; Castoe, TA; Pollock, D; Gu, WJ; Nam, K; Ellegren, H; Ho, SYW; Burt, DW; Ponting, CP; Jarvis, ED; Gilbert, MTP; Yang, HM; Wang, J; Lambert, DM; Wang, J; Zhang, GJ</t>
  </si>
  <si>
    <t>Li, Cai; Zhang, Yong; Li, Jianwen; Kong, Lesheng; Hu, Haofu; Pan, Hailin; Xu, Luohao; Deng, Yuan; Li, Qiye; Jin, Lijun; Yu, Hao; Chen, Yan; Liu, Binghang; Yang, Linfeng; Liu, Shiping; Zhang, Yan; Lang, Yongshan; Xia, Jinquan; He, Weiming; Shi, Qiong; Subramanian, Sankar; Millar, Craig D.; Meader, Stephen; Rands, Chris M.; Fujita, Matthew K.; Greenwold, Matthew J.; Castoe, Todd A.; Pollock, David D.; Gu, Wanjun; Nam, Kiwoong; Ellegren, Hans; Ho, Simon Y. W.; Burt, David W.; Ponting, Chris P.; Jarvis, Erich D.; Gilbert, M. Thomas P.; Yang, Huanming; Wang, Jian; Lambert, David M.; Wang, Jun; Zhang, Guojie</t>
  </si>
  <si>
    <t>Two Antarctic penguin genomes reveal insights into their evolutionary history and molecular changes related to the Antarctic environment</t>
  </si>
  <si>
    <t>GIGASCIENCE</t>
  </si>
  <si>
    <t>Penguins; Avian genomics; Evolution; Adaptation; Antarctica</t>
  </si>
  <si>
    <t>CLIMATE-CHANGE; BETA-KERATIN; THERMAL MAXIMUM; SEQUENCE; GENES; ADAPTATION; ALIGNMENT; DATABASE; PROGRAM; INFERENCE</t>
  </si>
  <si>
    <t>Background: Penguins are flightless aquatic birds widely distributed in the Southern Hemisphere. The distinctive morphological and physiological features of penguins allow them to live an aquatic life, and some of them have successfully adapted to the hostile environments in Antarctica. To study the phylogenetic and population history of penguins and the molecular basis of their adaptations to Antarctica, we sequenced the genomes of the two Antarctic dwelling penguin species, the Adelie penguin [Pygoscelis adeliae] and emperor penguin [Aptenodytes forsteri]. Results: Phylogenetic dating suggests that early penguins arose similar to 60 million years ago, coinciding with a period of global warming. Analysis of effective population sizes reveals that the two penguin species experienced population expansions from similar to 1 million years ago to similar to 100 thousand years ago, but responded differently to the climatic cooling of the last glacial period. Comparative genomic analyses with other available avian genomes identified molecular changes in genes related to epidermal structure, phototransduction, lipid metabolism, and forelimb morphology. Conclusions: Our sequencing and initial analyses of the first two penguin genomes provide insights into the timing of penguin origin, fluctuations in effective population sizes of the two penguin species over the past 10 million years, and the potential associations between these biological patterns and global climate change. The molecular changes compared with other avian genomes reflect both shared and diverse adaptations of the two penguin species to the Antarctic environment.</t>
  </si>
  <si>
    <t>[Li, Cai; Zhang, Yong; Li, Jianwen; Hu, Haofu; Pan, Hailin; Xu, Luohao; Deng, Yuan; Li, Qiye; Jin, Lijun; Yu, Hao; Chen, Yan; Liu, Binghang; Yang, Linfeng; Liu, Shiping; Zhang, Yan; Lang, Yongshan; Xia, Jinquan; He, Weiming; Shi, Qiong; Yang, Huanming; Wang, Jian; Wang, Jun; Zhang, Guojie] BGI Shenzhen, China Natl GeneBank, Shenzhen 518083, Peoples R China; [Li, Cai; Li, Qiye; Gilbert, M. Thomas P.] Univ Copenhagen, Nat Hist Museum Denmark, Ctr GeoGenet, DK-1350 Copenhagen, Denmark; [Kong, Lesheng; Meader, Stephen; Rands, Chris M.; Fujita, Matthew K.; Ponting, Chris P.] Univ Oxford, Dept Physiol Anat &amp; Genet, MRC Funct Genom Unit, Oxford OX1 3QX, England; [Subramanian, Sankar; Lambert, David M.] Griffith Univ, Environm Futures Ctr, Nathan, Qld 4111, Australia; [Millar, Craig D.] Univ Auckland, Sch Biol Sci, Allan Wilson Ctr Mol Ecol &amp; Evolut, Auckland 92019, New Zealand; [Greenwold, Matthew J.] Univ S Carolina, Dept Biol Sci, Columbia, SC 29208 USA; [Castoe, Todd A.; Pollock, David D.] Univ Colorado, Sch Med, Dept Biochem &amp; Mol Genet, Aurora, CO 80045 USA; [Castoe, Todd A.] Univ Texas Arlington, Dept Biol, Arlington, TX 76016 USA; [Gu, Wanjun] Southeast Univ, Res Ctr Learning Sci, Nanjing 210096, Jiangsu, Peoples R China; [Nam, Kiwoong; Ellegren, Hans] Uppsala Univ, Dept Evolutionary Biol, SE-75236 Uppsala, Sweden; [Ho, Simon Y. W.] Univ Sydney, Sch Biol Sci, Sydney, NSW 2006, Australia; [Burt, David W.] Univ Edinburgh, Roslin Inst, Dept Genom &amp; Genet, Edinburgh EH25 9RG, Midlothian, Scotland; [Burt, David W.] Univ Edinburgh, Royal Dick Sch Vet Studies, Edinburgh EH25 9RG, Midlothian, Scotland; [Jarvis, Erich D.] Duke Univ, Med Ctr, Howard Hughes Med Inst, Dept Neurobiol, Durham, NC 27710 USA; [Gilbert, M. Thomas P.] Curtin Univ, Dept Environm &amp; Agr, Trace &amp; Environm DNA Lab, Perth, WA 6102, Australia; [Yang, Huanming; Wang, Jun] King Abdulaziz Univ, Princess Al Jawhara Ctr Excellence Res Hereditary, Jeddah 21589, Saudi Arabia; [Wang, Jun] Univ Copenhagen, Dept Biol, DK-2200 Copenhagen, Denmark; [Wang, Jun] Macau Univ Sci &amp; Technol, Taipa 999078, Peoples R China; [Wang, Jun] Univ Hong Kong, Dept Med, Hong Kong, Hong Kong, Peoples R China; [Zhang, Guojie] Univ Copenhagen, Dept Biol, Ctr Social Evolut, DK-2100 Copenhagen, Denmark</t>
  </si>
  <si>
    <t>Beijing Genomics Institute (BGI); University of Copenhagen; University of Oxford; Griffith University; University of Auckland; Massey University; University of South Carolina System; University of South Carolina Columbia; University of Colorado System; University of Colorado Anschutz Medical Campus; University of Texas System; University of Texas Arlington; Southeast University - China; Uppsala University; University of Sydney; UK Research &amp; Innovation (UKRI); Biotechnology and Biological Sciences Research Council (BBSRC); Roslin Institute; University of Edinburgh; University of Edinburgh; Duke University; Howard Hughes Medical Institute; Curtin University; King Abdulaziz University; University of Copenhagen; Macau University of Science &amp; Technology; University of Hong Kong; University of Copenhagen</t>
  </si>
  <si>
    <t>Lambert, DM (corresponding author), Griffith Univ, Environm Futures Ctr, Nathan, Qld 4111, Australia.</t>
  </si>
  <si>
    <t>d.lambert@griffith.edu.au; wangj@genomics.cn; zhanggj@genomics.cn</t>
  </si>
  <si>
    <t>yan, chen/AAS-4603-2021; Ho, Simon YW/A-8417-2008; Kong, Lesheng/O-8933-2015; Li, Zilong/JEZ-8642-2023; yu, hao/HIK-0596-2022; Jarvis, Erich D/A-2319-2008; Pollock, David D/M-4740-2016; LIU, Shiping/JGM-3312-2023; Wang, Chen/JZE-6385-2024; Burt, David W/C-7802-2013; Xu, Luohao/ADL-1162-2022; Zhang, Guojie/HCH-1880-2022; Gilbert, Thomas/JSK-2650-2023; Liu, Liu/JXM-8208-2024; Ponting, Chris/AAV-2621-2021; Gu, Wanjun/P-5389-2019; Zhang, Guojie/B-6188-2014; Yang, Linfeng/AAZ-8792-2020; Yang, Huanming/C-6513-2013; Gilbert, Marcus/A-8936-2013; Zhang, Guojie/J-7273-2019; Subramanian, Sankar/B-6647-2008; Wang, Jun/B-9503-2016; Wang, Jun/C-8434-2016; Li, Qiye/C-1348-2015</t>
  </si>
  <si>
    <t>Ho, Simon YW/0000-0002-0361-2307; Kong, Lesheng/0000-0002-9225-3421; Pollock, David D/0000-0002-7627-4214; LIU, Shiping/0000-0003-0019-619X; Burt, David W/0000-0002-9991-1028; Xu, Luohao/0000-0002-3714-8047; Gu, Wanjun/0000-0003-4501-0539; Yang, Huanming/0000-0002-0858-3410; Rands, Christopher/0000-0002-8222-9364; Gilbert, Marcus/0000-0002-5805-7195; Ponting, Chris/0000-0003-0202-7816; Zhang, Guojie/0000-0001-6860-1521; liu, bh/0000-0002-4948-2835; Li, Cai/0000-0001-7843-2151; Subramanian, Sankar/0000-0002-2375-3254; Lambert, David/0000-0002-5821-3637; Hu, Haofu/0000-0001-8145-3009; Nam, Kiwoong/0000-0003-3194-8673; Wang, Jun/0000-0002-2113-5874; Wang, Jun/0000-0002-8540-8931; Li, Qiye/0000-0002-5993-0312</t>
  </si>
  <si>
    <t>BGI; Marie Curie International Incoming Fellowship [300837]; Lundbeck Foundation [R52-A5062]; European Research Council [249869]; Australian Research Council [LP110200229]; Australia India Strategic Research Fund; National Institutes of Health (NIH) [GM083127]; MRC [MC_U137761446, MC_UU_12021/1] Funding Source: UKRI; Medical Research Council [MC_UU_12021/1, MC_U137761446] Funding Source: researchfish; Australian Research Council [LP110200229] Funding Source: Australian Research Council; European Research Council (ERC) [249869] Funding Source: European Research Council (ERC)</t>
  </si>
  <si>
    <t>BGI; Marie Curie International Incoming Fellowship(European Union (EU)); Lundbeck Foundation(Lundbeckfonden); European Research Council(European Research Council (ERC)); Australian Research Council(Australian Research Council); Australia India Strategic Research Fund(Australian GovernmentDepartment of Industry, Innovation and Science); National Institutes of Health (NIH)(United States Department of Health &amp; Human ServicesNational Institutes of Health (NIH) - USA); MRC(UK Research &amp; Innovation (UKRI)Medical Research Council UK (MRC)); Medical Research Council(UK Research &amp; Innovation (UKRI)Medical Research Council UK (MRC)); Australian Research Council(Australian Research Council); European Research Council (ERC)(European Research Council (ERC)Spanish Government)</t>
  </si>
  <si>
    <t>The majority of this study was supported by internal funding from BGI. GZ was supported by a Marie Curie International Incoming Fellowship grant (300837). CL was partially supported by the Lundbeck Foundation grant R52-A5062. LK has been funded by the European Research Council (Project Reference 249869, DARCGENs). DML acknowledges the support from Australian Research Council (LP110200229) and Australia India Strategic Research Fund. DDP acknowledges the support of the National Institutes of Health (NIH; GM083127). We thank Jianzhi Zhang (University of Michigan) and Huabin Zhao (Wuhan University) for commenting on early drafts of the manuscript.</t>
  </si>
  <si>
    <t>2047-217X</t>
  </si>
  <si>
    <t>GigaScience</t>
  </si>
  <si>
    <t>DEC 12</t>
  </si>
  <si>
    <t>10.1186/2047-217X-3-27</t>
  </si>
  <si>
    <t>Biology; Multidisciplinary Sciences</t>
  </si>
  <si>
    <t>Life Sciences &amp; Biomedicine - Other Topics; Science &amp; Technology - Other Topics</t>
  </si>
  <si>
    <t>CX4GW</t>
  </si>
  <si>
    <t>WOS:000365658300001</t>
  </si>
  <si>
    <t>Telling, J; Anesio, AM; Tranter, M; Fountain, AG; Nylen, T; Hawkings, J; Singh, VB; Kaur, P; Musilova, M; Wadham, JL</t>
  </si>
  <si>
    <t>Telling, Jon; Anesio, Alexandre M.; Tranter, Martyn; Fountain, Andrew G.; Nylen, Thomas; Hawkings, Jon; Singh, Virendra B.; Kaur, Preeti; Musilova, Michaela; Wadham, Jemma L.</t>
  </si>
  <si>
    <t>Spring thaw ionic pulses boost nutrient availability and microbial growth in entombed Antarctic Dry Valley cryoconite holes</t>
  </si>
  <si>
    <t>Antarctica; cryoconite; ionic pulse; nitrogen fixation; photosynthesis; bacterial production; McMurdo Dry Valleys; microbial ecology</t>
  </si>
  <si>
    <t>BACTERIAL COMMUNITIES; TAYLOR VALLEY; PHOTOSYNTHESIS; PHOSPHORUS; GREENLAND; ECOSYSTEM; GLACIERS; ELUTION</t>
  </si>
  <si>
    <t>The seasonal melting of ice entombed cryoconite holes on McMurdo Dry Valley glaciers provides oases for life in the harsh environmental conditions of the polar desert where surface air temperatures only occasionally exceed 0 degrees C during the Austral summer. Here we follow temporal changes in cryoconite hole biogeochemistry on Canada Glacier from fully frozen conditions through the initial stages of spring thaw toward fully melted holes. The cryoconite holes had a mean isolation age from the glacial drainage system of 3.4 years, with an increasing mass of aqueous nutrients (dissolved organic carbon, total nitrogen, total phosphorus) with longer isolation age. During the initial melt there was a mean nine times enrichment in dissolved chloride relative to mean concentrations of the initial frozen holes indicative of an ionic pulse, with similar mean nine times enrichments in nitrite, ammonium, and dissolved organic matter. Nitrate was enriched twelve times and dissolved organic nitrogen six times, suggesting net nitrification, while lower enrichments for dissolved organic phosphorus and phosphate were consistent with net microbial phosphorus uptake. Rates of bacterial production were significantly elevated during the ionic pulse, likely due to the increased nutrient availability. There was no concomitant increase in photosynthesis rates, with a net depletion of dissolved inorganic carbon suggesting inorganic carbon limitation. Potential nitrogen fixation was detected in fully melted holes where it could be an important source of nitrogen to support microbial growth, but not during the ionic pulse where nitrogen availability was higher. This study demonstrates that ionic pulses significantly alter the timing and magnitude of microbial activity within entombed cryoconite holes, and adds credence to hypotheses that ionic enrichments during freeze-thaw can elevate rates of microbial growth and activity in other icy habitats, such as ice veins and subglacial regelation zones.</t>
  </si>
  <si>
    <t>[Telling, Jon; Anesio, Alexandre M.; Tranter, Martyn; Hawkings, Jon; Musilova, Michaela; Wadham, Jemma L.] Univ Bristol, Sch Geog Sci, Bristol BS8 1SS, Avon, England; [Fountain, Andrew G.; Nylen, Thomas] Portland State Univ, Dept Geol, Portland, OR 97207 USA; [Singh, Virendra B.] Jawaharlal Nehru Univ, Sch Environm Sci, New Delhi 110067, India; [Kaur, Preeti] Univ Bristol, Sch Chem, Bristol BS8 1SS, Avon, England</t>
  </si>
  <si>
    <t>University of Bristol; Portland State University; Jawaharlal Nehru University, New Delhi; University of Bristol</t>
  </si>
  <si>
    <t>Telling, J (corresponding author), Univ Bristol, Sch Geog Sci, Univ Rd, Bristol BS8 1SS, Avon, England.</t>
  </si>
  <si>
    <t>jon.telling@bristol.ac.uk</t>
  </si>
  <si>
    <t>Wadham, Jemma L/G-3138-2014; Telling, Jon/M-7643-2013; Anesio, Alexandre/A-7597-2008; Wadham, Jemma L/A-8352-2012; Tranter, Martyn/E-3722-2010; Musilova, Michaela/P-9103-2015</t>
  </si>
  <si>
    <t>Anesio, Alexandre/0000-0003-2990-4014; Tranter, Martyn/0000-0003-2071-3094; Musilova, Michaela/0000-0001-9811-5719; Telling, Jon/0000-0002-8180-0979; Nylen, Thomas/0000-0001-9579-8702; Singh, Virendra/0000-0002-4819-8330; Hawkings, Jon/0000-0003-4813-8474</t>
  </si>
  <si>
    <t>[NSF SF ANT1115245]; [NERC NE/J02399X/1]; NERC [NE/J02399X/1] Funding Source: UKRI; Natural Environment Research Council [1099854, NE/J02399X/1] Funding Source: researchfish; Directorate For Geosciences; Office of Polar Programs (OPP) [1115245] Funding Source: National Science Foundation</t>
  </si>
  <si>
    <t>; ;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</si>
  <si>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work was funded by grants awarded to Andrew G. Fountain (NSF SF ANT1115245) and Alexandre M. Anesio (NERC NE/J02399X/1). We would like to thank the support staff at Lake Hoare field camp and Crary Laboratory (McMurdo) for all their logistical and analytical support, to Thermofisher Scientific and Paul Dewsbury for ion chromatography support, and to Dr. Liz Bagshaw for helpful comments on the draft manuscript.</t>
  </si>
  <si>
    <t>DEC 11</t>
  </si>
  <si>
    <t>10.3389/fmicb.2014.00694</t>
  </si>
  <si>
    <t>AX9SI</t>
  </si>
  <si>
    <t>WOS:000347242000001</t>
  </si>
  <si>
    <t>Crame, JA; Beu, AG; Ineson, JR; Francis, JE; Whittle, RJ; Bowman, VC</t>
  </si>
  <si>
    <t>Crame, J. Alistair; Beu, Alan G.; Ineson, Jon R.; Francis, Jane E.; Whittle, Rowan J.; Bowman, Vanessa C.</t>
  </si>
  <si>
    <t>The Early Origin of the Antarctic Marine Fauna and Its Evolutionary Implications</t>
  </si>
  <si>
    <t>LATITUDINAL DIVERSITY GRADIENT; MARAMBIO SEYMOUR ISLAND; LA MESETA FORMATION; NICHE CONSERVATISM; PLANT DIVERSITY; EOCENE CLIMATE; GLOBAL DIVERSITY; TEMPERATURES; EXTINCTION; PALEOGENE</t>
  </si>
  <si>
    <t>The extensive Late Cretaceous - Early Paleogene sedimentary succession of Seymour Island, N.E. Antarctic Peninsula offers an unparalleled opportunity to examine the evolutionary origins of a modern polar marine fauna. Some 38 modern Southern Ocean molluscan genera (26 gastropods and 12 bivalves), representing approximately 18% of the total modern benthic molluscan fauna, can now be traced back through at least part of this sequence. As noted elsewhere in the world, the balance of the molluscan fauna changes sharply across the Cretaceous Paleogene (K/Pg) boundary, with gastropods subsequently becoming more diverse than bivalves. A major reason for this is a significant radiation of the Neogastropoda, which today forms one of the most diverse clades in the sea. Buccinoidea is the dominant neogastropod superfamily in both the Paleocene Sobral Formation (SF) (56% of neogastropod genera) and Early - Middle Eocene La Meseta Formation (LMF) (47%), with the Conoidea (25%) being prominent for the first time in the latter. This radiation of Neogastropoda is linked to a significant pulse of global warming that reached at least 65 degrees S, and terminates abruptly in the upper LMF in an extinction event that most likely heralds the onset of global cooling. It is also possible that the marked Early Paleogene expansion of neogastropods in Antarctica is in part due to a global increase in rates of origination following the K/ Pg mass extinction event. The radiation of this and other clades at,65 degrees S indicates that Antarctica was not necessarily an evolutionary refugium, or sink, in the Early Middle Eocene. Evolutionary source - sink dynamics may have been significantly different between the Paleogene greenhouse and Neogene icehouse worlds.</t>
  </si>
  <si>
    <t>[Crame, J. Alistair; Francis, Jane E.; Whittle, Rowan J.; Bowman, Vanessa C.] British Antarctic Survey, NERC, Cambridge, England; [Beu, Alan G.] GNS Sci, Lower Hutt, New Zealand; [Ineson, Jon R.] Geol Survey Denmark &amp; Greenland, Copenhagen, Denmark</t>
  </si>
  <si>
    <t>UK Research &amp; Innovation (UKRI); Natural Environment Research Council (NERC); NERC British Antarctic Survey; GNS Science - New Zealand; Geological Survey Of Denmark &amp; Greenland</t>
  </si>
  <si>
    <t>Crame, JA (corresponding author), British Antarctic Survey, NERC, Cambridge, England.</t>
  </si>
  <si>
    <t>jacr@bas.ac.uk</t>
  </si>
  <si>
    <t>; Ineson, Jon/G-9800-2018</t>
  </si>
  <si>
    <t>Bowman, Vanessa/0000-0002-4887-3949; Ineson, Jon/0000-0003-0017-3705</t>
  </si>
  <si>
    <t>Natural Environment Research Council [NE/I005803/1, NE/C506399/1]; Natural Environment Research Council [NE/I00582X/2, NE/C506399/1, NE/I005803/1] Funding Source: researchfish; NERC [NE/I00582X/2, NE/I005803/1] Funding Source: UKRI</t>
  </si>
  <si>
    <t>Financial support was received from the Natural Environment Research Council (http://www. nerc.ac.uk): Research grants NE/I005803/1 and NE/C506399/1, and core funds to the BAS programme 'Environmental Change and Evolution'. The funders had no role in study design, data collection and analysis, decision to publish, or preparation of the manuscript.</t>
  </si>
  <si>
    <t>DEC 10</t>
  </si>
  <si>
    <t>e114743</t>
  </si>
  <si>
    <t>10.1371/journal.pone.0114743</t>
  </si>
  <si>
    <t>AW9YP</t>
  </si>
  <si>
    <t>WOS:000346611400074</t>
  </si>
  <si>
    <t>Insogna, S; Frison, S; Marconi, E; Bacaloni, A</t>
  </si>
  <si>
    <t>Insogna, Susanna; Frison, Serena; Marconi, Elisabetta; Bacaloni, Alessandro</t>
  </si>
  <si>
    <t>Trends of volatile chlorinated hydrocarbons and trihalomethanes in Antarctica</t>
  </si>
  <si>
    <t>INTERNATIONAL JOURNAL OF ENVIRONMENTAL ANALYTICAL CHEMISTRY</t>
  </si>
  <si>
    <t>trihalomethanes; PTI-GC-MS; volatile chlorinated hydrocarbons; Antarctica</t>
  </si>
  <si>
    <t>SURFACE WATERS; HALOCARBONS; SNOW; REGIONS; ALGAE; ICE</t>
  </si>
  <si>
    <t>In order to understand behaviour and environmental fate of manmade chemicals in remote and cold areas, during the XXVII Italian Expedition carried out in Antarctica throughout the austral summer 2011/2012, superficial snow and lake water were sampled along the Ross Sea's South coast and their content of some low-molecular weight volatile halogenated hydrocarbons was evaluated. In consideration of their important role in stratospheric ozone chemistry, some volatile chlorinated hydrocarbons (VCHCs) and trihalomethanes (THMs) were investigated. The analyses were realised with a dedicated system composed by a purge-and-trap injector coupled to a gas chromatograph with a mass spectrometer (PTI-GC-MS) operating in SIM mode. The investigated VCHCs (chloroform; 1,1,1-trichloroethane; tetrachloromethane; trichloroethylene and tetrachloroethylene) were present in all analysed samples, and concentration levels ranged from units to hundreds of ngL(-1) according to considered matrix. For the first time, THMs (bromoform; dibromochloromethane; bromodichloromethane), were measured in Antarctic lake waters and freshly deposited snow; their concentration levels ranged from units to tens of ngL(-1). In order to assess eventual temporal variations, VCHC content in aqueous Antarctic matrices was compared with levels occurring in the past Italian Antarctic expeditions: for some banned substances, a decrease in concentration was observed, probably due to worldwide use restrictions. Finally, current Antarctic and Italian VCHC and THM levels in snow and lake water samples were compared and were found to be quite similar, differing at most by one order of magnitude, corroborating the hypothesis of an accumulation of halogenated compounds in Antarctic aqueous matrices.</t>
  </si>
  <si>
    <t>[Insogna, Susanna; Frison, Serena; Bacaloni, Alessandro] Univ Roma La Sapienza, Dept Chem, I-00185 Rome, Italy; [Marconi, Elisabetta] Univ Roma La Sapienza, Dept Publ Hlth &amp; Infect Dis, I-00185 Rome, Italy</t>
  </si>
  <si>
    <t>Sapienza University Rome; Sapienza University Rome</t>
  </si>
  <si>
    <t>Insogna, S (corresponding author), Univ Roma La Sapienza, Dept Chem, I-00185 Rome, Italy.</t>
  </si>
  <si>
    <t>susanna.insogna@uniroma1.it</t>
  </si>
  <si>
    <t>Marconi, Elisabetta/AAW-3076-2021; Insogna, Susanna/M-7301-2015</t>
  </si>
  <si>
    <t>Bacaloni, Alessandro/0000-0002-2806-7886; Insogna, Susanna/0000-0001-9463-1273</t>
  </si>
  <si>
    <t>projects on environmental contamination of the Italian National Research Programme in Antarctica (PNRA)</t>
  </si>
  <si>
    <t>This work was supported in the framework of projects on environmental contamination of the Italian National Research Programme in Antarctica (PNRA).</t>
  </si>
  <si>
    <t>0306-7319</t>
  </si>
  <si>
    <t>1029-0397</t>
  </si>
  <si>
    <t>INT J ENVIRON AN CH</t>
  </si>
  <si>
    <t>Int. J. Environ. Anal. Chem.</t>
  </si>
  <si>
    <t>DEC 8</t>
  </si>
  <si>
    <t>14-15</t>
  </si>
  <si>
    <t>10.1080/03067319.2014.974587</t>
  </si>
  <si>
    <t>AU8IG</t>
  </si>
  <si>
    <t>WOS:000345839200001</t>
  </si>
  <si>
    <t>Schmidtko, S; Heywood, KJ; Thompson, AF; Aoki, S</t>
  </si>
  <si>
    <t>Schmidtko, Sunke; Heywood, Karen J.; Thompson, Andrew F.; Aoki, Shigeru</t>
  </si>
  <si>
    <t>Multidecadal warming of Antarctic waters</t>
  </si>
  <si>
    <t>SEA-LEVEL RISE; GLOBAL HEAT; PINE ISLAND; SENSITIVITY; WIDESPREAD; THWAITES; DRIVEN; TRENDS; MELT</t>
  </si>
  <si>
    <t>Decadal trends in the properties of seawater adjacent to Antarctica are poorly known, and the mechanisms responsible for such changes are uncertain. Antarctic ice sheet mass loss is largely driven by ice shelf basal melt, which is influenced by ocean-ice interactions and has been correlated with Antarctic Continental Shelf Bottom Water (ASBW) temperature. We document the spatial distribution of long-term large-scale trends in temperature, salinity, and core depth over the Antarctic continental shelf and slope. Warming at the seabed in the Bellingshausen and Amundsen seas is linked to increased heat content and to a shoaling of themid-depth temperature maximum over the continental slope, allowing warmer, saltier water greater access to the shelf in recent years. Regions of ASBW warming are those exhibiting increased ice shelf melt.</t>
  </si>
  <si>
    <t>[Schmidtko, Sunke; Heywood, Karen J.] Univ E Anglia, Sch Environm Sci, Ctr Ocean &amp; Atmospher Sci, Norwich NR4 7TJ, Norfolk, England; [Schmidtko, Sunke] GEOMAR Helmholtz Ctr Ocean Res Kiel, D-24105 Kiel, Germany; [Thompson, Andrew F.] CALTECH, Pasadena, CA 91125 USA; [Aoki, Shigeru] Hokkaido Univ, Inst Low Temp Sci, Sapporo, Hokkaido 0600819, Japan</t>
  </si>
  <si>
    <t>University of East Anglia; Helmholtz Association; GEOMAR Helmholtz Center for Ocean Research Kiel; California Institute of Technology; Hokkaido University</t>
  </si>
  <si>
    <t>Schmidtko, S (corresponding author), Univ E Anglia, Sch Environm Sci, Ctr Ocean &amp; Atmospher Sci, Norwich NR4 7TJ, Norfolk, England.</t>
  </si>
  <si>
    <t>sschmidtko@geomar.de</t>
  </si>
  <si>
    <t>Aoki, Shigeru/D-9105-2012; Heywood, Karen/L-1757-2016; Schmidtko, Sunke/F-3355-2011</t>
  </si>
  <si>
    <t>Heywood, Karen/0000-0001-9859-0026; Schmidtko, Sunke/0000-0003-3272-7055</t>
  </si>
  <si>
    <t>German Federal Ministry for Education and Research (BMBF) project MiKlip; NERC Antarctic Funding Initiative research grant GENTOO [NE/H01439X/1]; Ministry of Education, Culture, Sports, Science and Technology, Japan; Daiwa Foundation; NSF [OPP-1246460]; Natural Environment Research Council [NE/H01439X/1] Funding Source: researchfish; Directorate For Geosciences; Office of Polar Programs (OPP) [1246460] Funding Source: National Science Foundation; NERC [NE/H01439X/1] Funding Source: UKRI; Grants-in-Aid for Scientific Research [25281001, 25241001, 22106009] Funding Source: KAKEN</t>
  </si>
  <si>
    <t>German Federal Ministry for Education and Research (BMBF) project MiKlip; NERC Antarctic Funding Initiative research grant GENTOO; Ministry of Education, Culture, Sports, Science and Technology, Japan(Ministry of Education, Culture, Sports, Science and Technology, Japan (MEXT)); Daiwa Foundation; NSF(National Science Foundation (NSF)); Natural Environment Research Council(UK Research &amp; Innovation (UKRI)Natural Environment Research Council (NERC)); Directorate For Geosciences; Office of Polar Programs (OPP)(National Science Foundation (NSF)NSF - Directorate for Geosciences (GEO)); NERC(UK Research &amp; Innovation (UKRI)Natural Environment Research Council (NERC)); Grants-in-Aid for Scientific Research(Ministry of Education, Culture, Sports, Science and Technology, Japan (MEXT)Japan Society for the Promotion of ScienceGrants-in-Aid for Scientific Research (KAKENHI))</t>
  </si>
  <si>
    <t>All data used in this manuscript are publicly available; data sources are detailed in the supplementary materials. We thank all officers, crews, and scientists involved in collecting and calibrating the data in the often harsh Southern Ocean environment, as well as everyone involved in making the data publicly available. We thank three anonymous reviewers for helpful discussions and feedback. Supported by the German Federal Ministry for Education and Research (BMBF) project MiKlip (S.S.); NERC Antarctic Funding Initiative research grant GENTOO NE/H01439X/1 (S.S. and K.J.H.); a Grant-in-Aid for Scientific Research of the Ministry of Education, Culture, Sports, Science and Technology, Japan, and a Daiwa Foundation Small Grant (S.A.); and NSF award OPP-1246460 (A.F.T.).</t>
  </si>
  <si>
    <t>DEC 5</t>
  </si>
  <si>
    <t>10.1126/science.1256117</t>
  </si>
  <si>
    <t>AW3LU</t>
  </si>
  <si>
    <t>WOS:000346189000057</t>
  </si>
  <si>
    <t>Boonstra, WJ; Osterblom, H</t>
  </si>
  <si>
    <t>Boonstra, Wiebren J.; Osterblom, Henrik</t>
  </si>
  <si>
    <t>A chain of fools: or, why it is so hard to stop overfishing</t>
  </si>
  <si>
    <t>MARITIME STUDIES</t>
  </si>
  <si>
    <t>Overfishing; Causal complexity; Social-ecological regime; Proximate and remote factors</t>
  </si>
  <si>
    <t>FISHERIES MANAGEMENT; SOUTHERN-OCEAN; ROCK LOBSTER; SEA-URCHINS; BARENTS SEA; MARINE; FISH; ILLEGAL; ABALONE; IMPACT</t>
  </si>
  <si>
    <t>We fish too much, and by doing so, we threaten marine ecosystems and people's livelihoods. But the curious thing is: we have known this for a long time. Nonetheless, we continue to overfish. How is that possible? Why can we not stop? This paper recounts our search for an answer. We start by giving an overview of how scientists explain overfishing, and suggest that the riddle of its obduracy has not been addressed systematically. We conceptualize overfishing as an unplanned and unintended outcome of a chain of interrelated social and ecological events. We then analyze the chain of events leading to overfishing for two typical cases - the groundfish fishery in the Gulf of Maine and the South African abalone (Haliotis midae, Haliotidae) fishery - and two atypical cases where overfishing has stopped or been substantially reduced - the Patagonian and Antarctic toothfish (Dissostichus eleginoides, Nototheniidae and Dissostichus mawsoni, Nototheniidae) fishery in the Southern Ocean, and the Atlantic cod (Gadus morhua, Gadidae) fishery in the Barents Sea. Studying and comparing these cases reveals no sufficient set of factors to explain the persistence of overfishing. Rather, distinct pathways emerge from a concatenation of proximate and remote factors, leading to and sustaining overfishing. Understanding these pathways and their mechanisms can assist in locating leverage points for intervention aimed to stop overfishing.</t>
  </si>
  <si>
    <t>[Boonstra, Wiebren J.; Osterblom, Henrik] Stockholm Univ, Stockholm Resilience Ctr, SE-10691 Stockholm, Sweden</t>
  </si>
  <si>
    <t>Boonstra, WJ (corresponding author), Stockholm Univ, Stockholm Resilience Ctr, SE-10691 Stockholm, Sweden.</t>
  </si>
  <si>
    <t>wijnand.boonstra@su.se</t>
  </si>
  <si>
    <t>Osterblom, Henrik G/D-4249-2012; Boonstra, Wiebren Johannes/H-9447-2019</t>
  </si>
  <si>
    <t>Boonstra, Wiebren Johannes/0000-0002-1191-0574; Osterblom, Henrik/0000-0002-1913-5197</t>
  </si>
  <si>
    <t>FORMAS Project [2009-252, 2013-1293]; Norden Top-level Research Initiative subprogramme; Nippon Foundation</t>
  </si>
  <si>
    <t>FORMAS Project(Swedish Research Council Formas); Norden Top-level Research Initiative subprogramme; Nippon Foundation(Nippon Foundation)</t>
  </si>
  <si>
    <t>We would like to thank Jason D. Whittington and two reviewers of Maritime Studies for helpful comments on an earlier version of this paper. Wiebren Boonstra is financially supported by the FORMAS Project Grant (No. 2009-252) 'Regime Shifts in the Baltic Sea Ecosystem' and FORMAS Project Grant (No. 2013-1293) 'Working knowledge in Swedish coastal fishery - Making cultural capital visible for sustainable use of coastal sea- and landscapes'. Henrik Osterblom received financial support from Stockholm University's strategic marine environmental research funds through the Baltic Ecosystem Adaptive Management Program. Mistra supported the research for this paper through a core grant to the Stockholm Resilience Centre. This paper is a deliverable of the Nordic Centre for Research on Marine Ecosystems and Resources under Climate Change (NorMER), which is funded by the Norden Top-level Research Initiative subprogramme 'Effect Studies and Adaptation to Climate Change' and also contributes to the Nereus Program funded by the Nippon Foundation.</t>
  </si>
  <si>
    <t>1872-7859</t>
  </si>
  <si>
    <t>2212-9790</t>
  </si>
  <si>
    <t>MARIT STUD</t>
  </si>
  <si>
    <t>Marit. Stud.</t>
  </si>
  <si>
    <t>DEC 4</t>
  </si>
  <si>
    <t>10.1186/s40152-014-0015-4</t>
  </si>
  <si>
    <t>V49PJ</t>
  </si>
  <si>
    <t>WOS:000210098600001</t>
  </si>
  <si>
    <t>Ratnarajah, L; Bowie, AR; Lannuzel, D; Meiners, KM; Nicol, S</t>
  </si>
  <si>
    <t>Ratnarajah, Lavenia; Bowie, Andrew R.; Lannuzel, Delphine; Meiners, Klaus M.; Nicol, Stephen</t>
  </si>
  <si>
    <t>The Biogeochemical Role of Baleen Whales and Krill in Southern Ocean Nutrient Cycling</t>
  </si>
  <si>
    <t>TRACE-METALS; IRON FERTILIZATION; ANTARCTIC KRILL; PHYTOPLANKTON BLOOM; TOP PREDATORS; WATER COLUMN; ROSS SEA; PLANKTON; CADMIUM; SECTOR</t>
  </si>
  <si>
    <t>The availability of micronutrients is a key factor that affects primary productivity in High Nutrient Low Chlorophyll (HNLC) regions of the Southern Ocean. Nutrient supply is governed by a range of physical, chemical and biological processes, and there are significant feedbacks within the ecosystem. It has been suggested that baleen whales form a crucial part of biogeochemical cycling processes through the consumption of nutrient-rich krill and subsequent defecation, but data on their contribution are scarce. We analysed the concentration of iron, cadmium, manganese, cobalt, copper, zinc, phosphorus and carbon in baleen whale faeces and muscle, and krill tissue using inductively coupled plasma mass spectrometry. Metal concentrations in krill tissue were between 20 thousand and 4.8 million times higher than typical Southern Ocean HNLC seawater concentrations, while whale faecal matter was between 276 thousand and 10 million times higher. These findings suggest that krill act as a mechanism for concentrating and retaining elements in the surface layer, which are subsequently released back into the ocean, once eaten by whales, through defecation. Trace metal to carbon ratios were also higher in whale faeces compared to whale muscle indicating that whales are concentrating carbon and actively defecating trace elements. Consequently, recovery of the great whales may facilitate the recycling of nutrients via defecation, which may affect productivity in HNLC areas.</t>
  </si>
  <si>
    <t>[Ratnarajah, Lavenia; Bowie, Andrew R.; Lannuzel, Delphine; Nicol, Stephen] Univ Tasmania, Inst Marine &amp; Antarctic Studies, Hobart, Tas, Australia; [Ratnarajah, Lavenia; Bowie, Andrew R.; Lannuzel, Delphine; Meiners, Klaus M.; Nicol, Stephen] Univ Tasmania, Antarctic Climate &amp; Ecosyst Cooperat Res Ctr, Hobart, Tas, Australia; [Meiners, Klaus M.] Australian Antarctic Div, Kingston, Tas, Australia</t>
  </si>
  <si>
    <t>University of Tasmania; University of Tasmania; Antarctic Climate &amp; Ecosystems Cooperative Research Centre (ACE CRC); Australian Antarctic Division</t>
  </si>
  <si>
    <t>Ratnarajah, L (corresponding author), Univ Tasmania, Inst Marine &amp; Antarctic Studies, Hobart, Tas, Australia.</t>
  </si>
  <si>
    <t>Lavenia.Ratnarajah@utas.edu.au</t>
  </si>
  <si>
    <t>lannuzel, delphine/J-7937-2014; Bowie, Andrew/C-8677-2013</t>
  </si>
  <si>
    <t>lannuzel, delphine/0000-0001-6154-1837; Bowie, Andrew/0000-0002-5144-7799; Ratnarajah, Lavenia/0000-0002-1021-1923</t>
  </si>
  <si>
    <t>Australian Government's Cooperative Research Centres Programme through the Antarctic Climate and Ecosystem Cooperative Research Centre; Australian Antarctic Division; Australian Marine Mammal Centre</t>
  </si>
  <si>
    <t>Australian Government's Cooperative Research Centres Programme through the Antarctic Climate and Ecosystem Cooperative Research Centre(Australian GovernmentDepartment of Industry, Innovation and ScienceCooperative Research Centres (CRC) Programme); Australian Antarctic Division; Australian Marine Mammal Centre</t>
  </si>
  <si>
    <t>This work was supported by the Australian Government's Cooperative Research Centres Programme through the Antarctic Climate and Ecosystem Cooperative Research Centre, by the Australian Antarctic Division and by the Australian Marine Mammal Centre. The funders had no role in study design, data collection and analysis, decision to publish, or preparation of the manuscript.</t>
  </si>
  <si>
    <t>DEC 3</t>
  </si>
  <si>
    <t>e114067</t>
  </si>
  <si>
    <t>10.1371/journal.pone.0114067</t>
  </si>
  <si>
    <t>CA7WS</t>
  </si>
  <si>
    <t>WOS:000349128700065</t>
  </si>
  <si>
    <t>Thanassekos, S; Cox, MJ; Reid, K</t>
  </si>
  <si>
    <t>Thanassekos, Stephane; Cox, Martin J.; Reid, Keith</t>
  </si>
  <si>
    <t>Investigating the Effect of Recruitment Variability on Length-Based Recruitment Indices for Antarctic Krill Using an Individual-Based Population Dynamics Model</t>
  </si>
  <si>
    <t>SOUTH SHETLAND ISLANDS; EUPHAUSIA-SUPERBA; BIOMASS; DENSITY; GROWTH; MORTALITY; ECOSYSTEM; LINKS; AGE</t>
  </si>
  <si>
    <t>Antarctic krill (Euphausia superba; herein krill) is monitored as part of an on-going fisheries observer program that collects length-frequency data. A krill feedback management programme is currently being developed, and as part of this development, the utility of data-derived indices describing population level processes is being assessed. To date, however, little work has been carried out on the selection of optimum recruitment indices and it has not been possible to assess the performance of length-based recruitment indices across a range of recruitment variability. Neither has there been an assessment of uncertainty in the relationship between an index and the actual level of recruitment. Thus, until now, it has not been possible to take into account recruitment index uncertainty in krill stock management or when investigating relationships between recruitment and environmental drivers. Using length-frequency samples from a simulated population - where recruitment is known - the performance of six potential length-based recruitment indices is assessed, by exploring the index-to-recruitment relationship under increasing levels of recruitment variability (from +/- 10% to +/- 100% around a mean annual recruitment). The annual minimum of the proportion of individuals smaller than 40 mm (F40 min, %) was selected because it had the most robust index-to-recruitment relationship across differing levels of recruitment variability. The relationship was curvilinear and best described by a power law. Model uncertainty was described using the 95% prediction intervals, which were used to calculate coverage probabilities and assess model performance. Despite being the optimum recruitment index, the performance of F40 min degraded under high (&gt;50%) recruitment variability. Due to the persistence of cohorts in the population over several years, the inclusion of F40 min values from preceding years in the relationship used to estimate recruitment in a given year improved its accuracy (mean bias reduction of 8.3% when including three F40 min values under a recruitment variability of 60%).</t>
  </si>
  <si>
    <t>[Thanassekos, Stephane; Reid, Keith] Commiss Conservat Antarct Marine Living Resources, Hobart, Tas, Australia; [Cox, Martin J.] Southern Ocean Ecosyst Change, Australian Antarct Div, Kingston, Tas, Australia</t>
  </si>
  <si>
    <t>Thanassekos, S (corresponding author), Virginia Inst Marine Sci, Coll William &amp; Mary, Gloucester Point, VA 23062 USA.</t>
  </si>
  <si>
    <t>thanassekos@vims.edu</t>
  </si>
  <si>
    <t>Australian Research Council [FS110200057]; Australian Research Council [FS110200057] Funding Source: Australian Research Council</t>
  </si>
  <si>
    <t>Australian Research Council(Australian Research Council); Australian Research Council(Australian Research Council)</t>
  </si>
  <si>
    <t>MJC is funded by the Australian Research Council's 'Superscience' fellowship scheme FS110200057 (http://www.arc.gov.au/ncgp/ssf/ssf_default.htm). The funders had no role in study design, data collection and analysis, decision to publish, or preparation of the manuscript.</t>
  </si>
  <si>
    <t>e114378</t>
  </si>
  <si>
    <t>10.1371/journal.pone.0114378</t>
  </si>
  <si>
    <t>Green Accepted, Green Published, gold</t>
  </si>
  <si>
    <t>WOS:000349128700109</t>
  </si>
  <si>
    <t>Gore, DB; Snape, I</t>
  </si>
  <si>
    <t>Gore, Damian B.; Snape, Ian</t>
  </si>
  <si>
    <t>50 kGy of gamma irradiation does not affect the leachability of mineral soils and sediments</t>
  </si>
  <si>
    <t>POWDER DIFFRACTION</t>
  </si>
  <si>
    <t>Australian -X-ray -Analytical -Association Workshops, Conference, and Exhibition</t>
  </si>
  <si>
    <t>FEB 09-13, 2014</t>
  </si>
  <si>
    <t>Perth, AUSTRALIA</t>
  </si>
  <si>
    <t>environment; TCLP; mineralogy; crystallinity</t>
  </si>
  <si>
    <t>PHYSICOCHEMICAL PROPERTIES; MEXICAN ALUMINOSILICATES; CLAY-MINERALS; HOLE CENTER; RADIATION; MONTMORILLONITE; STABILITY; WATER</t>
  </si>
  <si>
    <t>Sterilization of soils and sediments can release them from quarantine restrictions. Gamma irradiation is effective at sterilization but can damage materials and in so doing affect their suitability for environmental research. Duplicate samples of a wide range of mineral soils and sediments were subject to an acetic acid extraction before and after 50 kGy gamma irradiation. This amount of gamma irradiation did not affect the leachability of a range of analytes from the soils and sediments. (C) 2014 International Centre for Diffraction Data.</t>
  </si>
  <si>
    <t>[Gore, Damian B.] Macquarie Univ, Dept Geog &amp; Environm, N Ryde, NSW 2109, Australia; [Snape, Ian] Australian Antarctic Div, Kingston, Tas 7050, Australia</t>
  </si>
  <si>
    <t>Macquarie University; Australian Antarctic Division</t>
  </si>
  <si>
    <t>Gore, DB (corresponding author), Macquarie Univ, Dept Geog &amp; Environm, N Ryde, NSW 2109, Australia.</t>
  </si>
  <si>
    <t>damian.gore@mq.edu.au</t>
  </si>
  <si>
    <t>Gore, Damian/0000-0002-0377-8518</t>
  </si>
  <si>
    <t>Australian Antarctic Division [AAS4029]</t>
  </si>
  <si>
    <t>We acknowledge the Australian Antarctic Division for financial support under AAS4029.</t>
  </si>
  <si>
    <t>0885-7156</t>
  </si>
  <si>
    <t>1945-7413</t>
  </si>
  <si>
    <t>POWDER DIFFR</t>
  </si>
  <si>
    <t>Powder Diffr.</t>
  </si>
  <si>
    <t>DEC</t>
  </si>
  <si>
    <t>S40</t>
  </si>
  <si>
    <t>S46</t>
  </si>
  <si>
    <t>10.1017/S0885715614000918</t>
  </si>
  <si>
    <t>Materials Science, Characterization &amp; Testing</t>
  </si>
  <si>
    <t>CG8ME</t>
  </si>
  <si>
    <t>WOS:000353561300009</t>
  </si>
  <si>
    <t>Braithwaite, RC; Khan, D</t>
  </si>
  <si>
    <t>Braithwaite, R. C.; Khan, D.</t>
  </si>
  <si>
    <t>Implications of ice class for an offshore patrol vessel</t>
  </si>
  <si>
    <t>JOURNAL OF MARINE ENGINEERING AND TECHNOLOGY</t>
  </si>
  <si>
    <t>The importance of the Polar Regions, both in the Arctic and Antarctic, is likely to increase as environmental and geopolitical developments (e.g. as a result of global warming and increasing shortages in fossil fuels) increases international interest in these areas. With this in mind many nations, are increasingly considering the operation of naval vessels in these areas. This paper identifies the aspects of vessel design that must be addressed to enable an offshore patrol vessel (OPV) OPV sized vessel to operate in ice conditions and estimates the cost of adding this capability. A baseline 90 m OPV design was developed that had no requirement for ice operation and a unit platform cost (UPC) calculated for the vessel using a simple, weight based, cost model. The changes that would need to be made to this vessel in order to achieve increasing levels of ice capability were then identified and the ship was redesigned to accommodate these changes. The resulting UPC cost estimates for the ships give an indication of the whole ship cost implications of adding a requirement to operate in ice for a vessel of this size. Two variants were developed, the first to ice class I C (Lloyds Naval Ship Rules) and the second to Ice Class I AS. These represent light ice conditions (with icebreaker assistance where necessary) and difficult ice conditions, first year ice up to 1.0m, (without the assistance of icebreakers) respectively The structural and ship system requirements of Lloyds Naval Ship Rules together with the relevant recommendations on winterisation were incorporated in both designs.</t>
  </si>
  <si>
    <t>[Braithwaite, R. C.] CEng MRINA, Aberdeen, Scotland</t>
  </si>
  <si>
    <t>Braithwaite, RC (corresponding author), CEng MRINA, Aberdeen, Scotland.</t>
  </si>
  <si>
    <t>2046-4177</t>
  </si>
  <si>
    <t>2056-8487</t>
  </si>
  <si>
    <t>J MAR ENG TECHNOL</t>
  </si>
  <si>
    <t>J. Mar. Eng. Technol.</t>
  </si>
  <si>
    <t>10.1080/20464177.2014.11658118</t>
  </si>
  <si>
    <t>Engineering, Marine</t>
  </si>
  <si>
    <t>CC0GB</t>
  </si>
  <si>
    <t>WOS:000350012700002</t>
  </si>
  <si>
    <t>Shi, R; Hu, ZJ; Ni, BB; Han, DS; Chen, XC; Zhou, C; Gu, XD</t>
  </si>
  <si>
    <t>Shi, Run; Hu, Ze-Jun; Ni, Binbin; Han, Desheng; Chen, Xiang-Cai; Zhou, Chen; Gu, Xudong</t>
  </si>
  <si>
    <t>Modulation of the dayside diffuse auroral intensity by the solar wind dynamic pressure</t>
  </si>
  <si>
    <t>CHORUS WAVES; PRECIPITATION; SCATTERING</t>
  </si>
  <si>
    <t>Compared to the recently improved understanding of the nightside diffuse aurora, the mechanism(s) responsible for the dayside diffuse auroral precipitation remains limitedly understood. We investigate the dayside diffuse aurora observed by the all-sky imagers of Chinese Arctic Yellow River Station in the time interval of 02:00-10:00 UT (05:00-13:00 magnetic local time) on 2 January 2006. In this interval, the intensity of dayside diffuse aurora is highly correlated with the solar wind dynamic pressure with a maximum coefficient of 0.89. Moreover, there are similar spectra characteristics in the Pc5 range between the intensity of dayside diffuse aurora and solar wind dynamic pressure (proton density) during a portion of the time interval, in which the interplanetary magnetic field Bz is northward. The observation indicates that changes in solar wind dynamic pressure can efficiently modulate the magnitude of the dayside diffuse aurora, except when the interplanetary magnetic field is southward. The enhancement of the solar wind dynamic pressure can provide favorable circumstances for dayside chorus wave generation, so we consider that the dayside chorus could be a candidate for the production of the dayside diffuse aurora. Furthermore, since the compressional Pc4-Pc5 pulsations can also modulate the intensity of whistler mode chorus waves, the solar wind dynamic pressure modulates the dayside diffuse aurora through affecting dayside chorus wave activity and the associated scattering process.</t>
  </si>
  <si>
    <t>[Shi, Run; Hu, Ze-Jun; Han, Desheng] Polar Res Inst China, SOA Key Lab Polar Sci, Shanghai, Peoples R China; [Shi, Run] Mem Univ Newfoundland, Dept Math &amp; Stat, St John, NF A1C 5S7, Canada; [Ni, Binbin; Zhou, Chen; Gu, Xudong] Wuhan Univ, Sch Elect Informat, Dept Space Phys, Wuhan 430072, Hubei, Peoples R China; [Chen, Xiang-Cai] Univ Ctr Svalbard, Longyearbyen, Norway; [Chen, Xiang-Cai] Univ Oslo, Dept Phys, Oslo, Norway; [Chen, Xiang-Cai] Birkeland Ctr Space Sci, Bergen, Norway</t>
  </si>
  <si>
    <t>Polar Research Institute of China; Memorial University Newfoundland; Wuhan University; University Centre Svalbard (UNIS); University of Oslo</t>
  </si>
  <si>
    <t>huzejun@pric.org.cn; bbni@whu.edu.cn</t>
  </si>
  <si>
    <t>Hu, Ze-Jun/X-8090-2019; Han, Desheng/P-2663-2017; Chen, Xiangcai/S-9746-2019; Han, Desheng/H-6971-2018</t>
  </si>
  <si>
    <t>Hu, Ze-Jun/0000-0003-2448-2094; Chen, Xiangcai/0000-0002-6325-5049; Han, Desheng/0000-0002-6635-9214</t>
  </si>
  <si>
    <t>National Natural Science Foundation of China [41274164, 41031064, 41004061, 41204120, 41474141, 41374161]; Public Science and Technology Research Funds Projects of Ocean [201005017]; Chinese Arctic and Antarctic Administration [IC201205]; Fundamental Research Funds for the Central Universities [2042014kf0251]</t>
  </si>
  <si>
    <t>National Natural Science Foundation of China(National Natural Science Foundation of China (NSFC)); Public Science and Technology Research Funds Projects of Ocean; Chinese Arctic and Antarctic Administration; Fundamental Research Funds for the Central Universities(Fundamental Research Funds for the Central Universities)</t>
  </si>
  <si>
    <t>The OMNI data are from the OMNIWeb (http://omniweb.gsfc.nasa.gov/), and the ACE data are from the Coordinated Data Analysis Web (http://cdaweb.gsfc.nasa.gov/istp_public/). This research was supported by the National Natural Science Foundation of China (41274164, 41031064, 41004061, 41204120, 41474141, and 41374161) and Public Science and Technology Research Funds Projects of Ocean (201005017). Z.-J. H. acknowledges the financial support of the Chinese Arctic and Antarctic Administration (grant IC201205). B.N. also acknowledges the support from the Fundamental Research Funds for the Central Universities (grant 2042014kf0251). We also thank the reviewers for their careful examinations of and constructive comments on our manuscript.</t>
  </si>
  <si>
    <t>10.1002/2014JA020180</t>
  </si>
  <si>
    <t>CA8IG</t>
  </si>
  <si>
    <t>WOS:000349161100053</t>
  </si>
  <si>
    <t>Yang, SG; Zhang, BC; Fang, HX; Liu, JM; Zhang, QH; Hu, HQ; Liu, RY; Li, CY</t>
  </si>
  <si>
    <t>Yang, Sheng-Gao; Zhang, Bei-Chen; Fang, Han-Xian; Liu, Jun-Ming; Zhang, Qing-He; Hu, Hong-Qiao; Liu, Rui-Yuan; Li, Chong-Yin</t>
  </si>
  <si>
    <t>F-lacuna at cusp latitude and its associated TEC variation</t>
  </si>
  <si>
    <t>ELECTRON-TEMPERATURE; IONOSPHERE; FEATURES; REGION; FIELDS; STORM</t>
  </si>
  <si>
    <t>As a frequent phenomenon occurring during summer days in high-latitude ionosphere, the F-lacuna manifests itself as disappearance of F region ionogram traces. Based on the 7.5 min interval Digisonde ionograms recorded at Zhongshan station (69.4 degrees S, 76.4 degrees E geographic coordinates; 74.5 degrees S, 96.0 degrees E corrected geomagnetic coordinates), we present temporal characteristics of the F-lacuna, as well as its correlation with geomagnetic activity, interplanetary magnetic field, and colocated TEC. Magnetic Local Time (MLT) distribution of the F-lacuna occurrence exhibits a dawn-dusk asymmetry. All types of F-lacuna favor the dawn sector, mainly occurring at 08:00-11:00MLT for F1 and total lacuna, 6:00-8:00MLT for F2-lacuna. The magnetic activity is found to have a strong positive correlation with the F2 and total lacuna. F2-lacuna occurrence is favored by southward component of interplanetary magnetic field (IMF), and total lacuna by high values of either eastward or westward component. It is worth to mention that the F-lacuna associates with the simultaneous total electron content (TEC) condition which has a positive correlation with F1-lacuna occurrence, while a strong negative correlation with the F2 and total lacuna. The associated TEC variation may provide a significant evidence for interpreting the F-lacuna phenomenon.</t>
  </si>
  <si>
    <t>[Yang, Sheng-Gao; Fang, Han-Xian; Li, Chong-Yin] PLA Univ Sci &amp; Technol, Inst Meteorol &amp; Ocean, Nanjing, Jiangsu, Peoples R China; [Yang, Sheng-Gao; Zhang, Bei-Chen; Liu, Jun-Ming; Hu, Hong-Qiao; Liu, Rui-Yuan] Polar Res Inst China, SOA Key Lab Polar Sci, Shanghai, Peoples R China; [Zhang, Qing-He] Shandong Univ, Inst Space Sci, Shandong Prov Key Lab Opt Astron &amp; Solar Terr Env, Weihai, Peoples R China; [Li, Chong-Yin] Chinese Acad Sci, Beijing, Peoples R China</t>
  </si>
  <si>
    <t>Polar Research Institute of China; Shandong University; Chinese Academy of Sciences</t>
  </si>
  <si>
    <t>Yang, SG (corresponding author), PLA Univ Sci &amp; Technol, Inst Meteorol &amp; Ocean, Nanjing, Jiangsu, Peoples R China.</t>
  </si>
  <si>
    <t>shenggao_yang@163.com</t>
  </si>
  <si>
    <t>Zhang, Qing-He/G-4572-2014</t>
  </si>
  <si>
    <t>Zhang, Qing-He/0000-0003-2429-4050; Zhang, Beichen/0000-0002-0927-9568</t>
  </si>
  <si>
    <t>National Basic Research Program [2012CB825603]; Special Program of National Key Laboratory [Y22612A33S]; National Natural Science Foundation [41274148, 40505005, 41104090, 41431072, 41274149]; Polar Environment Comprehensive Investigation and Assessment Programs [CHINARE 2014-02-03]; International Collaboration Supporting Project, Chinese Arctic and Antarctic Administration [IC201511]</t>
  </si>
  <si>
    <t>National Basic Research Program(National Basic Research Program of China); Special Program of National Key Laboratory; National Natural Science Foundation(National Natural Science Foundation of China (NSFC)); Polar Environment Comprehensive Investigation and Assessment Programs; International Collaboration Supporting Project, Chinese Arctic and Antarctic Administration</t>
  </si>
  <si>
    <t>This work was supported by the National Basic Research Program (grant 2012CB825603), the Special Program of National Key Laboratory (Y22612A33S), the National Natural Science Foundation (grant 41274148, 40505005, 41104090, 41431072, and 41274149), the Polar Environment Comprehensive Investigation and Assessment Programs (CHINARE 2014-02-03), and the International Collaboration Supporting Project, Chinese Arctic and Antarctic Administration (IC201511). The authors are grateful to all those who contribute to the maintenance of the station and data fathering at Zhongshan station, Antarctica. The authors thank the ACE/MAG instrument team and the ACE Science Center (http://www.srl.caltech.edu/ACE/ASC) for providing the IMF data. The authors thank the World Data Center for Geomagnetism, Kyoto (http://wdc.kugi.kyoto-u.ac.jp/wdc/Sec3.html) for its geomagnetic index.</t>
  </si>
  <si>
    <t>10.1002/2014JA020607</t>
  </si>
  <si>
    <t>WOS:000349161100073</t>
  </si>
  <si>
    <t>Maldonado, A; Bohoyo, F; Galindo-Zaldívar, J; Hernández-Molina, FJ; Lobo, FJ; Lodolo, E; Martos, YM; Pérez, LF; Schreider, AA; Somoza, L</t>
  </si>
  <si>
    <t>Maldonado, Andres; Bohoyo, Fernando; Galindo-Zaldivar, Jesus; Hernandez-Molina, F. Javier; Lobo, Francisco J.; Lodolo, Emanuele; Martos, Yasmina M.; Perez, Lara F.; Schreider, Anatoly A.; Somoza, Luis</t>
  </si>
  <si>
    <t>A model of oceanic development by ridge jumping: Opening of the Scotia Sea</t>
  </si>
  <si>
    <t>GLOBAL AND PLANETARY CHANGE</t>
  </si>
  <si>
    <t>Ocean gateways; Scotia Arc; Drake Passage; Oceanic spreading; Back-arc basins; Cenozoic paleoceanography and climate</t>
  </si>
  <si>
    <t>ANTARCTICA PLATE BOUNDARY; SHACKLETON FRACTURE-ZONE; TIERRA-DEL-FUEGO; DRAKE PASSAGE; MAGNETIC-ANOMALIES; TECTONIC EVOLUTION; CIRCUMPOLAR CURRENT; POWELL BASIN; ARC; MARGIN</t>
  </si>
  <si>
    <t>Ona Basin is a small intra-oceanic basin located in the southwestern corner of the Scotia Sea. This region is crucial for an understanding of the early phases of opening of Drake Passage, since it may contain the oldest oceanic crust of the entire western Scotia Sea, where conflicting age differences from Eocene to Oligocene have been proposed to date. The precise timing of the gateway opening between the Pacific and Atlantic oceans, moreover, has significant paleoceanographic and global implications. Two sub-basins are identified in this region, the eastern and western Ona basins, separated by the submarine relief of the Ona High. A dense geophysical data set collected during the last two decades is analyzed here. The data include multichannel seismic reflection profiles, and magnetic and gravimetric data. The oceanic basement is highly deformed by normal, reverse and transcurrent faults, as well as affected by deep intrusions from the mantle. The initial extension and continental thinning, with subsequent oceanic spreading, were followed by compression and thrusting. Several elongated troughs, bounded by faults, depict a thick sequence of depositional units in the basin. Eight seismic units are identified in a deep trough of the eastern Ona Basin. The deposits reach a thickness of 5 km, a consistent value not previously reported from the Scotia Sea. A body of chaotic seismic fades is also observed above the thinned continental crust of the Ona High. Magnetic seafloor anomalies older than C10 (similar to 28.5 Ma) may be present in the region. The anomalies could include up to chron C12r (similar to 32 Ma), although their identification is difficult, since the amplitude is subdued and the original oceanic crust was highly deformed by later faulting and thrusting. The magnetic anomaly distribution is not congruent with seafloor spreading from a single ridge. The basin plain is tilted and subducted southwestward below the South Shetland Islands Block, particularly in the western part, where an accretionary prism is identified. Such tectonics, locally affecting up to the most recent deposits, imply that a portion of the primitive oceanic crust is absent. Based on the stratigraphy of the deposits and the magnetic anomalies, an age of 44 Ma is postulated for the initiation of oceanic spreading in the eastern Ona basin, while spreading in the western Ona Basin would have occurred during the early Oligocene. The tectonics, depositional units and the age of the oceanic crust provide additional evidence regarding the Eocene opening of Drake Passage. The initial tectonic fragmentation of the South America-Antarctic Bridge, followed by oceanic spreading, was characterized by jumping of the spreading centers. An Eocene spreading center in the eastern Ona Basin was the precursor of the Scotia Sea. A model comprising four tectonic evolutionary phases is proposed: Phase I, Pacific subduction - Paleocene to middle Eocene; Phase II, eastern Ona back-arc spreading - middle to late Eocene; Phase III, ridge jumping and western Ona back-arc spreading - early Oligocene; and Phase IV, ridge jumping and West Scotia Ridge spreading - early Oligocene to late Miocene. The development of shallow gateways allowed for an initial connection between the Pacific and Atlantic oceans and, hence, initiated the thermal isolation of Antarctica during the middle and late Eocene. Deep gateways that enhanced the full isolation of Antarctica developed in Drake Passage from the Eocene/Oligocene transition onward. A significant correlation is observed between the tectonics, stratigraphic units and major climate events, thereby indicating the influence of the local tectonic and paleoceanographic events of the Southern Ocean on global evolution. (C) 2014 Published by Elsevier B.V.</t>
  </si>
  <si>
    <t>[Maldonado, Andres; Galindo-Zaldivar, Jesus; Lobo, Francisco J.; Martos, Yasmina M.; Perez, Lara F.] Inst Andaluz Ciencias Tierra, CSIC UGR, Granada, Spain; [Bohoyo, Fernando; Somoza, Luis] Inst Geol &amp; Minero Espana, Madrid, Spain; [Galindo-Zaldivar, Jesus] Univ Granada, Dept Geodinam, Granada, Spain; [Hernandez-Molina, F. Javier] Royal Holloway Univ London, Dept Earth Sci, Egham, Surrey, England; [Lodolo, Emanuele] Ist Nazl Oceanog &amp; Geofis Sperimentale OGS, Trieste, Italy; [Schreider, Anatoly A.] Russian Acad Sci, PP Shirshov Oceanol Inst, Moscow, Russia</t>
  </si>
  <si>
    <t>University of Granada; Consejo Superior de Investigaciones Cientificas (CSIC); CSIC - Instituto Andaluz de Ciencias de la Tierra (IACT); University of Granada; University of London; Royal Holloway University London; Istituto Nazionale di Oceanografia e di Geofisica Sperimentale; Russian Academy of Sciences; Shirshov Institute of Oceanology</t>
  </si>
  <si>
    <t>Maldonado, A (corresponding author), Inst Andaluz Ciencias Tierra, CSIC UGR, Campus Fuentenueva, Granada, Spain.</t>
  </si>
  <si>
    <t>amaldona@ugr.es; f.bohoyo@igme.es; jgalindo@ugr.es; Javier.Hemandez-Molina@rhul.ac.uk; pacolobo@ugr.es; elodolo@ogs.trieste.it; yasmartos@ugr.es; lfperez@iact.ugr-csic.es; aschr@ocean.ru; l.somoza@igme.es</t>
  </si>
  <si>
    <t>Galindo-Zaldivar, Jesus/K-3640-2012; Somoza, Luis/C-1400-2010; Sazhneva, Alexandra/HPG-9897-2023; Pérez, Lara F./H-3572-2015; Bohoyo, Fernando/AAZ-5990-2021; Bohoyo, Fernando/C-1062-2011; Lobo, Francisco José/J-9836-2012</t>
  </si>
  <si>
    <t>Galindo-Zaldivar, Jesus/0000-0002-3493-2637; Somoza, Luis/0000-0001-5451-2288; Pérez, Lara F./0000-0002-6229-4564; Bohoyo, Fernando/0000-0002-1044-8816; Bohoyo, Fernando/0000-0002-1044-8816; Lobo, Francisco José/0000-0002-3294-7202; LODOLO, Emanuele/0000-0002-4706-2095</t>
  </si>
  <si>
    <t>Spain's Antarctic Research Program; FPI; JAE-Predoc programs; Italian PNRA (Programma Nazionale di Ricerche in Antartide); [PN-MICINN-CTM2008-06386-CO2-01/02]; [CTM2011-30241-C02-01/02]</t>
  </si>
  <si>
    <t>Spain's Antarctic Research Program; FPI(Spanish Government); JAE-Predoc programs; Italian PNRA (Programma Nazionale di Ricerche in Antartide)(Ministry of Education, Universities and Research (MIUR)); ;</t>
  </si>
  <si>
    <t>Funding was provided by Spain's Antarctic Research Program, presently under the management of the Ministerio de Economia y Competitividad, to the SCAN (SCotia-ANtarctic) projects, active in the region since 1992. We thank the Commander, officers and crew of the BIO HESPERIDES for their support in obtaining the data, sometimes under severe sea conditions. Particularly, this work was undertaken within the objectives of projects PN-MICINN-CTM2008-06386-CO2-01/02 and CTM2011-30241-C02-01/02, also supported by the FPI and JAE-Predoc programs. Additional funds were provided by the Italian PNRA (Programma Nazionale di Ricerche in Antartide). This research is also related with the CTM 2012-39599-C03, IGCP-619 and INQUA 1204 Projects. We acknowledge the database obtained from the Antarctic Seismic Data Library System. LawrenceLawver provided the continental reconstructions used in the plate tectonics shown in Fig. 8. We also thank A. Caballero for his instrumental help in preparing the figures. Finally, we thank Philip Leat, as editor, and Karsten Gohl and Robert D. Larter for the positive review of the first version of the manuscript that significantly helped to improve the final version of this contribution.</t>
  </si>
  <si>
    <t>0921-8181</t>
  </si>
  <si>
    <t>1872-6364</t>
  </si>
  <si>
    <t>GLOBAL PLANET CHANGE</t>
  </si>
  <si>
    <t>Glob. Planet. Change</t>
  </si>
  <si>
    <t>10.1016/j.gloplacha.2014.06.010</t>
  </si>
  <si>
    <t>AY5DC</t>
  </si>
  <si>
    <t>WOS:000347592400002</t>
  </si>
  <si>
    <t>Carbonell, PJT; Dimieri, LV; Olivero, EB; Bohoyo, F; Galindo-Zaldívar, J</t>
  </si>
  <si>
    <t>Torres Carbonell, Pablo J.; Dimieri, Luis V.; Olivero, Eduardo B.; Bohoyo, Fernando; Galindo-Zaldivar, Jesus</t>
  </si>
  <si>
    <t>Structure and tectonic evolution of the Fuegian Andes (southernmost South America) in the framework of the Scotia Arc development</t>
  </si>
  <si>
    <t>Orocline; Continental bridge; Backstop; Fagnano transform; Fuegian Andes; Scotia Sea</t>
  </si>
  <si>
    <t>TIERRA-DEL-FUEGO; DARWIN METAMORPHIC COMPLEX; THRUST-FOLD BELT; CORDILLERA-DARWIN; BACK-ARC; DRAKE PASSAGE; STRATIGRAPHIC RECORD; FORELAND THRUST; PLATE BOUNDARY; GEORGIA-ISLAND</t>
  </si>
  <si>
    <t>The major structural and tectonic features of the Fuegian Andes provide an outstanding onshore geological framework that aids in the understanding of the tectonic evolution of the Scotia Arc, mainly known from offshore studies. The orogenic history of the Fuegian Andes (Late Cretaceous-Miocene) is thus compared and integrated with the tectonic history of the Scotia Sea. Late Cretaceous-Paleocene structures in the Fuegian Andes suggest a N-directed contraction consistent with an oroclinal bending of the southernmost South America-Antarctic Peninsula continental bridge. This N-directed contraction in the Fuegian Andes continued during the spreading of the West Scotia Ridge, between 40-50 and 10 Ma ago. The onset of major strike-slip faulting in Tierra del Fuego is considered here to be not older than the late Miocene, consistent with the recent history of the North Scotia Ridge; thus forming part of a tectonic regime superposed to the prior contraction in the Fuegian Andes. (C) 2014 Elsevier B.V. All rights reserved.</t>
  </si>
  <si>
    <t>[Torres Carbonell, Pablo J.; Olivero, Eduardo B.] Ctr Austral Invest Cient CADIC CONICET, RA-9410 Ushuaia, Tierra Del Fueg, Argentina; [Dimieri, Luis V.] Univ Nacl Sur, Dept Geol, Inst Geol Sur INGEOSUR CONICET, RA-8000 Bahia Blanca, Buenos Aires, Argentina; [Bohoyo, Fernando] Inst Geol &amp; Minero Espana, Madrid 28760, Spain; [Galindo-Zaldivar, Jesus] Univ Granada, Dept Geodinam, E-18071 Granada, Spain; [Galindo-Zaldivar, Jesus] Univ Granada, Inst Andaluz Ciencias Tierra, CSIC, Granada 18100, Spain</t>
  </si>
  <si>
    <t>Consejo Nacional de Investigaciones Cientificas y Tecnicas (CONICET); National University of the South; University of Granada; University of Granada; Consejo Superior de Investigaciones Cientificas (CSIC); CSIC - Instituto Andaluz de Ciencias de la Tierra (IACT)</t>
  </si>
  <si>
    <t>Carbonell, PJT (corresponding author), Ctr Austral Invest Cient, Bernardo A Houssay 200, RA-9410 Ushuaia, Tierra Del Fueg, Argentina.</t>
  </si>
  <si>
    <t>torrescarbonell@cadic-conicet.gob.ar; ldimieri@uns.edu.ar; emolivero@gmail.com; f.bohoyo@igme.es; jgalindo@ugr.es</t>
  </si>
  <si>
    <t>Bohoyo, Fernando/C-1062-2011; Galindo-Zaldivar, Jesus/K-3640-2012; Bohoyo, Fernando/AAZ-5990-2021</t>
  </si>
  <si>
    <t>Bohoyo, Fernando/0000-0002-1044-8816; Galindo-Zaldivar, Jesus/0000-0002-3493-2637; Bohoyo, Fernando/0000-0002-1044-8816; Torres Carbonell, Pablo/0000-0003-2804-8789</t>
  </si>
  <si>
    <t>Conexion Pacifico-Atlantico, correlacion tectonica tierra-mar y margenes continentales, Ministerio de Economia y Competitividad, Esparia [CUM 2011-30241-C02-02]; ANPCyT-FONCyT (Argentina) [PICTO 114, PICT 2495, PCT 166]; CONICET [PIP 390]; SECyT-UNS [Pgi 24/H117]; Administracion de Parques Nacionales from Argentina [1140-2013]</t>
  </si>
  <si>
    <t>Conexion Pacifico-Atlantico, correlacion tectonica tierra-mar y margenes continentales, Ministerio de Economia y Competitividad, Esparia; ANPCyT-FONCyT (Argentina)(ANPCyTFONCyT); CONICET(Consejo Nacional de Investigaciones Cientificas y Tecnicas (CONICET)); SECyT-UNS(Secretaria de Ciencia y Tecnologia (SECYT)); Administracion de Parques Nacionales from Argentina</t>
  </si>
  <si>
    <t>Financed with Conexion Pacifico-Atlantico, correlacion tectonica tierra-mar y margenes continentales (CUM 2011-30241-C02-02), Ministerio de Economia y Competitividad, Esparia; ANPCyT-FONCyT (Argentina) PICTO 114, PICT 2495, and 166; CONICET PIP 390, and SECyT-UNS Pgi 24/H117. The Administracion de Parques Nacionales from Argentina allowed the collection and study of rock samples shown in Fig. 4A-D (Project 1140-2013). Enriching discussions with I. Dalziel, L Lawyer and A. Maestro are greatly appreciated. We acknowledge the very constructive reviews of two anonymous referees, and the Guest Editor A. Maldonado. Seismic sections in Fig. 6 are courtesy from Pan American Energy.</t>
  </si>
  <si>
    <t>10.1016/j.gloplacha.2014.07.019</t>
  </si>
  <si>
    <t>WOS:000347592400003</t>
  </si>
  <si>
    <t>Eagles, G; Scott, BGC</t>
  </si>
  <si>
    <t>Eagles, Graeme; Scott, Benjamin G. C.</t>
  </si>
  <si>
    <t>Plate convergence west of Patagonia and the Antarctic Peninsula since 61 Ma</t>
  </si>
  <si>
    <t>Antarctica; Pacific Ocean; Fracture zones; Plate motion; Seafloor spreading; Subduction</t>
  </si>
  <si>
    <t>TIERRA-DEL-FUEGO; ANIMATED TECTONIC RECONSTRUCTION; DRAKE PASSAGE; SOUTH-AMERICA; SUBDUCTION HISTORY; FRACTURE-ZONE; SLAB WINDOWS; CHILE; RIDGE; PACIFIC</t>
  </si>
  <si>
    <t>A new plate kinematic model portrays plate motions immediately west and south of Drake Passage in the southeast Pacific Ocean. Overall intermediate-to-slow rate spreading generated oceanic lithosphere as the Phoenix plate diverged from the Antarctic plate. The model shows a history of Phoenix plate motion that is interpretable as having been affected by a northeast-increasing gradient in the slab pull force since chron 18 (39 Ma), during which time newer, less dense lithosphere was subducting in the southwest than in the northeast. The model allows first calculations of Phoenix-Farallon (Nazca) plate motion parameters in the south Pacific plate circuit. Using these parameters, it is possible to show that the simplest assumptions about the ridge's segmentation, length and migration are consistent with existing suggestions of its location from consideration of slab window-related volcanism at sites in South America around 50 and 20 Ma. The parameters thus define ridge locations that can be used to define which plates were subducting beneath South America and the Magallanes and Antarctic plates, and when. We consider the relationships between the plate convergence rate, obliquity and the history of magmatism on the Antarctic Peninsula and at the North Patagonian batholith, showing that magmatic pulses can be related to accelerations in the plate convergence rate. Between these settings, Phoenix-South American plate motion was almost parallel to the Fuegian trench. Here, magmatism in Paleocene to early Miocene times must be related to the presence of a slab subducted beneath the region by the less oblique collision further north. Later magmatism can be related to migration of the Phoenix-Farallon ridge and Phoenix-Farallon-Antarctic triple junction into the area south of the Fuegian margin, which brought it into slow low-obliquity convergence with first Farallon and then Antarctic plate lithosphere. (C) 2014 Elsevier B.V. All rights reserved.</t>
  </si>
  <si>
    <t>[Eagles, Graeme] Helmholtz Ctr Polar &amp; Marine Res, Alfred Wegener Inst, D-27568 Bremerhaven, Germany; [Scott, Benjamin G. C.] Royal Holloway Univ London, Dept Earth Sci, Egham TW20 0EX, Surrey, England</t>
  </si>
  <si>
    <t>Helmholtz Association; Alfred Wegener Institute, Helmholtz Centre for Polar &amp; Marine Research; University of London; Royal Holloway University London</t>
  </si>
  <si>
    <t>Eagles, G (corresponding author), Helmholtz Ctr Polar &amp; Marine Res, Alfred Wegener Inst, Alten Hafen 26, D-27568 Bremerhaven, Germany.</t>
  </si>
  <si>
    <t>Eagles, Graeme/0000-0001-5325-0810</t>
  </si>
  <si>
    <t>10.1016/j.gloplacha.2014.08.002</t>
  </si>
  <si>
    <t>WOS:000347592400004</t>
  </si>
  <si>
    <t>Janik, T; Grad, M; Guterch, A; Sroda, P</t>
  </si>
  <si>
    <t>Janik, Tomasz; Grad, Marek; Guterch, Aleksander; Sroda, Piotr</t>
  </si>
  <si>
    <t>The deep seismic structure of the Earth's crust along the Antarctic Peninsula-A summary of the results from Polish geodynamical expeditions</t>
  </si>
  <si>
    <t>Antarctic Peninsula; Bransfild Strait; West Antarctica; Crustal structure; Moho depth; Subduction zone</t>
  </si>
  <si>
    <t>TECTONIC EVOLUTION; BRANSFIELD STRAIT; WEST-ANTARCTICA; MARGIN; RIDGE; TRENCH; BASIN; RIFT; LITHOSPHERE; GRAVITY</t>
  </si>
  <si>
    <t>A summary of the results of four Polish geophysical expeditions, which constituted an extensive programme of seismic wide-angle refraction experiments in the northern Antarctic Peninsula region between 1979 and 1991, is analysed here. The results include the interpretation of 20 deep seismic sounding profiles located along the western coast of the Antarctic Peninsula. Additionally, a few shallow seismic profiles in the Deception Island area and a total of 10 reflection profiles from the Bransfield Strait and Drake Passage area were carried out. Crustal velocity models extending across the Antarctic Peninsula continental shelf between the Adelaide Island and the Bransfield Strait show a typical continental crustal structure, with crustal thicknesses of 36-42 km near the coast that decreases to 25-28 km beneath the outer continental shelf. Farther north in the Bransfield Strait region, the models document a southeastward dip of the Moho discontinuity from a depth of 12 km beneath the South Shetland Trench to 40 km under the northern tip of the Antarctic Peninsula. Beneath the trough of the Bransfield Strait, a high-velocity body with P-wave velocities exceeding 7.0 km/s was detected in a depth range of 6-32 km. (C) 2014 Elsevier B.V. All rights reserved.</t>
  </si>
  <si>
    <t>[Janik, Tomasz; Guterch, Aleksander; Sroda, Piotr] Polish Acad Sci, Inst Geophys, PL-01452 Warsaw, Poland; [Grad, Marek] Univ Warsaw, Fac Phys, Inst Geophys, PL-02093 Warsaw, Poland</t>
  </si>
  <si>
    <t>Polish Academy of Sciences; Institute of Geophysics of the Polish Academy of Sciences; University of Warsaw</t>
  </si>
  <si>
    <t>Janik, T (corresponding author), Polish Acad Sci, Inst Geophys, Ks Janusza 64, PL-01452 Warsaw, Poland.</t>
  </si>
  <si>
    <t>janik@igf.edu.pl</t>
  </si>
  <si>
    <t>Janik, Tomasz/AAZ-8460-2021</t>
  </si>
  <si>
    <t>Janik, Tomasz/0000-0002-5915-9740</t>
  </si>
  <si>
    <t>Ministry of Science and Higher Education of Poland [3841/E-41/S/2014]</t>
  </si>
  <si>
    <t>Ministry of Science and Higher Education of Poland(Ministry of Science and Higher Education, Poland)</t>
  </si>
  <si>
    <t>The authors are grateful to Andres Maldonado, G. Randy Keller, and two anonymous reviewers for helpful comments and suggestions. The public domain GMT package (Wessel and Smith, 1995) was used to produce some of the maps. This work was supported within statutory activities no 3841/E-41/S/2014 of the Ministry of Science and Higher Education of Poland.</t>
  </si>
  <si>
    <t>10.1016/j.gloplacha.2014.08.018</t>
  </si>
  <si>
    <t>WOS:000347592400006</t>
  </si>
  <si>
    <t>Vuan, A; Sugan, M; Linares, MPP</t>
  </si>
  <si>
    <t>Vuan, A.; Sugan, M.; Linares, M. P. Plasencia</t>
  </si>
  <si>
    <t>A reappraisal of surface wave group velocity tomography in the Subantarctic Scotia Sea and surrounding ridges</t>
  </si>
  <si>
    <t>Scotia Sea; Surface wave tomography; Group velocity; Love waves; Rayleigh waves; Antarctica</t>
  </si>
  <si>
    <t>UPPER-MANTLE STRUCTURE; RELATIVE PLATE MOTIONS; TECTONIC EVOLUTION; STRUCTURE BENEATH; DRAKE PASSAGE; BRANSFIELD STRAIT; CRUSTAL STRUCTURE; SEISMIC STRUCTURE; WEST ANTARCTICA; SOUTH-ATLANTIC</t>
  </si>
  <si>
    <t>A reappraisal of surface wave tomography in the remote Scotia Sea region and surrounding ridges is presented. New group velocity dispersion curves were obtained from local and regional earthquakes recorded at permanent Antarctic stations from 2001 to 2013 and used to update the measurements reported by Vuan et al. (2000). Rayleigh and Love group velocity maps for periods ranging from 15 to 50 s were retrieved using a tomographic inversion. The group velocity anomalies are clearly associated with the major crustal and upper mantle features of the Antarctic, Scotia and South American plates. The updated dataset allows for considerable decrease of the correlation length of the crustal heterogeneities that can be resolved, especially in the west Scotia Sea, central Scotia Sea and Bransfield Basin. Surface wave tomography results were compared with CRUST 1.0 group velocity maps and revealed specific areas where more detailed information is made available by our regional study. In particular, low group velocity anomalies of the Bransfield Strait rifting and continental fragments that are detached from the Antarctic Peninsula and spreading along the South Scotia ridge are not shown by the reference CRUST 1.0 model. A comparison between the average seismic velocities beneath the west and central Scotia Sea shows that both have an oceanic-type structure; however, the crust of the central sea is thicker (12-14 km) and slower than that of the 20 Ma old western sea. (C) 2014 Elsevier B.V. All rights reserved.</t>
  </si>
  <si>
    <t>[Vuan, A.] OGS Ist Nazl Oceanog &amp; Geofis Sperimentale, Ctr Ric Sismol, I-34010 Sgonico, TS, Italy; [Sugan, M.; Linares, M. P. Plasencia] OGS Ist Nazl Oceanog &amp; Geofis Sperimentale, Ctr Ric Sismol, I-33100 Cussiginacco, UD, Italy</t>
  </si>
  <si>
    <t>Istituto Nazionale di Oceanografia e di Geofisica Sperimentale</t>
  </si>
  <si>
    <t>Vuan, A (corresponding author), OGS Ist Nazl Oceanog &amp; Geofis Sperimentale, Ctr Ric Sismol, Forgo Grotto Gigante 42c, I-34010 Sgonico, TS, Italy.</t>
  </si>
  <si>
    <t>avuan@inogs.it</t>
  </si>
  <si>
    <t>Vuan, Alessandro/AAC-9665-2021; Vuan, Alessandro/GLR-3168-2022; Vuan, Alessandro/B-7115-2014</t>
  </si>
  <si>
    <t>PLASENCIA LINARES, Milton Percy/0000-0002-6218-8411; Sugan, Monica/0000-0002-1247-3193; Vuan, Alessandro/0000-0001-5536-1717</t>
  </si>
  <si>
    <t>Italian Programma Nazionale di Ricerche in Antartide (PNRA) [PdR2009/A2.17, PdR2009/B.07]</t>
  </si>
  <si>
    <t>Italian Programma Nazionale di Ricerche in Antartide (PNRA)</t>
  </si>
  <si>
    <t>We would like to thank the Institut Antartico Argentino, Claudio Cravos, Roberto Laterza and Paolo Comelli for their efforts in the management of the Antarctic stations and data acquisition and the IRIS consortium for providing us with data from Global Seismographic Network stations. The public domain GMT software by Wessel and Smith (1991) was used for drawing figures. We would like to thank Bob Herrmann, Nick Rawlinson and Tatiana Yanovskaya for making available the codes used in this work and Angela Sarao and Emanuele Lodolo for the comments and suggestions. The authors are grateful to the anonymous referees and guest editors for their constructive remarks. The Italian Programma Nazionale di Ricerche in Antartide (PNRA) funded this research within the framework of the projects PdR2009/A2.17 and PdR2009/B.07.</t>
  </si>
  <si>
    <t>10.1016/j.gloplacha.2014.07.020</t>
  </si>
  <si>
    <t>WOS:000347592400007</t>
  </si>
  <si>
    <t>Martos, YM; Catalán, M; Galindo-Zaldívar, J; Maldonado, A; Bohoyo, F</t>
  </si>
  <si>
    <t>Martos, Yasmina M.; Catalan, Manuel; Galindo-Zaldivar, Jesus; Maldonado, Andres; Bohoyo, Fernando</t>
  </si>
  <si>
    <t>Insights about the structure and evolution of the Scotia Arc from a new magnetic data compilation</t>
  </si>
  <si>
    <t>Magnetic anomalies; Analytic signal map; Magnetic models; Pacific Margin Anomaly; Tectonic reconstruction; Antarctica</t>
  </si>
  <si>
    <t>ANTARCTICA PLATE BOUNDARY; SHACKLETON FRACTURE-ZONE; ANIMATED TECTONIC RECONSTRUCTION; DRAKE PASSAGE; ANALYTIC SIGNAL; SOUTH-ATLANTIC; POWELL BASIN; SEA; PACIFIC; RIDGE</t>
  </si>
  <si>
    <t>Analysis of a new regional compilation of magnetic anomalies from marine, aeromagnetic and satellite data reveals the main structural/tectonic elements of the Scotia Arc. The most relevant magnetic anomaly in the continental crust, the Pacific Margin Anomaly (PMA), is related to composite magmatic arc batholiths. It was emplaced by subduction processes along the Pacific continental margin of the Antarctic Peninsula and can be followed within the continental blocks of the South Scotia Ridge and South America. Four representative magnetic profiles also show the structure in depth, and allow us to characterize the main crustal elements of the region. The new compilation and models improve our knowledge of the Scotia Arc's development. The PMA is seen to have a roughly W-E orientation, decreasing in intensity eastwards from the Pacific Margin of the Antarctic Peninsula, and extending towards the South Scotia Ridge to Discovery Bank and even to Herdman Bank. However, the identification of the PMA in the North Scotia Ridge is uncertain, since the magnetic anomalies and the modeled profiles do not support the presence of an important batholithic body. This setting can be attributed to the kinematics of subduction, almost orthogonal to the Pacific margin of the Antarctic Peninsula and oblique along the South American margin. Based on the new magnetic anomaly map, magnetic modeling, and the continuity of the PMA along the Antarctic Peninsula and South Scotia Ridge, we propose a reconstruction of the initial distribution of the main continental blocks in the initial stages during the Cretaceous. The anomalies identified in the northern Scotia Sea are probably related to local basic and/or intermediate igneous rocks intruded in pull-apart basins that developed in the South America-Antarctica plate boundary deformation zone during the initial stages of South Atlantic Ocean and Weddell Sea spreading. (C) 2014 Elsevier B.V. All rights reserved.</t>
  </si>
  <si>
    <t>[Martos, Yasmina M.; Galindo-Zaldivar, Jesus; Maldonado, Andres] Univ Granada, CSIC, Inst Andaluz Ciencias Tierra, Granada 18100, Spain; [Catalan, Manuel] Real Inst Observ Armada, Cadiz 11100, Spain; [Galindo-Zaldivar, Jesus] Univ Granada, Dept Geodinam, E-18071 Granada, Spain; [Bohoyo, Fernando] Inst Geol &amp; Minero Espana, Madrid 28003, Spain</t>
  </si>
  <si>
    <t>Consejo Superior de Investigaciones Cientificas (CSIC); CSIC - Instituto Andaluz de Ciencias de la Tierra (IACT); University of Granada; University of Granada</t>
  </si>
  <si>
    <t>Martos, YM (corresponding author), Univ Granada, CSIC, Inst Andaluz Ciencias Tierra, Avda Las Palmeras 4, Granada 18100, Spain.</t>
  </si>
  <si>
    <t>yasmartos@ugr.es</t>
  </si>
  <si>
    <t>Bohoyo, Fernando/C-1062-2011; Galindo-Zaldivar, Jesus/K-3640-2012; Bohoyo, Fernando/AAZ-5990-2021; Catalan, Manuel/R-6956-2018</t>
  </si>
  <si>
    <t>Bohoyo, Fernando/0000-0002-1044-8816; Galindo-Zaldivar, Jesus/0000-0002-3493-2637; Bohoyo, Fernando/0000-0002-1044-8816; Catalan, Manuel/0000-0001-9691-7101</t>
  </si>
  <si>
    <t>Ministerio de Ciencia e Innovacion of Spain (FPI) [BES-2009-026533]; FPI program; [CTM2008-06386-C02/ANT]; [CTM2011-30241-CO2-01/02]</t>
  </si>
  <si>
    <t>Ministerio de Ciencia e Innovacion of Spain (FPI); FPI program; ;</t>
  </si>
  <si>
    <t>The study was funded by the CTM2008-06386-C02/ANT and CTM2011-30241-CO2-01/02 projects and by a pre-doctoral fellowship from the Ministerio de Ciencia e Innovacion of Spain (BES-2009-026533) (FPI). This work also benefited from research stages abroad funded by the FPI program. We acknowledge the comments of Dr. E. Lodolo and two anonymous reviewers that improved the final version of the manuscript. Generic Mapping Tools software was used in this work.</t>
  </si>
  <si>
    <t>10.1016/j.gloplacha.2014.07.022</t>
  </si>
  <si>
    <t>WOS:000347592400008</t>
  </si>
  <si>
    <t>Pérez, LF; Lodolo, E; Maldonado, A; Hernández-Molina, FJ; Bohoyo, F; Galindo-Zaldívar, J; Lobo, FJ; Burca, M</t>
  </si>
  <si>
    <t>Perez, Lara F.; Lodolo, Emanuele; Maldonado, Andres; Hernandez-Molina, F. Javier; Bohoyo, Fernando; Galindo-Zaldivar, Jesus; Jose Lobo, F.; Burca, Mihai</t>
  </si>
  <si>
    <t>Tectonic development, sedimentation and paleoceanography of the Scan Basin (southern Scotia Sea, Antarctica)</t>
  </si>
  <si>
    <t>Basin analysis; Bottom currents; Reflection seismic and gravity; Scotia Sea; Weddell Sea; Antarctica</t>
  </si>
  <si>
    <t>CONTOURITE DEPOSITIONAL SYSTEM; MEDITERRANEAN OUTFLOW WATER; SHACKLETON FRACTURE-ZONE; PLATE BOUNDARY; DRAKE PASSAGE; SEISMIC STRATIGRAPHY; POWELL BASIN; BOTTOM WATER; GALICIA BANK; OCEAN-BASIN</t>
  </si>
  <si>
    <t>The N-S trending Scan Basin is the easternmost deep basin north of the South Scotia Ridge, which is a geologically complex structural elevation that hosts the strike-slip boundary between the Scotia and Antarctic plates. We characterized the main morpho-structural features of the basin by analyzing the available multichannel seismic reflection profiles. The reconstruction of the seismo-stratigraphy reveals the growth patterns of the Scan Basin. Seismic data and gravity modeling support the interpretation that the basin is mainly floored by oceanic crust, however its northern and southern provinces exhibit different seismic attributes. Stratigraphic calibrations with adjacent regions together with the distribution of sedimentary units indicate that this basin was formed by rifting processes and subsequent spreading accretion from the Oligocene to the Miocene. This age attribution suggests that the Scan Basin might be one of the oldest oceanic basins of the southern Scotia Sea possibly coeval with the Eocene-Oligocene opening of the Drake Passage. The basin is the most direct connection between the Weddell Sea and the Scotia Sea, whereas the stratigraphic features reveal the occurrence of major paleoceanographic changes. The initial phases of the evolution were influenced by mass-transport and turbidite processes of sediment supply from the nearby continental margins of the eastern tip of the Antarctic Peninsula. From the Middle Miocene to the Present-day, the eastward motion of the basin due to plate tectonic and the connection with the Weddell Sea through gateways enabled instauration of the overflow of Weddell Sea Deep Water (WSDW) into the Scan Basin. The WSDW forced the northward migration of the Circumpolar Deep Water (CDW) and became progressively dominant controlling depositional patterns. The results that we report here should prove essential for understanding the formation of the Scotia Sea, the beginning of the Scotia Arc fragmentation, and the increasing role played by Weddell Sea/Scotia Sea water-mass exchange. (C) 2014 Elsevier B.V. All rights reserved.</t>
  </si>
  <si>
    <t>[Perez, Lara F.; Maldonado, Andres; Galindo-Zaldivar, Jesus] CSIC UGR, Inst Andaluz Ciencias Tierra, Granada 18100, Spain; [Lodolo, Emanuele; Burca, Mihai] Ist Nazl Oceanog &amp; Geofis Sperimentale, Trieste, Italy; [Hernandez-Molina, F. Javier] Royal Holloway Univ London, Dept Earth Sci, Surrey TW20 0EX, England; [Bohoyo, Fernando] Inst Geol &amp; Minero Espana, Madrid 28003, Spain; [Galindo-Zaldivar, Jesus] Univ Granada, Dpto Geodinam, Fac Ciencias, Granada 18002, Spain</t>
  </si>
  <si>
    <t>Consejo Superior de Investigaciones Cientificas (CSIC); CSIC - Instituto Andaluz de Ciencias de la Tierra (IACT); University of Granada; Istituto Nazionale di Oceanografia e di Geofisica Sperimentale; University of London; Royal Holloway University London; University of Granada</t>
  </si>
  <si>
    <t>Pérez, LF (corresponding author), CSIC UGR, Inst Andaluz Ciencias Tierra, Avd Palmeras 4, Granada 18100, Spain.</t>
  </si>
  <si>
    <t>lfperez@iact.ugr-csic.es; elodolo@ogs.trieste.it; amaldona@ugr.es; Javier.Hemandez-Molina@rhul.ac.uk; f.bohoyo@igme.es; jgalindo@ugr.es; pacolobo@iact.ugr-csic.es; mburca@ogs.trieste.it</t>
  </si>
  <si>
    <t>Bohoyo, Fernando/AAZ-5990-2021; Lobo, Francisco José/J-9836-2012; Bohoyo, Fernando/C-1062-2011; Galindo-Zaldivar, Jesus/K-3640-2012; Burca, Mihai/HRA-4615-2023; Pérez, Lara F./H-3572-2015</t>
  </si>
  <si>
    <t>Bohoyo, Fernando/0000-0002-1044-8816; Lobo, Francisco José/0000-0002-3294-7202; Bohoyo, Fernando/0000-0002-1044-8816; Galindo-Zaldivar, Jesus/0000-0002-3493-2637; Burca, Mihai/0000-0002-2118-4887; Pérez, Lara F./0000-0002-6229-4564; LODOLO, Emanuele/0000-0002-4706-2095</t>
  </si>
  <si>
    <t>Spanish National Research Council (CSIC); Italian Ministry of Education, University and Research; COMPASS consortium; Continental Margins Research Group (CMRG) at Royal Holloway University of London (UK); [CTM2008-06386-CO2-01/02]; [CTM2011-30241-C02-01/02]; [CTM2012-39599-C03]; [IGCP-619]; [INQUA 1204]</t>
  </si>
  <si>
    <t>Spanish National Research Council (CSIC); Italian Ministry of Education, University and Research(Ministry of Education, Universities and Research (MIUR)); COMPASS consortium; Continental Margins Research Group (CMRG) at Royal Holloway University of London (UK); ; ; ; ;</t>
  </si>
  <si>
    <t>This work was undertaken within the objectives of projects CTM2008-06386-CO2-01/02 and CTM2011-30241-C02-01/02. This research is also related with the CTM2012-39599-C03, IGCP-619 and INQUA 1204 Projects. The corresponding author acknowledges a JAE pre-doctoral grant from the Spanish National Research Council (CSIC). We thank OGS for allowing the first author to perform two short-term stays at their headquarters in 2012 and 2013 and the PRNA project Drake funded by the Italian Ministry of Education, University and Research for providing support. This work was also partially supported by the COMPASS consortium and performed in collaboration with the Continental Margins Research Group (CMRG) at Royal Holloway University of London (UK). We thank the Polar Marine Geosurvey Expedition (PMGRE), for the RAE MCS profile, and the Antarctic Seismic Data Library System, for access to data. Finally, we thank Philip Leat, as editor, the one anonymous reviewer and Gerhard Kuhn for the positive review of the first version of the manuscript that significantly helped to improve the final version of this contribution.</t>
  </si>
  <si>
    <t>10.1016/j.gloplacha.2014.06.007</t>
  </si>
  <si>
    <t>WOS:000347592400013</t>
  </si>
  <si>
    <t>Somoza, L; León, R; Medialdea, T; Pérez, LF; González, FJ; Maldonado, A</t>
  </si>
  <si>
    <t>Somoza, Luis; Leon, Ricardo; Medialdea, Teresa; Perez, Lara F.; Gonzalez, Francisco J.; Maldonado, Andres</t>
  </si>
  <si>
    <t>Seafloor mounds, craters and depressions linked to seismic chimneys breaching fossilized diagenetic bottom simulating reflectors in the central and southern Scotia Sea, Antarctica</t>
  </si>
  <si>
    <t>Gas hydrates; Opal-A to Opal-CT; Focused fluid flow; Bottom simulating reflector; Scotia Sea; Antarctica</t>
  </si>
  <si>
    <t>FOCUSED FLUID-FLOW; HYDROCARBON PLUMBING SYSTEMS; PLATE BOUNDARY; MUD VOLCANOS; GAS HYDRATE; SHETLAND MARGIN; SCAN BASIN; OPAL-A; OCEAN; POCKMARKS</t>
  </si>
  <si>
    <t>Based on an extensive dataset including swath bathymetry, chirp sub-bottom profiler (TOPAS) and multi-channel seismic reflection profiles obtained during four cruises in the Scotia Sea aboard the R/V Hesperides, we report a variety of seismic and morphological structures related to focused fluid flow in the Scan Basin (southern Scotia Sea) and the central Scotia Sea (Antarctica). We show that both positive-relief (mounds) and negative-relief (craters and elongated depressions) seafloor morphologies are associated with deep seismic chimneys that link the deep source zone to the subsurface structures through a network of fractures that progressively breach sub-horizontal bands of anomalously high-amplitude reflections. Based on the recognition that these bands of reflections generally mimic the seafloor topography and locally cross-cut the stratigraphic seismic reflections, we recognize three different bottom simulating reflectors (BSRs). According to the theoretical model for hydrate and silica diagenesis stability conditions in the central and southern Scotia Sea and the calculations of temperature and seismic polarity for the three BSRs, we infer that BSR-2 and BSR-3 are reflections caused by the transformation between Opal-A/Opal-CT and Opal-CT/Quartz, respectively. We thus postulate that the successive diagenetic fronts were caused by significantly high geothermal gradients during the early-middle Miocene. In contrast, the low temperatures calculated for the depth of the BSR-1 event rule out its diagenetic origin but delineate the base of the gas hydrate stability zone (GHSZ). An evolutionary model is proposed to explain the plumbing system and chimney structures that help the focused flow of gas-rich fluids to migrate into the subsurface. Firstly, the formation of silica transformation zones may have acted as reservoir traps during Neogene times. Secondly, the progressive decrease of heat flow during the late Pliocene and Quaternary favored the development of the networks of polygonal faults forming collapses and downward tapering chimneys. Finally, seafloor mounds are formed as a result of the continuous injection of gas-enriched fluids through these networks of fractures; they are transformed into gas hydrates above the present base of the GHSZ and move upwards by buoyancy drive as they lose density and increase their volume. We present these structures as type cases that might represent highly concentrated hydrates around local seafloor fluid venting structures. Furthermore, they may be one of the most important conduits into the ocean-atmosphere system for deep methane in the Antarctic seafloor. The breach of BSRs influenced by global warming may induce the catastrophic release of greenhouse gases to the ocean-atmosphere system and, in turn, impact on the Earth's evolution. (C) 2014 Elsevier B.V. All rights reserved.</t>
  </si>
  <si>
    <t>[Somoza, Luis; Leon, Ricardo; Medialdea, Teresa; Gonzalez, Francisco J.] Geol Survey Spain, IGME, Marine Geol Dv, Madrid, Spain; [Perez, Lara F.; Maldonado, Andres] CSIC UGR, Inst Andaluz Ciencias Tierra, Granada, Spain</t>
  </si>
  <si>
    <t>University of Granada; Consejo Superior de Investigaciones Cientificas (CSIC); CSIC - Instituto Andaluz de Ciencias de la Tierra (IACT)</t>
  </si>
  <si>
    <t>Somoza, L (corresponding author), Geol Survey Spain, IGME, Marine Geol Dv, Madrid, Spain.</t>
  </si>
  <si>
    <t>l.somoza@igme.es; r.leon@igme.es; t.medialdea@igme.es; lfperez@iact.ugr-csic.es; fj.gonzalez@igme.es; amaldona@ugr.es</t>
  </si>
  <si>
    <t>Somoza, Luis/C-1400-2010; González, Francisco Javier/C-1416-2010; Pérez, Lara F./H-3572-2015; Medialdea, Teresa/G-2647-2015; Leon, Ricardo/G-8314-2015</t>
  </si>
  <si>
    <t>Somoza, Luis/0000-0001-5451-2288; González, Francisco Javier/0000-0002-6311-1950; Pérez, Lara F./0000-0002-6229-4564; Medialdea, Teresa/0000-0002-7969-5751; Leon, Ricardo/0000-0001-5598-0710</t>
  </si>
  <si>
    <t>Spain's Antarctic Research Programme; Spanish National Research Council (CSIC) program; SUBVENT [CGL2012-39524-C02]; [PN-MICINN-CTM2008-06386-CO2-01/02]; [CTM2011-30241-C02-01/02]</t>
  </si>
  <si>
    <t>Spain's Antarctic Research Programme; Spanish National Research Council (CSIC) program; SUBVENT; ;</t>
  </si>
  <si>
    <t>Funding was provided by Spain's Antarctic Research Programme, presently under the management of the Ministerio de Economia y Competitividad, to the SCAN (SCotia-ANtarctic) projects that have been active in the region since 1992. This work was undertaken within the objectives of projects PN-MICINN-CTM2008-06386-CO2-01/02 and CTM2011-30241-C02-01/02, also supported by a JAE-Predoc from the Spanish National Research Council (CSIC) program. Additional funds were provided by the project SUBVENT (CGL2012-39524-C02). The English syntax was edited by Alan Lounds. Thanks to Philip T. Leat and an anonymous reviewer for their constructive comments and helpful suggestions.</t>
  </si>
  <si>
    <t>10.1016/j.gloplacha.2014.08.004</t>
  </si>
  <si>
    <t>WOS:000347592400014</t>
  </si>
  <si>
    <t>Ruano, P; Bohoyo, F; Galindo-Zaldívar, J; Pérez, LF; Hernández-Molina, FJ; Maldonado, A; García, M; Medialdea, T</t>
  </si>
  <si>
    <t>Ruano, Patricia; Bohoyo, Fernando; Galindo-Zaldivar, Jesus; Perez, Lara F.; Hernandez-Molina, F. Javier; Maldonado, Andres; Garcia, Marga; Medialdea, Teresa</t>
  </si>
  <si>
    <t>Mass transport processes in the southern Scotia Sea: Evidence of paleoearthquakes</t>
  </si>
  <si>
    <t>mass transport deposits (MTDs); slope instabilities; MTD triggering factors; paleoseismicity; Antarctica; Dove and Scan basins</t>
  </si>
  <si>
    <t>ANTARCTICA PLATE BOUNDARY; SLOPE FAILURE; SUBMARINE SLOPE; TECTONIC DEVELOPMENT; CONTINENTAL MARGINS; SOURCE PARAMETERS; BRANSFIELD BASIN; BOTTOM WATER; MUD VOLCANOS; SCAN BASIN</t>
  </si>
  <si>
    <t>The southern margin of the Scotia Sea hosts the convergent boundary between the Scotia and Antarctic plates where a number of small basins are situated. Mass transport deposits (MTDs) within two of these small basins, Dove and Scan basins, reveal the importance of seismicity, slope instabilities and depositional processes in their growth patterns. Swath-bathymetry and very high-resolution seismic data show that there are over 200 MTDs in these basins in the last 100 ky record. MID characterizations are determined on the basis of their regional distribution, shape, apparent size and depth. Their sedimentary and tectonic implications are discussed, as well as the evidence of different triggering mechanisms in this region, which is characterized at present by moderate-to-high magnitude, shallow to intermediate earthquakes. MTDs are more abundant in the Dove Basin (with lenticular and wedge shapes), suggesting that this basin was affected by active tectonics to a greater degree than the Scan Basin. This finding is significant in the overall evolutionary context of the Scotia Sea region and Scotia-Antarctic plate geodynamics. Nevertheless, other factors volcanic activity, vigorous bottom-currents, and/or higher sedimentation rates must also be considered for the generation of MTDs in the Scan Basin, where a variety of processes generated more diverse MID morphologies. Paleoseismological estimations of the repeated occurrence of wedge shaped MTDs in contact with fault scarps point to potential sources of large magnitude (Mw similar to 7.2-7.3) paleoearthquakes in several sites, in agreement with the present high magnitudes of regional seismicity. This study shows MTDs to be appropriate as paleoearthquake indicators in active tectonic settings. The distribution of MTDs in the southern Scotia Sea has important implications for geodynamic and geohazard research. They may prove to be unmistakable stratigraphic markers for future basin analysis. (C) 2014 Elsevier B.V. All rights reserved.</t>
  </si>
  <si>
    <t>[Ruano, Patricia; Galindo-Zaldivar, Jesus] Univ Granada, Dpto Geodinam, E-18071 Granada, Spain; [Ruano, Patricia; Galindo-Zaldivar, Jesus; Perez, Lara F.; Maldonado, Andres; Garcia, Marga] Univ Granada, CSIC, Inst Andaluz Ciencias Tierra, Granada 18010, Spain; [Bohoyo, Fernando; Medialdea, Teresa] Inst Geol &amp; Minero Espana, Madrid 28003, Spain; [Hernandez-Molina, F. Javier] Royal Holloway Univ London, Dept Earth Sci, Surrey TW20 0EX, England</t>
  </si>
  <si>
    <t>University of Granada; Consejo Superior de Investigaciones Cientificas (CSIC); CSIC - Instituto Andaluz de Ciencias de la Tierra (IACT); University of Granada; University of London; Royal Holloway University London</t>
  </si>
  <si>
    <t>Ruano, P (corresponding author), Univ Granada, Dpto Geodinam, E-18071 Granada, Spain.</t>
  </si>
  <si>
    <t>pruano@ugr.es; f.bohoyo@igme.es; jgalindo@ugr.es; lfperez@iact.ugr-csic.es; Javier.Hernandez-Molina@rhul.ac.uk; amaldona@ugr.es; marguita.garcia@gmail.com; t.medialdea@igme.es</t>
  </si>
  <si>
    <t>Galindo-Zaldivar, Jesus/K-3640-2012; Bohoyo, Fernando/C-1062-2011; Garcia, Marga/L-7410-2014; Pérez, Lara F./H-3572-2015; Bohoyo, Fernando/AAZ-5990-2021; Ruano, Patricia/L-9168-2014; Medialdea, Teresa/G-2647-2015</t>
  </si>
  <si>
    <t>Galindo-Zaldivar, Jesus/0000-0002-3493-2637; Bohoyo, Fernando/0000-0002-1044-8816; Garcia, Marga/0000-0003-2632-6132; Pérez, Lara F./0000-0002-6229-4564; Bohoyo, Fernando/0000-0002-1044-8816; Ruano, Patricia/0000-0003-3833-4973; Medialdea, Teresa/0000-0002-7969-5751</t>
  </si>
  <si>
    <t>Continental Margins Research Group (CMRG) at Royal Holloway University of London (UK); [CTM 2008-06399-C04/MAR]; [CTM 2012-39599-C03]; [CTM 2012-39599-C02]; [CTM2011-30241-C02-01/ANT]; [CTM2011-30241-C02-02/ANT]; [BATDRAKE CTM2011-13970-E]</t>
  </si>
  <si>
    <t>Continental Margins Research Group (CMRG) at Royal Holloway University of London (UK); ; ; ; ; ;</t>
  </si>
  <si>
    <t>This work was partially supported by CTM 2008-06399-C04/MAR, CTM 2012-39599-C03, C02, CTM2011-30241-C02-01/ANT, CTM2011-30241-C02-02/ANT and BATDRAKE CTM2011-13970-E projects. It is also realized in the framework of the IGCP-619 and INQUA 1204 international projects. This contribution is further supported through the Continental Margins Research Group (CMRG) at Royal Holloway University of London (UK). We thank Jeronimo Lopez and one anonymous reviewer for their insightful reviews which significantly helped to improve the manuscript, and to Jean Sanders for reviewing the English. We also thank the Commander, officers, crew and technicians of the BIO HESPERIDES for their support in obtaining the data, sometimes under severe sea conditions. We wish to express our gratitude to Aitor Cambeses for providing a background to statistical analysis.</t>
  </si>
  <si>
    <t>10.1016/j.gloplacha.2014.06.009</t>
  </si>
  <si>
    <t>WOS:000347592400015</t>
  </si>
  <si>
    <t>Bowen, M; Sutton, P; Roemmich, D</t>
  </si>
  <si>
    <t>Bowen, Melissa; Sutton, Philip; Roemmich, Dean</t>
  </si>
  <si>
    <t>Estimating mean dynamic topography in boundary currents and the use of Argo trajectories</t>
  </si>
  <si>
    <t>mean dynamic topography; Argo float trajectories; ocean boundary currents</t>
  </si>
  <si>
    <t>OCEAN CIRCULATION; NEW-ZEALAND; GENERAL-CIRCULATION; VARIABILITY; ALTIMETER; TOPEX/POSEIDON; HEIGHT</t>
  </si>
  <si>
    <t>A Mean Dynamic Topography (MDT) is required to estimate mean transport in the ocean, to combine with altimetry to derive instantaneous geostrophic surface velocities, and to estimate transport from shipboard hydrography. A number of MDTs are now available globally but differ most markedly in boundary currents and the Antarctic Circumpolar Current. We evaluate several MDTs in two boundary currents off New Zealand (in the subtropical western boundary current system east of the country and in the Subantarctic Front to the south) using satellite, hydrographic, and Argo observations near two altimeter tracks. Argo float trajectories are combined with estimates of shear to produce new MDTs along both altimeter tracks: sufficiently high numbers of Argo floats travel in both boundary currents to allow a useful estimate of the mean flow at 1000 m depth and conservation of potential vorticity is used to account for more realistic flow paths. In finding a MDT, we show the uncertainties in the estimates of velocity differences between 1000 m and the surface from density climatologies, while often not estimated, need to be considered. The MDT computed from the Argo trajectories is generally consistent with the CLS09 MDT in both boundary currents and, in some locations, distinctly different from the MDT using a level of no motion assumption. The comparison suggests velocities from Argo trajectories can be usefully combined with other observations to improve estimates of flows and MDT in boundary currents.</t>
  </si>
  <si>
    <t>[Bowen, Melissa] Univ Auckland, Sch Environm, Auckland 1, New Zealand; [Sutton, Philip] Natl Inst Water &amp; Atmospher Res, Wellington, New Zealand; [Roemmich, Dean] Univ Calif San Diego, Scripps Inst Oceanog, La Jolla, CA 92093 USA</t>
  </si>
  <si>
    <t>University of Auckland; National Institute of Water &amp; Atmospheric Research (NIWA) - New Zealand; University of California System; University of California San Diego; Scripps Institution of Oceanography</t>
  </si>
  <si>
    <t>Bowen, M (corresponding author), Univ Auckland, Sch Environm, Auckland 1, New Zealand.</t>
  </si>
  <si>
    <t>m.bowen@auckland.ac.nz</t>
  </si>
  <si>
    <t>Sutton, Phil/0000-0003-2936-0918</t>
  </si>
  <si>
    <t>New Zealand government</t>
  </si>
  <si>
    <t>The Argo data were collected and made freely available by the International Argo Program (part of the Global Ocean Observing System) and the national programs that contribute to it (http://www.usgodae.org/argo/argo.html). The altimeter products were produced by Ssalto/Duacs and the CNES CLS09 MDT and CNES CLS 2011 Mean Sea Surface were produced by CLS Oceanography Division and distributed by Aviso with support from CNES (http://www.aviso.oceanobs.com/duacs/). The Roemmich and Gilson climatology was obtained from http://sio-argo.ucsd.edu/RG_Climatology.html and the CARS climatology from http://www.marine.csiro.au/atlas/. Mean dynamics topographies used in the study were obtained from the University of Hawaii (http://apdrc.soest.hawaii.edu) and NASA (http://grace.jpl.nasa.gov/data/dot). GOCE gravity mission data were obtained from the European Space Agency (http://www.eas.int). The in situ shipboard and moored data are available on request. These data were collected as part of climate variability projects undertaken by NIWA and funded by the New Zealand government. We would like to thank two anonymous reviewers for their helpful comments.</t>
  </si>
  <si>
    <t>10.1002/2014JC010281</t>
  </si>
  <si>
    <t>AZ8GI</t>
  </si>
  <si>
    <t>WOS:000348452800013</t>
  </si>
  <si>
    <t>Hughes, KG; Langhorne, PJ; Leonard, GH; Stevens, CL</t>
  </si>
  <si>
    <t>Hughes, K. G.; Langhorne, P. J.; Leonard, G. H.; Stevens, C. L.</t>
  </si>
  <si>
    <t>Extension of an Ice Shelf Water plume model beneath sea ice with application in McMurdo Sound, Antarctica</t>
  </si>
  <si>
    <t>sea ice growth; ice shelf water; plume model; McMurdo Sound</t>
  </si>
  <si>
    <t>ROSS-SEA; PLATELET ICE; EVOLUTION; GROWTH; PARAMETERIZATION; OCEANOGRAPHY; VARIABILITY; CIRCULATION; DYNAMICS; WINTER</t>
  </si>
  <si>
    <t>A one-dimensional, frazil-laden plume model predicts the properties of Ice Shelf Water (ISW) as it evolves beneath sea ice beyond the ice shelf edge. An idealized background ocean circulation, which moves parallel to the plume, imitates forcings other than the plume's own buoyancy. The size distribution and concentration of the plume's suspended frazil ice crystals are affected by the background circulation velocity, the root-mean square tidal velocity, the drag coefficient, and the efficiency of secondary nucleation. Consequently, these variables are the key physical controls on the survival of supercooled water with distance from the ice shelf, which is predicted using several realistic parameter choices. Starting at 65 m thick, the in situ supercooled layer thins to 115 and 43 m at distances of 50 and 100 km, respectively. We apply the extended model in McMurdo Sound, Antarctica, along the expected path of the coldest water. Three late-winter oceanographic stations along this path, in conjunction with historical data, provide initial conditions and evaluation of the simulations. Near the ice shelf in the western Sound, the water column consisted entirely of ISW, and the subice platelet layer thickness exceeded 5 m with platelet crystals dominating the sea ice structure suggesting that ISW persisted throughout winter. Presuming a constant ISW flux, the model predicts that the plume increases thermodynamic growth of sea ice by approximately 0.1 m yr(-1) (approximate to 5% of the average growth rate) even as far as 100 km beyond the ice shelf edge.</t>
  </si>
  <si>
    <t>[Hughes, K. G.; Langhorne, P. J.] Univ Otago, Dept Phys, Dunedin, New Zealand; [Leonard, G. H.] Univ Otago, Sch Surveying, Dunedin, New Zealand; [Stevens, C. L.] Natl Inst Water &amp; Atmospher Res, Wellington, New Zealand; [Stevens, C. L.] Univ Auckland, Dept Phys, Auckland, New Zealand</t>
  </si>
  <si>
    <t>University of Otago; University of Otago; National Institute of Water &amp; Atmospheric Research (NIWA) - New Zealand; University of Auckland</t>
  </si>
  <si>
    <t>Hughes, KG (corresponding author), Univ Otago, Dept Phys, Dunedin, New Zealand.</t>
  </si>
  <si>
    <t>kenneth.hughes@otago.ac.nz</t>
  </si>
  <si>
    <t>; Langhorne, Pat/C-3539-2018; Leonard, Greg/F-7157-2010</t>
  </si>
  <si>
    <t>Hughes, Kenneth/0000-0001-5066-3310; Stevens, Craig/0000-0002-4730-6985; Langhorne, Pat/0000-0003-0239-7657; Leonard, Greg/0000-0001-7679-9486</t>
  </si>
  <si>
    <t>University of Otago Postgraduate Scholarship; Kelly Tarlton's Antarctic Scholarship; University of Otago Research grant</t>
  </si>
  <si>
    <t>This study was funded by a University of Otago Postgraduate Scholarship, the Kelly Tarlton's Antarctic Scholarship, and a University of Otago Research grant. We would like to thank Mike Williams from the National Institute of Water and Atmospheric Research (NIWA) for help in planning the oceanographic study and loan of the CTD profiler, Lars Smedsrud for providing us with the code for the SJ04 model, and Inga Smith and Natalie Robinson for their helpful discussion both as this study took shape and as this manuscript neared submission. Fieldwork logistics were provided by Antarctica New Zealand, and we are grateful to the other members of Event K063 who also took ice thickness measurements: Alex Gough, Christian Haas, Dan Price, Justin Beckers, Kelvin Barnsdale, and Wolfgang Rack. The comments of two anonymous reviewers helped significantly improve this manuscript. The data archive associated with this paper can be found in the Global Change Master Directory under the keyword K063_2011_2012_NZ_1.</t>
  </si>
  <si>
    <t>10.1002/2013JC009411</t>
  </si>
  <si>
    <t>WOS:000348452800026</t>
  </si>
  <si>
    <t>Sriram, G; Dewangan, R; Ramprasad, T</t>
  </si>
  <si>
    <t>Sriram, G.; Dewangan, R.; Ramprasad, T.</t>
  </si>
  <si>
    <t>Modified effective medium model for gas hydrate bearing, clay-dominated sediments in the Krishna-Godavari Basin</t>
  </si>
  <si>
    <t>MARINE AND PETROLEUM GEOLOGY</t>
  </si>
  <si>
    <t>Gas hydrate; Rock physics; Effective medium model; Grain contact theory; NGHP expedition-01</t>
  </si>
  <si>
    <t>EFFECTIVE ELASTIC-MODULI; UNCONSOLIDATED SANDS; SEISMIC VELOCITIES; MARINE-SEDIMENTS</t>
  </si>
  <si>
    <t>During NGHP-Expedition-01, well logs were obtained for gas hydrate exploration in Krishna-Godavari (KG) offshore basin. These logs coupled with a suitable rock physics model can be used to understand the interaction between the sediment grains of unconsolidated marine sediments as well as with hydrate. In this paper, we study the friction-dependent effective medium model (EMM) to understand these grain interactions. The compressional (P) and shear (S) wave velocities of fluid saturated sediments are estimated using different friction parameters at Site NGHP-01-03, which represent the background fluid-saturated marine sediment, and are compared with the observed velocities derived from sonic logs. Our analysis shows that the shear velocity is overestimated for the Hertz-Mindlin contact theory [noslip across the grain contact], but can be accurately estimated for the Walton's smooth contact model [zero friction across the grain contact]. It suggests that the background shear wave velocity need to be modeled without friction at the grain contact for unconsolidated marine sediments. Further, the friction-dependent EMM theory is tested at Site NGHP-01-07 which represents the load-bearing gas hydrate deposits in KG basin. The comparison between the gas hydrate saturations estimated from sonic and resistivity logs shows that saturations estimated from P-wave velocity match well with those estimated from resistivity and chloride anomaly and is largely independent of the frictional parameter. However, gas hydrate saturations estimated from shear wave velocity is overestimated in the absence of friction but agrees with the other estimates if an arbitrary small friction is included in the EMM. We further extended the friction-dependent EMM for multi-grain contact (clay + quartz + hydrate) in which the effective modulus of sediment matrix is estimated by accounting for all possible contact combinations among the grains like quartz-quartz (QQ), clay-clay (CC), clay-quartz (QC), quartz-hydrate (QH), clay-hydrate (CH), and hydrate-hydrate (HH). The gas hydrate saturations estimated from shear velocity assuming the same non-zero friction term are underestimated as compared to those estimated from P-wave velocity. Interestingly, the saturations estimated assuming zero-friction from both P- and S-wave velocities are comparable to each other and show a good match with those estimated from resistivity logs and chloride anomalies. The proposed EMM with zero friction and mixed grain contact is able to predict the velocities of fluid-saturated sediments as well as gas hydrate bearing sediments in KG offshore basin. (C) 2014 Elsevier Ltd. All rights reserved.</t>
  </si>
  <si>
    <t>[Sriram, G.; Dewangan, R.; Ramprasad, T.] CSIR Natl Inst Oceanog, Panaji 403004, Goa, India</t>
  </si>
  <si>
    <t>Council of Scientific &amp; Industrial Research (CSIR) - India; CSIR - National Institute of Oceanography (NIO)</t>
  </si>
  <si>
    <t>Sriram, G (corresponding author), Natl Ctr Antarctic &amp; Ocean Res, Vasco Da Gama 403804, Goa, India.</t>
  </si>
  <si>
    <t>pdewangan@nio.org</t>
  </si>
  <si>
    <t>Sriram, Ganesh/A-5154-2010</t>
  </si>
  <si>
    <t>Oil Industry Development Board; Oil and Natural Gas Corporation Ltd.; GAIL (India) Ltd.; Oil India Ltd.; NGHP: MoPNG; DGH; ONGC; GAIL; OIL; NIO; NIOT; RIL</t>
  </si>
  <si>
    <t>The authors wish to thank those that contributed to the success of the National Gas Hydrate Program Expedition 01 (NGHP-01). NGHP-01 was planned and managed through collaboration between the Directorate General of Hydrocarbons (DGH) under the Ministry of Petroleum and Natural Gas (India), the U.S. Geological Survey (USGS), and the Consortium for Scientific Methane Hydrate Investigations (CSMHI) led by Overseas Drilling Limited (ODL) and FUGRO McClelland Marine Geosciences (FUGRO). The platform for the drilling operation was the research drill ship JOIDES Resolution, operated by ODL. Much of the drilling/coring equipment used was provided by the Integrated Ocean Drilling Program (IODP) through a loan agreement with the US National Science Foundation. Wireline pressure coring systems and supporting laboratories were provided by IODP/Texas A&amp;M University (TAMU), FUGRO, USGS, U.S. Department of Energy (USDOE) and HYACINTH/GeoTek. Downhole logging operational and technical support was provided by Lamont-Doherty Earth Observatory (LDEO) of Columbia University. The financial support for the NGHP-01, from the Oil Industry Development Board, Oil and Natural Gas Corporation Ltd., GAIL (India) Ltd. and Oil India Ltd. is gratefully acknowledged. We also acknowledge the support extended by all the participating organizations of the NGHP: MoP&amp;NG, DGH, ONGC, GAIL, OIL, NIO, NIOT, and RIL. The Director of National Institute of Oceanography (NIO) is thanked for encouragement, support and the permission to publish. We would like to thank the reviewers for providing useful comments/suggestions which has improved the quality of the manuscript. This is NIO contribution no. 5523.</t>
  </si>
  <si>
    <t>0264-8172</t>
  </si>
  <si>
    <t>1873-4073</t>
  </si>
  <si>
    <t>MAR PETROL GEOL</t>
  </si>
  <si>
    <t>Mar. Pet. Geol.</t>
  </si>
  <si>
    <t>10.1016/j.marpetgeo.2014.01.005</t>
  </si>
  <si>
    <t>AY4WY</t>
  </si>
  <si>
    <t>WOS:000347577000018</t>
  </si>
  <si>
    <t>Pfister, PL; Stocker, TF; Rempfer, J; Ritz, SP</t>
  </si>
  <si>
    <t>Pfister, Patrik L.; Stocker, Thomas F.; Rempfer, Johannes; Ritz, Stefan P.</t>
  </si>
  <si>
    <t>Influence of the Central American Seaway and Drake Passage on ocean circulation and neodymium isotopes: A odel study</t>
  </si>
  <si>
    <t>PALEOCEANOGRAPHY</t>
  </si>
  <si>
    <t>Central American Seaway; Drake Passage; neodymium; ACC onset; Panama closure; AMOC</t>
  </si>
  <si>
    <t>FE-MN CRUSTS; FERROMANGANESE CRUSTS; PB ISOTOPES; ANTARCTIC GLACIATION; SOUTHERN-HEMISPHERE; MODEL PARAMETERS; CARBON-CYCLE; ND-ISOTOPES; ATLANTIC; EOCENE</t>
  </si>
  <si>
    <t>The sensitivity of the neodymium isotopic composition (E-Nd) to tectonic rearrangements of seaways is investigated using an Earth System Model of Intermediate Complexity. The shoaling and closure of the Central American Seaway (CAS) is simulated, as well as the opening and deepening of Drake Passage (DP). Multiple series of equilibrium simulations with various intermediate depths are performed for both seaways, providing insight into E-Nd and circulation responses to progressive throughflow evolutions. Furthermore, the sensitivity of these responses to the Atlantic Meridional Overturning Circulation (AMOC) and the neodymium boundary source is examined. Modeled E-Nd changes are compared to sediment core and ferromanganese (Fe-Mn) crust data. The model results indicate that the North Atlantic E-Nd response to the CAS shoaling is highly dependent on the AMOC state, i.e., on the AMOC strength before the shoaling to shallow depths (preclosure). Three scenarios based on different AMOC forcings are discussed, of which the model-data agreement favors a shallow preclosure (Miocene) AMOC (approximate to 6Sv). The DP opening causes a rather complex circulation response, resulting in an initial South Atlantic E-Nd decrease preceding a larger increase. This feature may be specific to our model setup, which induces a vigorous CAS throughflow that is strongly anticorrelated to the DP throughflow. In freshwater experiments following the DP deepening, ODP Site 1090 is mainly influenced by AMOC and DP throughflow changes, while ODP Site 689 is more strongly influenced by Southern Ocean Meridional Overturning Circulation and CAS throughflow changes. The boundary source uncertainty is largest for shallow seaways and at shallow sites.</t>
  </si>
  <si>
    <t>[Pfister, Patrik L.; Stocker, Thomas F.; Rempfer, Johannes; Ritz, Stefan P.] Univ Bern, Inst Phys, Bern, Switzerland; [Pfister, Patrik L.; Stocker, Thomas F.; Rempfer, Johannes; Ritz, Stefan P.] Univ Bern, Oeschger Ctr Climate Change Res, Bern, Switzerland</t>
  </si>
  <si>
    <t>University of Bern; University of Bern</t>
  </si>
  <si>
    <t>Pfister, PL (corresponding author), Univ Bern, Inst Phys, Bern, Switzerland.</t>
  </si>
  <si>
    <t>pfister@climate.unibe.ch</t>
  </si>
  <si>
    <t>Swiss National Science Foundation [200020_147174]; Swiss National Science Foundation (SNF) [200020_147174] Funding Source: Swiss National Science Foundation (SNF)</t>
  </si>
  <si>
    <t>Swiss National Science Foundation(Swiss National Science Foundation (SNSF)); Swiss National Science Foundation (SNF)(Swiss National Science Foundation (SNSF))</t>
  </si>
  <si>
    <t>We thank Martin Frank and two anonymous reviewers for their constructive comments that have helped to substantially improve the manuscript. We acknowledge support by the Swiss National Science Foundation through project 200020_147174. The model results presented in this study are available from the corresponding author upon request (pfister@climate.unibe.ch).</t>
  </si>
  <si>
    <t>0883-8305</t>
  </si>
  <si>
    <t>1944-9186</t>
  </si>
  <si>
    <t>Paleoceanography</t>
  </si>
  <si>
    <t>10.1002/2014PA002666</t>
  </si>
  <si>
    <t>Geosciences, Multidisciplinary; Oceanography; Paleontology</t>
  </si>
  <si>
    <t>Geology; Oceanography; Paleontology</t>
  </si>
  <si>
    <t>AZ9LQ</t>
  </si>
  <si>
    <t>WOS:000348536600007</t>
  </si>
  <si>
    <t>Benthuysen, J; Feng, M; Zhong, LJ</t>
  </si>
  <si>
    <t>Benthuysen, Jessica; Feng, Ming; Zhong, Liejun</t>
  </si>
  <si>
    <t>Spatial patterns of warming off Western Australia during the 2011 Ningaloo Nino: Quantifying impacts of remote and local forcing</t>
  </si>
  <si>
    <t>CONTINENTAL SHELF RESEARCH</t>
  </si>
  <si>
    <t>Eastern boundary currents; Leeuwin Current; Marine heat wave; La Nina</t>
  </si>
  <si>
    <t>LEEUWIN CURRENT SYSTEM; INDIAN-OCEAN; CONTINENTAL-SHELF; DYNAMICS; EDDIES; MODEL; VARIABILITY; SURFACE; SUMMER; ESTUARY</t>
  </si>
  <si>
    <t>In austral summer 2011, an unprecedented Ningaloo Nino event occurred off the west coast of Australia, with sea surface temperature anomalies reaching 5 degrees C and significant impacts on marine ecosystems. In this study, a high resolution (similar to 2 km) hydrodynamic model (Regional Ocean Modeling System) is used to simulate the variations in the near-surface temperature in the region from 2009 through mid-2011. Model results indicate that the peak temperatures in the broad mid-west coast of Australia during the event are predominantly due to poleward advection of warmer, tropical water (approximate to 2/3 contribution). In addition, positive air-sea heat flux into the ocean also contributes (approximate to 1/3 contribution) to the rise in temperature. The anomalous advection of warm water is caused by changes in the poleward flowing Leeuwin Current due to both local and remote wind forcing. In early 2011, the Leeuwin Current intensified owing to remote forcing by the equatorial easterly wind anomalies in the Pacific Ocean associated with the 2010-2011 La Nina. In addition, the southerly winds off the west coast of Australia weakened, allowing the Leeuwin Current to further intensify in speed at the peak of the event. Concurrently, the inshore, equatorward Capes Current was suppressed and reversed direction. The poleward flow over the shelf contributed to near-shore warming in contrast to cooling by upwelling and equatorward advection from the Capes Current in previous years. (C) 2014 Elsevier Ltd. All rights reserved.</t>
  </si>
  <si>
    <t>[Benthuysen, Jessica] Univ Tasmania, Inst Marine &amp; Antarctic Studies, Hobart, Tas, Australia; [Benthuysen, Jessica] Univ Tasmania, ARC Ctr Excellence Climate Syst Sci, Hobart, Tas, Australia; [Feng, Ming; Zhong, Liejun] CSIRO Oceans &amp; Atmosphere Flagship, Floreat, WA, Australia</t>
  </si>
  <si>
    <t>University of Tasmania; ARC Centre of Excellence for Climate System Science; University of Tasmania; Commonwealth Scientific &amp; Industrial Research Organisation (CSIRO)</t>
  </si>
  <si>
    <t>Feng, M (corresponding author), CSIRO Oceans &amp; Atmosphere Flagship, Floreat, WA, Australia.</t>
  </si>
  <si>
    <t>ming.feng@csiro.au</t>
  </si>
  <si>
    <t>Feng, Ming/F-5411-2010</t>
  </si>
  <si>
    <t>Benthuysen, Jessica/0000-0001-7615-6587</t>
  </si>
  <si>
    <t>CSIRO Wealth From Oceans Flagship; Australian Integrated Marine Observing System; Fisheries Research and Development Corporation; Australian Government Department of the Environment; Bureau of Meteorology; CSIRO through the Australian Climate Change Science Programme; ARC Centre of Excellence for Climate System Science [CE110001028]; ARC [DP130102088]; NASA Earth Science MEaSUREs DISCOVER Project</t>
  </si>
  <si>
    <t>CSIRO Wealth From Oceans Flagship(Commonwealth Scientific &amp; Industrial Research Organisation (CSIRO)); Australian Integrated Marine Observing System; Fisheries Research and Development Corporation; Australian Government Department of the Environment(Australian Government); Bureau of Meteorology(Bureau of Meteorology - Australia); CSIRO through the Australian Climate Change Science Programme(Commonwealth Scientific &amp; Industrial Research Organisation (CSIRO)); ARC Centre of Excellence for Climate System Science(Australian Research Council); ARC(Australian Research Council); NASA Earth Science MEaSUREs DISCOVER Project</t>
  </si>
  <si>
    <t>M. Feng and L. Zhong are supported by the CSIRO Wealth From Oceans Flagship, Australian Integrated Marine Observing System, and Fisheries Research and Development Corporation. This research is partly supported by the Australian Government Department of the Environment, the Bureau of Meteorology and CSIRO through the Australian Climate Change Science Programme. J. Benthuysen acknowledges support from the ARC Centre of Excellence for Climate System Science (CE110001028). J. Benthuysen and M. Feng acknowledge the support of ARC Discovery Project DP130102088. TMI data are produced by Remote Sensing Systems and sponsored by the NASA Earth Science MEaSUREs DISCOVER Project. We thank Jay McCreary, Eric Oliver, Tatiana Rykova, and two anonymous reviewers for reviews.</t>
  </si>
  <si>
    <t>0278-4343</t>
  </si>
  <si>
    <t>1873-6955</t>
  </si>
  <si>
    <t>CONT SHELF RES</t>
  </si>
  <si>
    <t>Cont. Shelf Res.</t>
  </si>
  <si>
    <t>DEC 1</t>
  </si>
  <si>
    <t>10.1016/j.csr.2014.09.014</t>
  </si>
  <si>
    <t>AY5HR</t>
  </si>
  <si>
    <t>WOS:000347603900019</t>
  </si>
  <si>
    <t>Cabrerizo, A; Galbán-Malagón, C; Del Vento, S; Dachs, J</t>
  </si>
  <si>
    <t>Cabrerizo, Ana; Galban-Malagon, Cristobal; Del Vento, Sabino; Dachs, Jordi</t>
  </si>
  <si>
    <t>Sources and fate of polycyclic aromatic hydrocarbons in the Antarctic and Southern Ocean atmosphere</t>
  </si>
  <si>
    <t>GLOBAL BIOGEOCHEMICAL CYCLES</t>
  </si>
  <si>
    <t>long-range atmospheric transport; PAHs; gas-particle partitioning</t>
  </si>
  <si>
    <t>PERSISTENT ORGANIC POLLUTANTS; POLYCHLORINATED-BIPHENYLS; NORTH PACIFIC; ORGANOCHLORINE PESTICIDES; PAHS; AIR; SOILS; CARBON; DEPOSITION; ATLANTIC</t>
  </si>
  <si>
    <t>Polycyclic aromatic hydrocarbons (PAHs) are a geochemically relevant family of semivolatile compounds originating from fossil fuels, biomass burning, and their incomplete combustion, as well as biogenic sources. Even though PAHs are ubiquitous in the environment, there are no previous studies of their occurrence in the Southern Ocean and Antarctic atmosphere. Here we show the gas and aerosol phase PAHs concentrations obtained from three sampling cruises in the Southern Ocean (Weddell, Bellingshausen, and South Scotia Seas), and two sampling campaigns at Livingston Island (Southern Shetlands). This study shows an important variability of the atmospheric concentrations with higher concentrations in the South Scotia and northern Weddell Seas than in the Bellingshausen Sea. The assessment of the gas-particle partitioning of PAHs suggests that aerosol elemental carbon contribution is modest due to its low concentrations. Over the ocean, the atmospheric concentrations do not show a temperature dependence, which is consistent with an important role of long-range atmospheric transport of PAHs. Conversely, over land at Livingston Island, the PAHs gas phase concentrations increase when the temperature increases, consistently with the presence of local diffusive sources. The use of fugacity samplers allowed the determination of the air-soil and air-snow fugacity ratios of PAHs showing that there is a significant volatilization of lighter molecular weight PAHs from soil and snow during the austral summer. The higher volatilization, observed in correspondence of sites where the organic matter content in soil is higher, suggests that there may be a biogenic source of some PAHs. The volatilization of PAHs from soil and snow is sufficient to support the atmospheric occurrence of PAHs over land but may have a modest regional influence on the atmospheric occurrence of PAHs over the Southern Ocean.</t>
  </si>
  <si>
    <t>[Cabrerizo, Ana; Galban-Malagon, Cristobal; Del Vento, Sabino; Dachs, Jordi] IDAEA CSIC, Dept Environm Chem, Barcelona, Spain; [Cabrerizo, Ana] European Commiss, Joint Res Ctr, Inst Environm &amp; Sustainabil, Air &amp; Climate Unit, I-21020 Ispra, Italy; [Galban-Malagon, Cristobal] Univ Andres Bello, Ctr Sustainabil Res, Santiago, Chile; [Del Vento, Sabino] Ricardo AEA, Harwell OX11 0QR, Berks, England</t>
  </si>
  <si>
    <t>Consejo Superior de Investigaciones Cientificas (CSIC); CSIC - Centro de Investigacion y Desarrollo Pascual Vila (CID-CSIC); CSIC - Instituto de Diagnostico Ambiental y Estudios del Agua (IDAEA); European Commission Joint Research Centre; EC JRC ISPRA Site; Universidad Andres Bello</t>
  </si>
  <si>
    <t>Cabrerizo, A (corresponding author), European Commiss, Joint Res Ctr, Inst Environm &amp; Sustainabil, Air &amp; Climate Unit, I-21020 Ispra, Italy.</t>
  </si>
  <si>
    <t>ana.cabrerizo-pastor@jrc.ec.europa.eu</t>
  </si>
  <si>
    <t>Galbán-Malagón, Cristobal/J-2384-2015; Cabrerizo, Ana/AAA-9050-2020; Galbán-Malagón, Cristobal/B-2170-2017; Cabrerizo, Ana/D-8256-2018</t>
  </si>
  <si>
    <t>Galbán-Malagón, Cristobal/0000-0001-8397-5804; Cabrerizo, Ana/0000-0002-5933-1483; Dachs, Jordi/0000-0002-4237-169X</t>
  </si>
  <si>
    <t>Spanish Ministry of Science and Innovation</t>
  </si>
  <si>
    <t>Spanish Ministry of Science and Innovation(Spanish Government)</t>
  </si>
  <si>
    <t>This research project was funded by the Spanish Ministry of Science and Innovation through the ATOS and ESASSI projects as part of the International Polar Year activities. Support staff at Juan Carlos I research station, especially the mountaineers, and R/V Hesperides crew are acknowledged for their help during the sampling.</t>
  </si>
  <si>
    <t>0886-6236</t>
  </si>
  <si>
    <t>1944-9224</t>
  </si>
  <si>
    <t>GLOBAL BIOGEOCHEM CY</t>
  </si>
  <si>
    <t>Glob. Biogeochem. Cycle</t>
  </si>
  <si>
    <t>10.1002/2014GB004910</t>
  </si>
  <si>
    <t>Environmental Sciences; Geosciences, Multidisciplinary; Meteorology &amp; Atmospheric Sciences</t>
  </si>
  <si>
    <t>Environmental Sciences &amp; Ecology; Geology; Meteorology &amp; Atmospheric Sciences</t>
  </si>
  <si>
    <t>AZ3DY</t>
  </si>
  <si>
    <t>WOS:000348109100004</t>
  </si>
  <si>
    <t>Fuenzalida, G; Poulin, E; Gonzalez-Wevar, C; Molina, C; Cardenas, L</t>
  </si>
  <si>
    <t>Fuenzalida, Gonzalo; Poulin, Elie; Gonzalez-Wevar, Claudio; Molina, Cristian; Cardenas, Leyla</t>
  </si>
  <si>
    <t>Next-generation transcriptome characterization in three Nacella species (Patellogastropoda: Nacellidae) from South America and Antarctica</t>
  </si>
  <si>
    <t>MARINE GENOMICS</t>
  </si>
  <si>
    <t>Pyrosequencing; Comparative transcriptome; Patellogastropods; Antarctica; South America</t>
  </si>
  <si>
    <t>BIOGEOGRAPHY</t>
  </si>
  <si>
    <t>The southern tip of South America and Antarctica are particularly interesting due to many genera and also species currently sharing between both areas. The genus Nacella (Patellogastropoda: Nacellidae) is distributed in different regions of South America and Antarctica living preferentially on rocks and boulders and grazing on algae, diatoms and bacterial films. We described the transcriptomes of three Nacella species, Nacella concinna (Strebel, 1908), inhabiting the Antarctic Peninsula; Nacella magallanica (Gmelin, 1791), from Patagonia and Nacella clypeater (Lesson, 1831), from central Chile. In total, we obtained over 20,000 contigs with an average length of 583 bp. Homologous protein coding genes (PCGs) for mitochondrial genome of the three species were characterized and a database of molecular markers was also generated. This study represents the first publicly available report on pyrosequencing data for patellogastropod species, and provides an important comparative resource for studies in ecophysiology and evolutionary adaptation in marine invertebrate species. (c) 2014 Elsevier B.V. All rights reserved.</t>
  </si>
  <si>
    <t>[Fuenzalida, Gonzalo] Univ Paris 06, UMR 7144, Equipe ABICE, Stn Biol Roscoff, F-29680 Roscoff, France; [Poulin, Elie; Gonzalez-Wevar, Claudio] Univ Chile, Fac Ciencias, Dept Ciencias Ecol, Lab Ecol Mol,IEB, Santiago, Chile; [Cardenas, Leyla] Univ Austral Chile, Inst Ciencias Ambient &amp; Evolut, Fac Ciencias, Valdivia, Chile; [Fuenzalida, Gonzalo] CNRS, UMR Adaptat &amp; Divers Milieu Marin 7144, Stn Biol Roscoff, F-29680 Roscoff, France; [Molina, Cristian] Univ Austral Chile, Fac Ciencias, AUSTRAL Omics, Valdivia, Chile</t>
  </si>
  <si>
    <t>Sorbonne Universite; Centre National de la Recherche Scientifique (CNRS); CNRS - Institute of Ecology &amp; Environment (INEE); Universidad de Chile; Universidad Austral de Chile; Sorbonne Universite; Centre National de la Recherche Scientifique (CNRS); CNRS - Institute of Ecology &amp; Environment (INEE); Universidad Austral de Chile</t>
  </si>
  <si>
    <t>Cardenas, L (corresponding author), Univ Austral Chile, Inst Ciencias Ambient &amp; Evolut, Fac Ciencias, Isla Teja S-N,Casilla 567, Valdivia, Chile.</t>
  </si>
  <si>
    <t>gonzalo.fuenzalida.delrio@gmail.com; epoulin@uchile.cl; omeuno01@hotmail.com; cristian.molina.quiroz@gmail.com; leylacardenas@uach.cl</t>
  </si>
  <si>
    <t>Cardenas, Leyla/AAY-5671-2020; Poulin, Elie/C-2654-2012; González-Wevar, Claudio Alejandro/AAD-6513-2021</t>
  </si>
  <si>
    <t>Cardenas, Leyla/0000-0003-0676-6704; Poulin, Elie/0000-0001-7736-0969;</t>
  </si>
  <si>
    <t>Instituto Antartico Chileno [Inach T22-10]; Millennium Nucleus Center for the Study of Multiple-drivers on Marine Socio-Ecological Systems (MUSELS) by MINECON [NC120086]</t>
  </si>
  <si>
    <t>Instituto Antartico Chileno; Millennium Nucleus Center for the Study of Multiple-drivers on Marine Socio-Ecological Systems (MUSELS) by MINECON</t>
  </si>
  <si>
    <t>We thank AUSTRAL_omics (www.australomics) for the help in the bioinformatic analysis. The authors also acknowledge the support of the Instituto Antartico Chileno, Grant Inach T22-10. Finally, our thanks are given to the Millennium Nucleus Center for the Study of Multiple-drivers on Marine Socio-Ecological Systems (MUSELS) by MINECON Project NC120086.</t>
  </si>
  <si>
    <t>1874-7787</t>
  </si>
  <si>
    <t>1876-7478</t>
  </si>
  <si>
    <t>MAR GENOM</t>
  </si>
  <si>
    <t>Mar. Genom.</t>
  </si>
  <si>
    <t>10.1016/j.margen.2014.06.004</t>
  </si>
  <si>
    <t>Genetics &amp; Heredity; Marine &amp; Freshwater Biology</t>
  </si>
  <si>
    <t>AY4XO</t>
  </si>
  <si>
    <t>WOS:000347578600003</t>
  </si>
  <si>
    <t>Gomes, AS; Alves, RN; Stueber, K; Thorne, MAS; Smáradóttir, H; Reinhard, R; Clark, MS; Ronnestad, I; Power, DM</t>
  </si>
  <si>
    <t>Gomes, A. S.; Alves, R. N.; Stueber, K.; Thorne, M. A. S.; Smaradottir, H.; Reinhard, R.; Clark, M. S.; Ronnestad, I.; Power, D. M.</t>
  </si>
  <si>
    <t>Transcriptome of the Atlantic halibut (Hippoglossus hippoglossus)</t>
  </si>
  <si>
    <t>Transcriptome; 454; Development; Metamorphosis; Larvae; Juveniles</t>
  </si>
  <si>
    <t>METAMORPHOSIS; FLATFISH</t>
  </si>
  <si>
    <t>Although the Atlantic halibut (Hippoglossus hippoglossus) is an important commercial species, there is still a deficit with regard to the number of transcripts in the databases, which can be accessed and exploited for targeted candidate gene and pathway studies. In this study, the RNAs from head, skin and GI tract from different developmental stages were sequenced to generate 22,272 contigs of 500 base pairs or greater as a molecular resource for this species. (c) 2014 Elsevier B.V. All rights reserved.</t>
  </si>
  <si>
    <t>[Gomes, A. S.; Ronnestad, I.] Univ Bergen, Dept Biol, N-5020 Bergen, Norway; [Alves, R. N.; Power, D. M.] Univ Algarve, CIMAR Lab Associado, CCMAR, Comparat &amp; Mol Endocrinol Grp, P-8005139 Faro, Portugal; [Stueber, K.; Reinhard, R.] Max Planck Genome Ctr, Max Planck Inst Plant Breeding Res, D-50829 Cologne, Germany; [Thorne, M. A. S.; Clark, M. S.] British Antarctic Survey, Nat Environm Res Council, Cambridge CB3 0ET, England; [Smaradottir, H.] Fiskey Hf, IS-601 Akureyri, Iceland</t>
  </si>
  <si>
    <t>University of Bergen; Universidade do Algarve; Max Planck Society; UK Research &amp; Innovation (UKRI); Natural Environment Research Council (NERC); NERC British Antarctic Survey</t>
  </si>
  <si>
    <t>Clark, MS (corresponding author), British Antarctic Survey, Nat Environm Res Council, Madingley Rd, Cambridge CB3 0ET, England.</t>
  </si>
  <si>
    <t>Power, Deborah M/D-3333-2011; Clark, Melody/D-7371-2014; Ronnestad, Ivar/A-1774-2013</t>
  </si>
  <si>
    <t>Power, Deborah M/0000-0003-1366-0246; Clark, Melody/0000-0002-3442-3824; Ronnestad, Ivar/0000-0001-8789-0197; Thorne, Michael/0000-0001-7759-612X; Gomes, Ana S./0000-0002-2520-7070</t>
  </si>
  <si>
    <t>European Community FP7 (LIFECYCLE) [222719]; FCT [SFRH/BD/69209/2010]; NERC core; Fundação para a Ciência e a Tecnologia [SFRH/BD/69209/2010] Funding Source: FCT</t>
  </si>
  <si>
    <t>European Community FP7 (LIFECYCLE); FCT(Fundacao para a Ciencia e a Tecnologia (FCT)); NERC core; Fundação para a Ciência e a Tecnologia(Fundacao para a Ciencia e a Tecnologia (FCT))</t>
  </si>
  <si>
    <t>This research study was funded by the European Community FP7 (LIFECYCLE - No. 222719). Ricardo N. Alves was funded by FCT (SFRH/BD/69209/2010). MSC and MAST were funded by NERC core funding to the British Antarctic Survey.</t>
  </si>
  <si>
    <t>10.1016/j.margen.2014.07.005</t>
  </si>
  <si>
    <t>Green Accepted, Green Submitted</t>
  </si>
  <si>
    <t>WOS:000347578600006</t>
  </si>
  <si>
    <t>Bilyk, KT; Cheng, CHC</t>
  </si>
  <si>
    <t>Bilyk, Kevin T.; Cheng, C-H Christina</t>
  </si>
  <si>
    <t>RNA-seq analyses of cellular responses to elevated body temperature in the high Antarctic cryopelagic nototheniid fish Pagothenia borchgrevinki</t>
  </si>
  <si>
    <t>Antarctic notothenioid; Cold-specialization; 4 degrees C warming; RNA-seq; HSP down regulation; Slowing cell cycle</t>
  </si>
  <si>
    <t>UBIQUITIN MESSENGER-RNA; HEAT-SHOCK RESPONSE; GENE-EXPRESSION; TREMATOMUS-BERNACCHII; GILLICHTHYS-MIRABILIS; THERMAL-ACCLIMATION; PROTEIN-SYNTHESIS; DNA-REPLICATION; CDNA MICROARRAY; STRESS</t>
  </si>
  <si>
    <t>Through evolution in the isolated, freezing (-1.9 degrees C) Southern Ocean, Antarctic notothenioid fish have become cold-adapted as well as cold-specialized. Notothenioid cold specialization is most evident in their limited tolerance to heat challenge, and an apparent loss of the near universal inducible heat shock (HSP70) response. Beyond these it remains unclear how broadly cold specialization pervades the underlying tissue-wide cellular responses. We report the first analysis of massively parallel RNA sequencing (RNA-seq) to identify gene expression changes in the liver in response to elevated body temperature of a high-latitude Antarctic nototheniid, the highly coldadapted and cold-specialized cryopelagic bald notothen, Pagothenia borchgrevinki. From a large (14,873) mapped set of qualified, annotated liver transcripts, we identified hundreds of significantly differentially expressed genes following two and four days of 4 degrees C exposure, suggesting substantial transcriptional reorganization in the liver when body temperature was raised 5 degrees C above native water temperature. Most notably, and in sharp contrast to heat stressed non-polar fish species, was a widespread down-regulation of nearly all classes of molecular chaperones including HSP70, as well as polyubiquitins that are associated with proteosomal degradation of damaged proteins. In parallel, genes involved in the cell cycle were down-regulated by day two of 4 degrees C exposure, signifying slowing cellular proliferation; by day four, genes associated with transcriptional and translational machineries were down-regulated, signifying general slowing of protein biosynthesis. The log2 fold differential transcriptional changes are generally of small magnitudes but significant, and in total portray a broad down turn of cellular activities in response to four days of elevated body temperature in the cold-specialized bald notothen. (c) 2014 Elsevier B.V. All rights reserved.</t>
  </si>
  <si>
    <t>[Bilyk, Kevin T.; Cheng, C-H Christina] Univ Illinois, Sch Integrat Biol, Dept Anim Biol, Urbana, IL 61801 USA</t>
  </si>
  <si>
    <t>University of Illinois System; University of Illinois Urbana-Champaign</t>
  </si>
  <si>
    <t>Cheng, CHC (corresponding author), Univ Illinois, Sch Integrat Biol, Dept Anim Biol, Urbana, IL 61801 USA.</t>
  </si>
  <si>
    <t>kbilyk@life.illinois.edu; c-cheng@illinois.edu</t>
  </si>
  <si>
    <t>Bilyk, Kevin/0000-0002-2262-2703</t>
  </si>
  <si>
    <t>United States National Science Foundation Polar Programs [ANT-0231006, ANT-1142158]; Natural Science Foundation of China [30910103906]; Directorate For Geosciences; Office of Polar Programs (OPP) [1142158] Funding Source: National Science Foundation</t>
  </si>
  <si>
    <t>United States National Science Foundation Polar Programs; Natural Science Foundation of China(National Natural Science Foundation of China (NSFC)); Directorate For Geosciences; Office of Polar Programs (OPP)(National Science Foundation (NSF)NSF - Directorate for Geosciences (GEO))</t>
  </si>
  <si>
    <t>This study was supported by the United States National Science Foundation Polar Programs grants ANT-0231006 and ANT-1142158 to C.-H.C. Cheng and A.L. De Vries. Additional support of K.T.B. during this project came from the Natural Science Foundation of China International Collaboration Project 30910103906 to L. Chen and C.-H.C. Cheng.</t>
  </si>
  <si>
    <t>10.1016/j.margen.2014.06.006</t>
  </si>
  <si>
    <t>WOS:000347578600023</t>
  </si>
  <si>
    <t>Mahaney, WC; Dohm, JM; Schwartz, S; Findling, N; Hart, KM; Conway, SJ; Allen, CCR; Miyamoto, H; Fairén, AG</t>
  </si>
  <si>
    <t>Mahaney, William C.; Dohm, James M.; Schwartz, Stephane; Findling, Nathaniel; Hart, Kris M.; Conway, Susan J.; Allen, Christopher C. R.; Miyamoto, Hideaki; Fairen, Alberto G.</t>
  </si>
  <si>
    <t>Mineralogy, chemistry and biological contingents of an early-middle Miocene Antarctic paleosol and its relevance as a Martian analogue</t>
  </si>
  <si>
    <t>Antarctic paleosols; Miocene bacteria and mesofauna; Paleoclimate; Alpine glaciation in Antarctica; Mars; Thaumasia highlands; Coprates rise; Mountain ranges; Habitability; Periglacial and glacial environments of Mars</t>
  </si>
  <si>
    <t>MCMURDO DRY VALLEYS; X-RAY SPECTROMETER; ICE-SHEET; CHEMICAL-COMPOSITION; GLOBAL DISTRIBUTION; CHAOTIC OBLIQUITY; WEATHERING RINDS; EXTRACTABLE FE; CLIMATE-CHANGE; CLAY-MINERALS</t>
  </si>
  <si>
    <t>Fossil mesofauna and bacteria recovered from a paleosol in a moraine situated adjacent to the inland ice, Antarctica, and dating to the earliest glacial event in the Antarctic Dry Valleys opens several questions. The most important relates to understanding of the mineralogy and chemistry of the weathered substrate habitat in which Coleoptera apparently thrived at some point in the Early/Middle Miocene and perhaps earlier. Here, Coleoptera remains are only located in one of six horizons in a paleosol formed in moraine deposited during the alpine glacial event (&gt; 15 Ma). A tendency for quartz to decrease upward in the section may be a detrital effect or a product of dissolution in the early stage of profile morphogenesis when climate was presumably milder and the depositing glacier of temperate type. Discontinuous distributions of smectite, laumontite, and hexahydrite may have provided nutrients and water to mesofauna and bacteria during the early stage of biotic colonization of the profile. Because the mesofauna were members of burrowing Coleoptera species, future work should assess the degree to which the organisms occupied other sites in the Dry Valleys in the past. Whereas there is no reasonable expectations of finding Coleoptera/insect remains on Mars, the chemistry and mineralogy of the paleosol is within a life expectancy window for the presence of microorganisms, principally bacteria and fungi. Thus, parameters discussed here within this Antarctic paleosol could provide an analogue to identifying similar fossil or life-bearing weathered regolith on Mars. (C) 2014 Elsevier Ltd. All rights reserved.</t>
  </si>
  <si>
    <t>[Mahaney, William C.] Quaternary Surveys, Thornhill, ON L4J 1J4, Canada; [Mahaney, William C.] York Univ, Dept Geog, N York, ON M3J 1P3, Canada; [Dohm, James M.; Miyamoto, Hideaki] Univ Tokyo, Univ Museum, Bunkyo Ku, Tokyo 1130033, Japan; [Schwartz, Stephane; Findling, Nathaniel] Univ Grenoble 1, ISTerre UMR 5275, F-38041 Grenoble, France; [Hart, Kris M.] Queen Mary Univ London, Sch Biol &amp; Chem Sci, London E1 4NS, England; [Conway, Susan J.] Open Univ, Dept Phys Sci, Milton Keynes MK7 6AA, Bucks, England; [Allen, Christopher C. R.] Queens Univ Belfast, Sch Biol Sci, Ctr Med Biol, Belfast BT9 5AG, Antrim, North Ireland; [Fairen, Alberto G.] Cornell Univ, Dept Astron, Ithaca, NY 14853 USA; [Fairen, Alberto G.] CSIC INTA, Ctr Astrobiol, Madrid 28850, Spain</t>
  </si>
  <si>
    <t>York University - Canada; University of Tokyo; Communaute Universite Grenoble Alpes; Universite Grenoble Alpes (UGA); Centre National de la Recherche Scientifique (CNRS); CNRS - National Institute for Earth Sciences &amp; Astronomy (INSU); University of London; Queen Mary University London; Open University - UK; Queens University Belfast; Cornell University; Consejo Superior de Investigaciones Cientificas (CSIC); CSIC - Centro de Astrobiologia (INTA)</t>
  </si>
  <si>
    <t>Mahaney, WC (corresponding author), Quaternary Surveys, 26 Thornhill Ave, Thornhill, ON L4J 1J4, Canada.</t>
  </si>
  <si>
    <t>arkose41@gmail.com; jmd@um.u-tokyo.ac.jp; stephane.schwartz@ujf-grenoble.fr; nathaniel.findling@ujf-grenoble.fr; k.hart@qmul.ac.uk; susan.conway@open.ac.uk; C.Allen@qub.ac.uk; hm@um.u-tokyo.ac.jp; agfairen@cornell.edu</t>
  </si>
  <si>
    <t>Dohm, James M/A-3831-2014; Miyamoto, Hideaki/B-9666-2008; SCHWARTZ, Stéphane/F-6787-2011; Fairen, Alberto/T-9374-2017; Conway, Susan/C-4354-2018</t>
  </si>
  <si>
    <t>Miyamoto, Hideaki/0000-0001-8013-6124; SCHWARTZ, Stéphane/0000-0001-7942-7071; Fairen, Alberto/0000-0002-2938-6010; Conway, Susan/0000-0002-0577-2312; Allen, Christopher/0000-0002-2435-4327</t>
  </si>
  <si>
    <t>Quaternary Surveys, Toronto; Leverhulme Trust [RPG-397]; Grants-in-Aid for Scientific Research [26106002, 23340126] Funding Source: KAKEN</t>
  </si>
  <si>
    <t>Quaternary Surveys, Toronto; Leverhulme Trust(Leverhulme Trust); Grants-in-Aid for Scientific Research(Ministry of Education, Culture, Sports, Science and Technology, Japan (MEXT)Japan Society for the Promotion of ScienceGrants-in-Aid for Scientific Research (KAKENHI))</t>
  </si>
  <si>
    <t>This research was funded by Quaternary Surveys, Toronto. Logistical support was obtained from Event K-105, New Zealand Antarctic Program, 1998. We thank Paul Skelly (Florida State Collection of Arthropods) and Matthew O'Callaghan (University of Birmingham, UK) for entomological analysis of the Coleoptera. Professors H. Miyamoto and J.M. Dohm express their gratitude to the Tokyo Dome Corporation for their support of the TeNQ exhibit and the branch of Space Exploration Education &amp; Discovery, the University Museum, the University of Tokyo. SJ. Conway is supported by Leverhulme Trust Grant RPG-397.</t>
  </si>
  <si>
    <t>10.1016/j.pss.2014.10.008</t>
  </si>
  <si>
    <t>AY5IP</t>
  </si>
  <si>
    <t>WOS:000347606200010</t>
  </si>
  <si>
    <t>Mumford, KA; Rayner, JL; Snape, I; Stevens, GW</t>
  </si>
  <si>
    <t>Mumford, K. A.; Rayner, J. L.; Snape, I.; Stevens, G. W.</t>
  </si>
  <si>
    <t>Hydraulic performance of a permeable reactive barrier at Casey Station, Antarctica</t>
  </si>
  <si>
    <t>CHEMOSPHERE</t>
  </si>
  <si>
    <t>Permeable reactive barrier; Hydraulics; Freeze thaw processes; Remediation</t>
  </si>
  <si>
    <t>ZERO-VALENT IRON; LONG-TERM PERFORMANCE; CONTAMINATED SOILS; REMEDIATION; DESIGN; KINETICS; WATER</t>
  </si>
  <si>
    <t>A permeable bio-reactive barrier (PRB) was installed at Casey Station, Antarctica in 2005/06 to intercept, capture and degrade petroleum hydrocarbons from a decade old fuel spill. A funnel and gate configuration was selected and implemented. The reactive gate was split into five separate cells to enable the testing of five different treatment combinations. Although different treatment materials were used in each cell, each treatment combination contained the following reactive zones: a zone for the controlled release of nutrients to enhance degradation, a zone for hydrocarbon capture and enhanced degradation, and a zone to capture excess nutrients. The materials selected for each of these zones had other requirements, these included; not having any adverse impact on the environment, being permeable enough to capture the entire catchment flow, and having sufficient residence time to fully capture migrating hydrocarbons. Over a five year period the performance of the PRB was extensively monitored and evaluated for nutrient concentration, fuel retention and permeability. At the end of the five year test period the material located within the reactive gate was excavated, total petroleum hydrocarbon concentrations present on the material determined and particle size analysis conducted. This work found that although maintaining media reactivity is obviously important, the most critical aspect of PRB performance is preserving the permeability of the barrier itself, in this case by maintaining appropriate particle size distribution. This is particularly important when PRBs are installed in regions that are subject to freeze thaw processes that may result in particle disintegration over time. (C) 2014 Elsevier Ltd. All rights reserved.</t>
  </si>
  <si>
    <t>[Mumford, K. A.; Stevens, G. W.] Univ Melbourne, Dept Chem &amp; Biomol Engn, Particulate Fluids Proc Ctr, Melbourne, Vic 3010, Australia; [Rayner, J. L.] CSIRO Land &amp; Water, Wembley, WA 6913, Australia; [Snape, I.] Dept Sustainabil Environm Water Populat &amp; Communi, Australian Antarctic Div, Kingston, Tas 9050, Australia</t>
  </si>
  <si>
    <t>University of Melbourne; Melbourne Bioinformatics; Commonwealth Scientific &amp; Industrial Research Organisation (CSIRO); Australian Antarctic Division</t>
  </si>
  <si>
    <t>Mumford, KA (corresponding author), Univ Melbourne, Dept Chem &amp; Biomol Engn, Particulate Fluids Proc Ctr, Melbourne, Vic 3010, Australia.</t>
  </si>
  <si>
    <t>mumfordk@unimelb.edu.au</t>
  </si>
  <si>
    <t>Rayner, John L/F-7633-2013; Mumford, Kathryn A/M-6566-2015</t>
  </si>
  <si>
    <t>Stevens, Geoffrey/0000-0002-5788-4682</t>
  </si>
  <si>
    <t>0045-6535</t>
  </si>
  <si>
    <t>1879-1298</t>
  </si>
  <si>
    <t>Chemosphere</t>
  </si>
  <si>
    <t>10.1016/j.chemosphere.2014.06.091</t>
  </si>
  <si>
    <t>AY0BP</t>
  </si>
  <si>
    <t>WOS:000347263300033</t>
  </si>
  <si>
    <t>Grunert, P; Tzanova, A; Harzhauser, M; Piller, WE</t>
  </si>
  <si>
    <t>Grunert, Patrick; Tzanova, Alexandrina; Harzhauser, Mathias; Piller, Werner E.</t>
  </si>
  <si>
    <t>Mid-Burdigalian Paratethyan alkenone record reveals link between orbital forcing, Antarctic ice-sheet dynamics and European climate at the verge to Miocene Climate Optimum</t>
  </si>
  <si>
    <t>Paratethys; Burdigalian; Early Ottnangian Cooling; alkenones; palaeoclimate; orbital forcing</t>
  </si>
  <si>
    <t>ALPINE FORELAND BASIN; REFERENCE SECTION; MOLASSE BASIN; EVOLUTION; STRATIGRAPHY; OLIGOCENE; GERMANY; SEA; ISOTOPE; BIOSTRATIGRAPHY</t>
  </si>
  <si>
    <t>The Early Ottnangian Cooling (EOC), a distinct cold-spell in European climate at similar to 18 Ma preceding the Miocene Climate Optimum, is frequently reported in Paratethys records; however, the duration, magnitude, and underlying causes are poorly understood. A new palaeoclimatic data-set provides unexpected insights into this event. U-37(K')-based sea-surface temperatures &gt; 24 degrees C between similar to 18.1 and 17.7 Myrs substantially exceed existing estimates, and indicate a significantly warmer European climate than previously assumed for this usually poorly recovered time interval. The EOC is expressed as an average drop of 2-3 degrees C in Paratethyan water temperatures between similar to 18.1 and 17.8 Myrs with two distinct cold snaps at similar to 17.86 Ma and similar to 17.81 Ma. The short duration of the EOC excludes Tethyan Seaway closure as its underlying cause, although the enhanced palaeoclimatic sensitivity of the Paratethys due to this palaeogeographic configuration potentially contributed to the magnitude of SST deterioration during the EOC. The revealed palaeoclimatic pattern shows a strong correlation with isotope event Mi-1b in deep-sea delta O-18 records, and we propose a tight palaeoclimatic link between the Southern Ocean and the Paratethys/Mediterranean realm as an alternative hypothesis. The interplay of modulations in the long-term (similar to 400 kyrs) and short-term (similar to 100 kyrs) eccentricity cycles most likely acted as pacemaker of this palaeoclimatic interaction. (C) 2014 The Authors. Published by Elsevier B.V.</t>
  </si>
  <si>
    <t>[Grunert, Patrick; Piller, Werner E.] Graz Univ, Inst Earth Sci, NAWI Graz, A-8010 Graz, Austria; [Tzanova, Alexandrina] Brown Univ, Dept Geol Sci, Providence, RI 02912 USA; [Harzhauser, Mathias] Nat Hist Museum Vienna, Geol Paleontol Dept, A-1030 Vienna, Austria</t>
  </si>
  <si>
    <t>University of Graz; Brown University</t>
  </si>
  <si>
    <t>Grunert, P (corresponding author), Graz Univ, Inst Earth Sci, NAWI Graz, Heinrichstr 26, A-8010 Graz, Austria.</t>
  </si>
  <si>
    <t>patrick.grunert@uni-graz.at</t>
  </si>
  <si>
    <t>Harzhauser, Mathias/0000-0002-4471-6655; Grunert, Patrick/0000-0002-3633-8674; Piller, Werner E./0000-0003-2808-4720</t>
  </si>
  <si>
    <t>Austrian Science Fund (FWF) [P23492-B17, P25831-N29]; Austrian Science Fund (FWF) [P23492] Funding Source: Austrian Science Fund (FWF)</t>
  </si>
  <si>
    <t>Austrian Science Fund (FWF)(Austrian Science Fund (FWF)); Austrian Science Fund (FWF)(Austrian Science Fund (FWF))</t>
  </si>
  <si>
    <t>We thank Rohol-Aufsuchungs AG for providing samples and internal reports from the boreholes Hochburg 1 and St. Georgen 1. Alkenone quantification was performed in the lab of Timothy D. Herbert at Brown University. The final version of the manuscript benefited from helpful comments by Fabrizio Lirer (Institute for Marine Coastal Environment IAMC, Naples, Italy) and an anonymous reviewer. This study contributes to projects P23492-B17 and P25831-N29 of the Austrian Science Fund (FWF).</t>
  </si>
  <si>
    <t>10.1016/j.gloplacha.2014.10.011</t>
  </si>
  <si>
    <t>AY5DB</t>
  </si>
  <si>
    <t>WOS:000347592300004</t>
  </si>
  <si>
    <t>Wobbe, F; Lindeque, A; Gohl, K</t>
  </si>
  <si>
    <t>Wobbe, Florian; Lindeque, Ansa; Gohl, Karsten</t>
  </si>
  <si>
    <t>Anomalous South Pacific lithosphere dynamics derived from new total sediment thickness estimates off the West Antarctic margin</t>
  </si>
  <si>
    <t>Sediment isopach map; Sediment thickness grid; Sediment volume; Residual basement depth; Dynamic topography; Paleotopography</t>
  </si>
  <si>
    <t>AMUNDSEN SEA EMBAYMENT; CRUSTAL STRUCTURE; NEW-ZEALAND; RIFT SYSTEM; MANTLE; TOPOGRAPHY; TRANSITION; VELOCITY; GRAVITY; DEPTH</t>
  </si>
  <si>
    <t>Paleotopographic models of the West Antarctic margin, which are essential for robust simulations of paleodimate scenarios, lack information on sediment thickness and geodynamic conditions, resulting in large uncertainties. A new total sediment thickness grid spanning the Ross Sea-Amundsen Sea-Bellingshausen Sea basins is presented and is based on all the available seismic reflection, borehole, and gravity modeling data offshore West Antarctica. This grid was combined with NGDC's global 5 arc minute grid of ocean sediment thickness (Whittaker et al., 2013) and extends the NGDC grid further to the south. Sediment thickness along the West Antarctic margin tends to be 3-4 km larger than previously assumed. The sediment volume in the Bellingshausen, Amundsen, and Ross Sea basins amounts to 3.61, 3.58, and 2.78 million km(3), respectively. The residual basement topography of the South Pacific has been revised and the new data show an asymmetric trend over the Pacific-Antarctic Ridge. Values are anomalously high south of the spreading ridge and in the Ross Sea area, where the topography seems to be affected by persistent mantle processes. In contrast the basement topography offshore Marie Byrd Land cannot be attributed to dynamic topography, but rather to crustal thickening due to intraplate volcanism. Present-day dynamic topography models disagree with the presented revised basement topography of the South Pacific, rendering paleotopographic reconstructions with such a limited dataset still fairly uncertain. (C) 2014 The Authors. Published by Elsevier B.V.</t>
  </si>
  <si>
    <t>[Wobbe, Florian; Gohl, Karsten] Alfred Wegener Inst Polar &amp; Marine Res, D-27568 Bremerhaven, Germany; [Lindeque, Ansa] TGS Geophys Co UK Ltd, Surbiton KT6 4BN, Surrey, England</t>
  </si>
  <si>
    <t>Wobbe, F (corresponding author), Alfred Wegener Inst Polar &amp; Marine Res, Alten Hafen 26, D-27568 Bremerhaven, Germany.</t>
  </si>
  <si>
    <t>fwobbe@awi.de</t>
  </si>
  <si>
    <t>Gohl, Karsten/0000-0002-9558-2116</t>
  </si>
  <si>
    <t>Earth System Sciences Research School (ESSReS); Helmholtz Association of German Research Centres (HGF) at the Alfred Wegener Institute (Awl); Deutsche Forschungsgemeinschaft [GO 724/10-1]</t>
  </si>
  <si>
    <t>Earth System Sciences Research School (ESSReS); Helmholtz Association of German Research Centres (HGF) at the Alfred Wegener Institute (Awl); Deutsche Forschungsgemeinschaft(German Research Foundation (DFG))</t>
  </si>
  <si>
    <t>This project has been funded by the Earth System Sciences Research School (ESSReS), a graduate school of the Helmholtz Association of German Research Centres (HGF) at the Alfred Wegener Institute (Awl), and through the Priority Program 1158 Antarctic Research' of the Deutsche Forschungsgemeinschaft under project number GO 724/10-1. We thank Doug Wilson and Carsten Scheuer, with whom we had helpful discussions, for sharing their results, and Nicolas Flament for the data exchange. Special thanks go to the New Zealand UNCLOS project for granting insight into seismic data off Chatham Rise. All of the figures in this publication were created using GMT (Generic Mapping Tools, Version 5, by Wessel et al., 2013).</t>
  </si>
  <si>
    <t>10.1016/j.gloplacha.2014.09.006</t>
  </si>
  <si>
    <t>WOS:000347592300013</t>
  </si>
  <si>
    <t>Venaille, A; Nadeau, LP; Vallis, G</t>
  </si>
  <si>
    <t>Venaille, Antoine; Nadeau, Louis-Philippe; Vallis, Geoffrey</t>
  </si>
  <si>
    <t>Ribbon turbulence</t>
  </si>
  <si>
    <t>PHYSICS OF FLUIDS</t>
  </si>
  <si>
    <t>STATISTICAL EQUILIBRIUM STATES; ANTARCTIC CIRCUMPOLAR CURRENT; GEOSTROPHIC TURBULENCE; 2-DIMENSIONAL TURBULENCE; MIDOCEAN EDDIES; EKMAN FRICTION; RED SPOT; MODEL; FLOW; VORTICES</t>
  </si>
  <si>
    <t>We investigate the non-linear equilibration of a two-layer quasi-geostrophic flow in a channel with an initial eastward baroclinically unstable jet in the upper layer, paying particular attention to the role of bottom friction. In the limit of low bottom friction, classical theory of geostrophic turbulence predicts an inverse cascade of kinetic energy in the horizontal with condensation at the domain scale and barotropization in the vertical. By contrast, in the limit of large bottom friction, the flow is dominated by ribbons of high kinetic energy in the upper layer. These ribbons correspond to meandering jets separating regions of homogenized potential vorticity. We interpret these results by taking advantage of the peculiar conservation laws satisfied by this system: the dynamics can be recast in such a way that the initial eastward jet in the upper layer appears as an initial source of potential vorticity levels in the upper layer. The initial baroclinic instability leads to a turbulent flow that stirs this potential vorticity field while conserving the global distribution of potential vorticity levels. Statistical mechanical theory of the 1 1/2 layer quasi-geostrophic model predicts the formation of two regions of homogenized potential vorticity separated by a minimal interface. We explain that cascade phenomenology leads to the same result. We then show that the dynamics of the ribbons results from a competition between a tendency to reach the equilibrium state and baroclinic instability that induces meanders of the interface. These meanders intermittently break and induce potential vorticity mixing, but the interface remains sharp throughout the flow evolution. We show that for some parameter regimes, the ribbons act as a mixing barrier which prevents relaxation toward equilibrium, favouring the emergence of multiple zonal (eastward) jets. (C) 2014 AIP Publishing LLC.</t>
  </si>
  <si>
    <t>[Venaille, Antoine] Ecole Normale Super Lyon, CNRS, Lab Phys, F-69007 Lyon, France; [Venaille, Antoine] Univ Lyon, F-69007 Lyon, France; [Nadeau, Louis-Philippe] MIT, EAPS, Cambridge, MA 02139 USA; [Vallis, Geoffrey] Univ Exeter, CEMPS, Exeter EX4 4QF, Devon, England</t>
  </si>
  <si>
    <t>Ecole Normale Superieure de Lyon (ENS de LYON); Universite Paris Cite; Centre National de la Recherche Scientifique (CNRS); Massachusetts Institute of Technology (MIT); University of Exeter</t>
  </si>
  <si>
    <t>Venaille, A (corresponding author), Ecole Normale Super Lyon, CNRS, Lab Phys, 46 Allee Italie, F-69007 Lyon, France.</t>
  </si>
  <si>
    <t>antoine.venaille@ens-lyon.fr</t>
  </si>
  <si>
    <t>venaille, antoine/ABG-4412-2021</t>
  </si>
  <si>
    <t>ANR LORIS [ANR-10-CEXC-010-01]; Division Of Ocean Sciences; Directorate For Geosciences [1259794] Funding Source: National Science Foundation</t>
  </si>
  <si>
    <t>ANR LORIS(Agence Nationale de la Recherche (ANR)); Division Of Ocean Sciences; Directorate For Geosciences(National Science Foundation (NSF)NSF - Directorate for Geosciences (GEO))</t>
  </si>
  <si>
    <t>We thank David Straub for useful discussions and two anonymous reviewers for numerous suggestions that helped to improve the presentation. A.V. was funded by ANR LORIS (ANR-10-CEXC-010-01) during part of this work.</t>
  </si>
  <si>
    <t>AMER INST PHYSICS</t>
  </si>
  <si>
    <t>1305 WALT WHITMAN RD, STE 300, MELVILLE, NY 11747-4501 USA</t>
  </si>
  <si>
    <t>1070-6631</t>
  </si>
  <si>
    <t>1089-7666</t>
  </si>
  <si>
    <t>PHYS FLUIDS</t>
  </si>
  <si>
    <t>Phys. Fluids</t>
  </si>
  <si>
    <t>10.1063/1.4904878</t>
  </si>
  <si>
    <t>Mechanics; Physics, Fluids &amp; Plasmas</t>
  </si>
  <si>
    <t>Mechanics; Physics</t>
  </si>
  <si>
    <t>AX8LS</t>
  </si>
  <si>
    <t>Green Submitted, Green Published</t>
  </si>
  <si>
    <t>WOS:000347161600061</t>
  </si>
  <si>
    <t>Estebenet, MSG; Guerstein, GR; Raising, MER</t>
  </si>
  <si>
    <t>Gonzalez Estebenet, M. Sol; Raquel Guerstein, G.; Rodriguez Raising, Martin E.</t>
  </si>
  <si>
    <t>Middle Eocene dinoflagellate cysts from Santa Cruz Province, Argentina: Biostratigraphy and paleoenvironment</t>
  </si>
  <si>
    <t>REVIEW OF PALAEOBOTANY AND PALYNOLOGY</t>
  </si>
  <si>
    <t>Dinoflagellate cyst; Middle Eocene; Southern Ocean; Paleoenvironment; Biostratigraphy</t>
  </si>
  <si>
    <t>SOUTHERN-OCEAN; SEA; SEDIMENTOLOGY; STRATIGRAPHY; ANTARCTICA; GREENHOUSE; CARBON</t>
  </si>
  <si>
    <t>The upper member of the Rio Turbio Formation is a well-exposed marine Eocene unit at high latitudes in Patagonia, Argentina. It holds important information helpful to reconstruct regional climate and oceanographic patterns in an area adjacent to the Drake Passage. Knowledge on the paleoenvironmental and paleoceanographic evolution of the southwestern Atlantic Ocean during the Paleogene is hindered by the lack of precise tools to date and correlate the sedimentary units. In this paper we present the dinoflagellate cyst assemblages from the upper member of the Rio Turbio Formation and compare the stratigraphic distribution of their species with the ranges proposed in the Paleogene Southern Pacific Ocean dinoflagellate cyst zonation. The abundance of Enneadocysta dictyostila, the first occurrence of Impagidinium parvireticulatum and the presence of Vozzhennikovia apertura all allow us to propose a mid-Lutetian to mid-Priabonian age (44.6 to 34 Ma) for the upper member of the Rio Turbio Formation. The study section is characterized by a middle Eocene endemic-Antarctic dinocyst assemblage. According to the dinocyst assemblages the analyzed section can be divided into four zones. Zone I is dominated by E. dictyostila, which points to a distal setting in an inner shelf environment. Zone II exhibits a high abundance of V. apertura, thus suggesting high trophic levels and cool waters in a shallow-marine, coastal environment. Zone III is dominated by I. parvireticulatum and a lower abundance of E. dictyostila, both species indicating a possible deepening of the depositional area with increasing influence of oceanic waters. Finally, Zone IV is dominated by V. apertura, indicating shallow marine waters. Our data suggest that V. apertura could have been produced by a stress-tolerant dinoflagellate species. Toward the top of the section, the samples are dominated exclusively by sporomorphs and zygospores of fresh-water green algae, which indicate a transition from a tide-dominated deltaic to a continental environment (C) 2014 Elsevier B.V. All rights reserved.</t>
  </si>
  <si>
    <t>[Gonzalez Estebenet, M. Sol; Raquel Guerstein, G.; Rodriguez Raising, Martin E.] Univ Nacl Sur, Inst Geol Sur, Dept Geol, Bahia Blanca, Buenos Aires, Argentina; [Gonzalez Estebenet, M. Sol; Raquel Guerstein, G.] Consejo Nacl Invest Cient &amp; Tecn, RA-1033 Buenos Aires, DF, Argentina</t>
  </si>
  <si>
    <t>National University of the South; Consejo Nacional de Investigaciones Cientificas y Tecnicas (CONICET)</t>
  </si>
  <si>
    <t>Estebenet, MSG (corresponding author), Univ Nacl Sur, Inst Geol Sur, Dept Geol, San Juan 670,B8000ICN, Bahia Blanca, Buenos Aires, Argentina.</t>
  </si>
  <si>
    <t>sol.gonzalezestebenet@uns.edu.ar; raquel.guerstein@uns.edu.ar; martin_rodriguezraising@yahoo.com.ar</t>
  </si>
  <si>
    <t>Guerstein, G. Raquel/0000-0003-1623-1084</t>
  </si>
  <si>
    <t>Agencia Nacional de Promocion Cientifica y Tecnologica [PICT 89/09]; Consejo Nacional de Investigaciones Cientificas y Tecnicas [PIP: 112-201101-00566]; Universidad Nacional del Sur [PGI 24/H101]</t>
  </si>
  <si>
    <t>Agencia Nacional de Promocion Cientifica y Tecnologica(ANPCyTSpanish Government); Consejo Nacional de Investigaciones Cientificas y Tecnicas(Consejo Nacional de Investigaciones Cientificas y Tecnicas (CONICET)); Universidad Nacional del Sur</t>
  </si>
  <si>
    <t>The authors thank O. Cardenas for palynological technical assistance. R. Fensome and P.K. Bijl helped to considerably improve a preliminary version of the manuscript with their comments. We thank J. Cornago for the linguistic improvement of the manuscript. J. Blackford (RPP Editor), J. Pross and an anonymous reviewer critically evaluated and improved this research paper. This study was funded by grants from the Agencia Nacional de Promocion Cientifica y Tecnologica (PICT 89/09), from Consejo Nacional de Investigaciones Cientificas y Tecnicas (PIP: 112-201101-00566) and from Universidad Nacional del Sur (PGI 24/H101).</t>
  </si>
  <si>
    <t>0034-6667</t>
  </si>
  <si>
    <t>1879-0615</t>
  </si>
  <si>
    <t>REV PALAEOBOT PALYNO</t>
  </si>
  <si>
    <t>Rev. Palaeobot. Palynology</t>
  </si>
  <si>
    <t>10.1016/j.revpalbo.2014.09.002</t>
  </si>
  <si>
    <t>Plant Sciences; Paleontology</t>
  </si>
  <si>
    <t>AX8BX</t>
  </si>
  <si>
    <t>WOS:000347136600004</t>
  </si>
  <si>
    <t>Vale, RTR; Fewster, RM; Carroll, EL; Patenaude, NJ</t>
  </si>
  <si>
    <t>Vale, R. T. R.; Fewster, R. M.; Carroll, E. L.; Patenaude, N. J.</t>
  </si>
  <si>
    <t>Maximum Likelihood Estimation for Model Mt,α for Capture-Recapture Data with Misidentification</t>
  </si>
  <si>
    <t>BIOMETRICS</t>
  </si>
  <si>
    <t>Genetic capture-recapture; Latent multinomial; Mark recapture; Misidentification; Natural tags; Photo-identification</t>
  </si>
  <si>
    <t>MARK-RECAPTURE; POPULATION-SIZE; ABUNDANCE; INFERENCE; ERROR</t>
  </si>
  <si>
    <t>We investigate model Mt, for abundance estimation in closed-population capture-recapture studies, where animals are identified from natural marks such as DNA profiles or photographs of distinctive individual features. Model Mt, extends the classical model Mt to accommodate errors in identification, by specifying that each sample identification is correct with probability and false with probability 1-. Information about misidentification is gained from a surplus of capture histories with only one entry, which arise from false identifications. We derive an exact closed-form expression for the likelihood for model Mt, and show that it can be computed efficiently, in contrast to previous studies which have held the likelihood to be computationally intractable. Our fast computation enables us to conduct a thorough investigation of the statistical properties of the maximum likelihood estimates. We find that the indirect approach to error estimation places high demands on data richness, and good statistical properties in terms of precision and bias require high capture probabilities or many capture occasions. When these requirements are not met, abundance is estimated with very low precision and negative bias, and at the extreme better properties can be obtained by the naive approach of ignoring misidentification error. We recommend that model Mt, be used with caution and other strategies for handling misidentification error be considered. We illustrate our study with genetic and photographic surveys of the New Zealand population of southern right whale (Eubalaena australis).</t>
  </si>
  <si>
    <t>[Vale, R. T. R.] IRD, Asteron Ctr, Wellington, New Zealand; [Fewster, R. M.] Univ Auckland, Dept Stat, Auckland 1, New Zealand; [Carroll, E. L.] Univ Auckland, Sch Biol Sci, Auckland 1, New Zealand; [Patenaude, N. J.] Coll Int St Anne, Montreal, PQ H8S 2M8, Canada</t>
  </si>
  <si>
    <t>University of Auckland; University of Auckland</t>
  </si>
  <si>
    <t>Fewster, RM (corresponding author), Univ Auckland, Dept Stat, Private Bag 92019, Auckland 1, New Zealand.</t>
  </si>
  <si>
    <t>r.fewster@auckland.ac.nz</t>
  </si>
  <si>
    <t>Carroll, Emma/U-9133-2019</t>
  </si>
  <si>
    <t>Carroll, Emma/0000-0003-3193-7288; Fewster, Rachel/0000-0002-4384-978X</t>
  </si>
  <si>
    <t>Whale and Dolphin Conservation Society; US Department of State (Program for Cooperative US/NZ Antarctic Research); Auckland University Research Council; NZ Marsden Fund; NZ Department of Conservation; Australian Antarctic Division; Heseltine Trust; OMV NZ Ltd; Tertiary Education Commission Top Achiever Scholarship</t>
  </si>
  <si>
    <t>Whale and Dolphin Conservation Society; US Department of State (Program for Cooperative US/NZ Antarctic Research); Auckland University Research Council; NZ Marsden Fund(Royal Society of New ZealandMarsden Fund (NZ)); NZ Department of Conservation; Australian Antarctic Division; Heseltine Trust; OMV NZ Ltd; Tertiary Education Commission Top Achiever Scholarship</t>
  </si>
  <si>
    <t>We thank Scott Baker, Simon Childerhouse, Debbie Steel, and all fieldworkers involved in the Auckland Island surveys. We thank the associate editor and referees for their helpful comments which greatly improved the article, and David Gauld for insight on constrained optimization. Field and laboratory work was funded by the Whale and Dolphin Conservation Society, the US Department of State (Program for Cooperative US/NZ Antarctic Research), the Auckland University Research Council, the NZ Marsden Fund, the NZ Department of Conservation, the Australian Antarctic Division, the Heseltine Trust, and OMV NZ Ltd. ELC was supported by a Tertiary Education Commission Top Achiever Scholarship.</t>
  </si>
  <si>
    <t>0006-341X</t>
  </si>
  <si>
    <t>1541-0420</t>
  </si>
  <si>
    <t>Biometrics</t>
  </si>
  <si>
    <t>10.1111/biom.12195</t>
  </si>
  <si>
    <t>Biology; Mathematical &amp; Computational Biology; Statistics &amp; Probability</t>
  </si>
  <si>
    <t>Life Sciences &amp; Biomedicine - Other Topics; Mathematical &amp; Computational Biology; Mathematics</t>
  </si>
  <si>
    <t>AX3GF</t>
  </si>
  <si>
    <t>WOS:000346827500020</t>
  </si>
  <si>
    <t>Cianfarra, P; Salvini, F</t>
  </si>
  <si>
    <t>Cianfarra, Paola; Salvini, Francesco</t>
  </si>
  <si>
    <t>Ice sheet surface lineaments as nonconventional indicators of East Antarctica bedrock tectonics</t>
  </si>
  <si>
    <t>GEOSPHERE</t>
  </si>
  <si>
    <t>WILKES SUBGLACIAL BASIN; LAKE; HIGHLANDS; VOSTOK; FAULT; FLOW; MOUNTAINS; GRAVITY; GEOLOGY; ORIGIN</t>
  </si>
  <si>
    <t>A recent focus of major international exploration in East Antarctica has been aimed at revealing its bedrock topography and imaging its tectonic architecture and evolution. Here we present the tectonic interpretation of regional-scale lineaments revealed by the Radarsat mosaic of Antarctica on the ice sheet surface in the Vostok-Dome C-Adventure Basin region. These lineaments appear in the radar backscatter textures as alignments of marked tonal variations with lengths of tens to hundreds of kilometers and were identified using an automated methodology. We explore the origin scenarios for the ice sheet surface lineaments by comparing their azimuthal trends and spatial distribution with the main morphotectonic features of the bedrock. Azimuthal analysis reveals that lineaments cluster around two preferential directions interpreted as structural or tectonic domains. These show strong correlations with azimuths of tectonic fabrics in the bedrock. The main lineament domain parallels the morphotectonic features of the study area, namely the Adventure Basin and the Concordia and Aurora Trenches. The second lineament set corresponds to the mean orientation of the Lake Vostok depression. The spatial analyses of the two lineament domains strengthen our findings and interpretations. Comparisons with wind and ice flow directions exclude their influence on the identified lineament pattern. Results reveal the tectonic origin of the lineament domains, and demonstrate the method's usefulness as a tool for tectonic studies of regions characterized by thick covers. These regions include other areas of the East Antarctic craton such as the Gamburtsev Subglacial Mountains, as well as deserts or surfaces of other planets.</t>
  </si>
  <si>
    <t>[Cianfarra, Paola; Salvini, Francesco] Univ Roma Tre, Sez Geol, Dipartimento Sci, I-00146 Rome, Italy</t>
  </si>
  <si>
    <t>Roma Tre University</t>
  </si>
  <si>
    <t>Cianfarra, P (corresponding author), Univ Roma Tre, Sez Geol, Dipartimento Sci, Largo San Leonardo Murialdo 1, I-00146 Rome, Italy.</t>
  </si>
  <si>
    <t>paola.cianfarra@uniroma3.it; francesco.salvini@uniroma3.it</t>
  </si>
  <si>
    <t>CIANFARRA, Paola/JCE-5168-2023; CIANFARRA, Paola/AAQ-5641-2020</t>
  </si>
  <si>
    <t>CIANFARRA, Paola/0000-0001-9396-4519</t>
  </si>
  <si>
    <t>PNRA Consortium; ENEA (Agenzia Nazionale per le Nuove Tecnologie, L'Energia e lo Sviluppo Economico Sostenibile)</t>
  </si>
  <si>
    <t>Research was carried out in the framework of the Project CABILA (Caratterizzazione Biogeochirnica dei Laghi Subglaciali Antartici) of the PNRA-MIUR (Programma Nazionale Di Ricerche in Antartide-Ministry of Education, University and Research) and financially supported by the PNRA Consortium through collaboration with ENEA (Agenzia Nazionale per le Nuove Tecnologie, L'Energia e lo Sviluppo Economico Sostenibile). We thank reviewers for insightful comments that improved the manuscript.</t>
  </si>
  <si>
    <t>1553-040X</t>
  </si>
  <si>
    <t>Geosphere</t>
  </si>
  <si>
    <t>10.1130/GES01074.1</t>
  </si>
  <si>
    <t>AX2DA</t>
  </si>
  <si>
    <t>WOS:000346752400019</t>
  </si>
  <si>
    <t>Avinash, K; Deepika, B; Jayappa, KS</t>
  </si>
  <si>
    <t>Avinash, Kumar; Deepika, B.; Jayappa, K. S.</t>
  </si>
  <si>
    <t>Basin geomorphology and drainage morphometry parameters used as indicators for groundwater prospect: Insight from geographical information system (GIS) technique</t>
  </si>
  <si>
    <t>JOURNAL OF EARTH SCIENCE</t>
  </si>
  <si>
    <t>hydrogeomorphology; drainage morphometry; prioritization; groundwater prospect; Mulki-Pavanje River Basin; remote sensing</t>
  </si>
  <si>
    <t>PRIORITIZATION; SUBWATERSHEDS; RIVER; AREA</t>
  </si>
  <si>
    <t>Influence of structural and lithological controls of various drainage patterns and their stream orientations (for 2nd, 3rd and 4th order steams) were identified to evaluate the direction and controlling factors of drainage network. To investigate the prospect of groundwater, hydrogeomorphological features of river basin viz. Mulki-Pavanje were identified and mapped. To evaluate the characteristics of the basin, different morphometric parameters (linear, areal and relief) were computed in sub-basin wise (SB-I to -VII). The linear parameters suggest drainage network is controlled by geomorphology. The form factor (F (f)), elongation ratio (R (e)) and circularity ratio (R (c)) suggest that the basin is in an elongated shape. The drainage density (D (d)) indicates resistant/permeable strata under medium-dense vegetation with moderate relief. The areal parameters of the sub-basins (except SBI and III) indicates moderate ground-slopes associated with moderately permeable rocks, which promote moderate run-off and infiltration. Drainage texture (T) of the whole basin indicates coarse texture while the SB-I, and III showing an intermediate texture. The relief parameters namely ruggedness number (R (n) ) infers low basin relief and poor drainage density. To identify the most deficit/surplus zones of groundwater suitable weightages were assigned to the hydrogeomorphological units and morphometric parameters. The study reveal that the basin manifest that SB-III shall be most deficit zone of groundwater, whereas SB-VII, VI and V are found to show increase in groundwater potentiality. Groundwater prospect area in this basin is estimated to be 7% area under poor, 44% area under moderate and 49% area under good to excellent. This paper demonstrated the potential application of geographical information system (GIS) techniques to evaluate the groundwater prospect in absence of traditional groundwater monitoring data.</t>
  </si>
  <si>
    <t>[Avinash, Kumar] Natl Ctr Antarctic &amp; Ocean Res, Vasco Da Gama 403804, Goa, India; [Deepika, B.; Jayappa, K. S.] Mangalore Univ, Dept Marine Geol, Mangalore 574199, India</t>
  </si>
  <si>
    <t>Ministry of Earth Sciences (MoES) - India; National Centre for Polar and Ocean Research (NCPOR); Mangalore University</t>
  </si>
  <si>
    <t>Avinash, K (corresponding author), Natl Ctr Antarctic &amp; Ocean Res, Vasco Da Gama 403804, Goa, India.</t>
  </si>
  <si>
    <t>kumaravinash13@gmail.com</t>
  </si>
  <si>
    <t>ANIKUZHIYIL, ANISH/Y-8609-2018</t>
  </si>
  <si>
    <t>Avinash, Kumar/0000-0002-6511-8435; Jayappa, K. S./0000-0001-7930-0265</t>
  </si>
  <si>
    <t>CHINA UNIV GEOSCIENCES, WUHAN</t>
  </si>
  <si>
    <t>WUHAN</t>
  </si>
  <si>
    <t>388 LIMO RD, WUHAN, CHINA MAINLAND 430074, PEOPLES R CHINA</t>
  </si>
  <si>
    <t>1674-487X</t>
  </si>
  <si>
    <t>1867-111X</t>
  </si>
  <si>
    <t>J EARTH SCI-CHINA</t>
  </si>
  <si>
    <t>J. Earth Sci.</t>
  </si>
  <si>
    <t>10.1007/s12583-014-0505-8</t>
  </si>
  <si>
    <t>AX2KG</t>
  </si>
  <si>
    <t>WOS:000346771700007</t>
  </si>
  <si>
    <t>Funaki, M; Higashino, SI; Sakanaka, S; Iwata, N; Nakamura, N; Hirasawa, N; Obara, N; Kuwabara, M</t>
  </si>
  <si>
    <t>Funaki, Minoru; Higashino, Shin-Ichiro; Sakanaka, Shinya; Iwata, Naoyoshi; Nakamura, Norihiro; Hirasawa, Naohiko; Obara, Noriaki; Kuwabara, Mikio</t>
  </si>
  <si>
    <t>Small unmanned aerial vehicles for aeromagnetic surveys and their flights in the South Shetland Islands, Antarctica</t>
  </si>
  <si>
    <t>POLAR SCIENCE</t>
  </si>
  <si>
    <t>UAV; Ant-Plane; Deception Island; Autonomous flight; Aeromagnetic survey</t>
  </si>
  <si>
    <t>BRANSFIELD STRAIT; WEST ANTARCTICA; ANT-PLANE; GRAVITY; RIFT</t>
  </si>
  <si>
    <t>We developed small computer-controlled unmanned aerial vehicles (UAVs, Ant-Plane) using parts and technology designed for model airplanes. These UAVs have a maximum flight range of 300-500 km. We planned aeromagnetic and aerial photographic surveys using the UAVs around Bransfleld Basin, Antarctica, beginning from King George Island. However, we were unable to complete these flights due to unsuitable weather conditions and flight restrictions. Successful flights were subsequently conducted from Livingston Island to Deception Island in December 2011. This flight covered 302.4 km in 3:07:08, providing aeromagnetic and aerial photographic data from an altitude of 780 m over an area of 9 x 18 km around the northern region of Deception Island. The resulting magnetic anomaly map of Deception Island displayed higher resolution than the marine anomaly maps published already. The flight to South Bay in Livingston Island successfully captured aerial photographs that could be used for assessment of glacial and sea-ice conditions. It is unclear whether the cost-effectiveness of the airborne survey by UAV is superior to that of manned flight. Nonetheless, Ant-Plane 6-3 proved to be highly cost-effective for the Deception Island flight, considering the long downtime of the airplane in the Antarctic storm zone. (C) 2014 Elsevier B.V. and NIPR. All rights reserved.</t>
  </si>
  <si>
    <t>[Funaki, Minoru; Hirasawa, Naohiko] Natl Inst Polar Res, Tachikawa, Tokyo 1908518, Japan; [Higashino, Shin-Ichiro] Kyushu Univ, Nishi Ku, Fukuoka 8190395, Japan; [Sakanaka, Shinya] Akita Univ, Tegata, Akita 0108502, Japan; [Iwata, Naoyoshi] Yamagata Univ, Yamagata 9908560, Japan; [Nakamura, Norihiro] Tohoku Univ, Sendai, Miyagi 9808578, Japan; [Obara, Noriaki] Robotista Co, Koganei, Tokyo 1840005, Japan; [Kuwabara, Mikio] RC Serv Co, Isehara, Kanagawa 3400022, Japan</t>
  </si>
  <si>
    <t>Research Organization of Information &amp; Systems (ROIS); National Institute of Polar Research (NIPR) - Japan; Kyushu University; Akita University; Yamagata University; Tohoku University</t>
  </si>
  <si>
    <t>Funaki, M (corresponding author), Natl Inst Polar Res, 10-3 Midori Machi, Tachikawa, Tokyo 1908518, Japan.</t>
  </si>
  <si>
    <t>funakiminoru@gmail.com</t>
  </si>
  <si>
    <t>Nakamura, Norihiro/AAC-3884-2019; Iwata, Naoyoshi/B-7554-2008</t>
  </si>
  <si>
    <t>Nakamura, Norihiro/0000-0001-5914-3004; Iwata, Naoyoshi/0000-0002-0017-9130</t>
  </si>
  <si>
    <t>Escudero Base; St. Kliment Station; Juan Carlos I Base (The Council of Scientific Research (CSIC), Spain); icebreaker Araon (KOPRI); Chilean navy ship Aquiles [AP-41]; Spanish Antarctic ship Las Palmas; Brazilian Airforce [C-130]; Japan Society for the Promotion of Science [22403006]; NIPR publication subsidy; Grants-in-Aid for Scientific Research [22403006, 24403001] Funding Source: KAKEN</t>
  </si>
  <si>
    <t>Escudero Base; St. Kliment Station; Juan Carlos I Base (The Council of Scientific Research (CSIC), Spain); icebreaker Araon (KOPRI); Chilean navy ship Aquiles; Spanish Antarctic ship Las Palmas; Brazilian Airforce; Japan Society for the Promotion of Science(Ministry of Education, Culture, Sports, Science and Technology, Japan (MEXT)Japan Society for the Promotion of Science); NIPR publication subsidy; Grants-in-Aid for Scientific Research(Ministry of Education, Culture, Sports, Science and Technology, Japan (MEXT)Japan Society for the Promotion of ScienceGrants-in-Aid for Scientific Research (KAKENHI))</t>
  </si>
  <si>
    <t>The authors thank the Korean Polar Research Institute (KOPRI), the Chilean Antarctic Institute (INACH), and the Bulgarian Antarctic Institute (BAT) for the use of King Sejong Station, Escudero Base, St. Kliment Station, and Juan Carlos I Base (The Council of Scientific Research (CSIC), Spain), respectively, and for providing support for this research. Transportation of cargo and the research team was supported by the icebreaker Araon (KOPRI), the Chilean navy ship Aquiles (AP-41), the Spanish Antarctic ship Las Palmas, and the Brazilian Airforce C-130. We are especially grateful to Prof. Yeadong Kim, Prof. Jong Kuk Hong, and Prof. Hyoung Chul Shin (KOPRI); Director Jose Retamales Espinoza, Dr. Javier Arata S., Dr. Veronica Vallejos M., and Dr. Cristian Rodrigo (INACH); Prof. Christo Pimpirev, Dr. Dimo Dimov, and Mr. Dragomir Mateev (BAT); Dr. Bulat Maviyudov (leader of Bellingshausen Station, 2011-2012); Dr. Miguel A. Ojeda (Unidad de Tecnologia Marina, Barcelona, Spain); Prof. Jesus Galindo-Zaldivar (Universidad de Granada, Spain); and Dr. Manuel Catalan (Real Instituto y Observatorio de la Armada, Spain) for assistance with this project. This research was financed by a Grant-in Aid for Scientific Research B (No. 22403006, 2010-2012) awarded by the Japan Society for the Promotion of Science. The production of this paper was supported by an NIPR publication subsidy.</t>
  </si>
  <si>
    <t>1873-9652</t>
  </si>
  <si>
    <t>1876-4428</t>
  </si>
  <si>
    <t>POLAR SCI</t>
  </si>
  <si>
    <t>Polar Sci.</t>
  </si>
  <si>
    <t>10.1016/j.polar.2014.07.001</t>
  </si>
  <si>
    <t>AX4HT</t>
  </si>
  <si>
    <t>WOS:000346894800003</t>
  </si>
  <si>
    <t>Sabu, P; Anilkumar, N; George, JV; Chacko, R; Tripathy, SC; Achuthankutty, CT</t>
  </si>
  <si>
    <t>Sabu, P.; Anilkumar, N.; George, Jenson V.; Chacko, Racheal; Tripathy, S. C.; Achuthankutty, C. T.</t>
  </si>
  <si>
    <t>The influence of air-sea-ice interactions on an anomalous phytoplankton bloom in the Indian Ocean sector of the Antarctic Zone of the Southern Ocean during the austral summer, 2011</t>
  </si>
  <si>
    <t>Phytoplankton bloom; Advection; Southern annular mode; Antarctic zone</t>
  </si>
  <si>
    <t>WATER MASSES; IRON; CHLOROPHYLL; VARIABILITY; CIRCULATION; FRONTS; EDGE; DISTRIBUTIONS; HEMISPHERE; DYNAMICS</t>
  </si>
  <si>
    <t>An anomalous phytoplankton bloom was recorded in the Indian Ocean sector of the Antarctic Zone (AZ) of the Southern Ocean (SO) during the austral summer, 2011. Possible mechanisms for the triggering of such a large bloom were analyzed with the help of in situ and satellite data. The bloom, which formed in January 2011, intensified during February and weakened by March. High surface chlorophyll (Chl) concentrations (0.76 mg m(-3)) were observed in the area of the bloom (60 degrees S, 47 degrees E) with a Deep Chlorophyll Maximum (DCM) of 1.15 mg m(-3) at a depth of 40-60 m. During 2011, both the concentration and spatial extent of sea ice were high on the western side of the bloom, between 0 degrees E and 40 degrees E, and enhanced freshwater influx was observed in the study area as a result of melting ice. A positive Southern Annular Mode (SAM) (with a resultant northward horizontal advection) and an intense La Nina during 2010-2011 are possible reasons for the high sea-ice concentrations. The enhanced Chl a observed in the study region, which can be attributed to the phytoplankton bloom, likely resulted from the influx of nutrient-laden freshwater derived from melting sea ice. (C) 2014 Elsevier B.V. and NIPR. All rights reserved.</t>
  </si>
  <si>
    <t>[Sabu, P.; Anilkumar, N.; George, Jenson V.; Chacko, Racheal; Tripathy, S. C.; Achuthankutty, C. T.] Minist Earth Sci, Natl Ctr Antarct &amp; Ocean Res, Vasco Da Gama 403804, Goa, India</t>
  </si>
  <si>
    <t>Ministry of Earth Sciences (MoES) - India; National Centre for Polar and Ocean Research (NCPOR)</t>
  </si>
  <si>
    <t>Sabu, P (corresponding author), Minist Earth Sci, Natl Ctr Antarct &amp; Ocean Res, Vasco Da Gama 403804, Goa, India.</t>
  </si>
  <si>
    <t>sabu@ncaor.gov.in</t>
  </si>
  <si>
    <t>George, Jenson/GXH-1342-2022</t>
  </si>
  <si>
    <t>Tripathy, Dr. Sarat Chandra/0000-0002-2437-8660; Chacko, Racheal/0000-0002-0205-776X</t>
  </si>
  <si>
    <t>Ministry of Earth Sciences, Government of India</t>
  </si>
  <si>
    <t>Ministry of Earth Sciences, Government of India(Ministry of Earth Science (MoES), Government of India)</t>
  </si>
  <si>
    <t>This work was supported by the Ministry of Earth Sciences, Government of India. We are thankful to the Director of National Centre for Antarctic and Ocean Research (NCAOR) for support and encouragement. Help rendered by cruise participants and staff at NCAOR is acknowledged. We thank Dr. Sini Pavithran for chlorophyll data. We are also grateful to Dr. Vinu Valsala for his valuable suggestions. We would like to thank the two anonymous reviewers for their constructive comments and suggestions. This is NCAOR contribution No.16/2014.</t>
  </si>
  <si>
    <t>10.1016/j.polar.2014.08.001</t>
  </si>
  <si>
    <t>WOS:000346894800005</t>
  </si>
  <si>
    <t>Hu, WG; Zhang, Q; Li, DY; Cheng, G; Mu, J; Wu, QB; Niu, FJ; An, LZ; Feng, HY</t>
  </si>
  <si>
    <t>Hu, Weigang; Zhang, Qi; Li, Dingyao; Cheng, Gang; Mu, Jing; Wu, Qingbai; Niu, Fujun; An, Lizhe; Feng, Huyuan</t>
  </si>
  <si>
    <t>Diversity and community structure of fungi through a permafrost core profile from the Qinghai-Tibet Plateau of China</t>
  </si>
  <si>
    <t>JOURNAL OF BASIC MICROBIOLOGY</t>
  </si>
  <si>
    <t>Permafrost; Fungal diversity; Community structure; Qinghai-Tibet Plateau</t>
  </si>
  <si>
    <t>ANTARCTIC PERMAFROST; SIBERIAN PERMAFROST; BACTERIA; SOILS; BIODIVERSITY; YEASTS; CARBON; DNA; RECOVERY; ECOLOGY</t>
  </si>
  <si>
    <t>While a vast number of studies have addressed the prokaryotic diversity in permafrost, characterized by subzero temperatures, low water activity, and extremely low rates of nutrient and metabolite transfer, fungal patterns have received surprisingly limited attention. Here, the fungal diversity and community structure were investigated by culture-dependent technique combined with cloning-restriction fragment length polymorphism (RFLP) analysis of sediments in a 10-m-long permafrost core from the Qinghai-Tibet Plateau of China. A total of 62 fungal phylotypes related to 10 distinct classes representing three phyla were recovered from 5031 clones generated in 13 environmental gene libraries. A large proportion of the phylotypes (25/62) that were distantly related to described fungal species appeared to be novel diversity. Ascomycota was the predominant group of fungi, with respect to both clone and phylotype number. Our results suggested there was the existence of cosmopolitan psychrophilic or psychrotolerant fungi in permafrost sediments, the community composition of fungi varied with increasing depth, while these communities largely distributed according to core layers.</t>
  </si>
  <si>
    <t>[Hu, Weigang; Zhang, Qi; Li, Dingyao; Cheng, Gang; Mu, Jing; An, Lizhe; Feng, Huyuan] Lanzhou Univ, Minist Educ, Key Lab Cell Activ &amp; Stress Adaptat, Sch Life Sci, Lanzhou 730000, Peoples R China; [Wu, Qingbai; Niu, Fujun] Chinese Acad Sci, SKLFSE, CAREERI, Lanzhou, Peoples R China</t>
  </si>
  <si>
    <t>Lanzhou University; Chinese Academy of Sciences; Cold &amp; Arid Regions Environmental &amp; Engineering Research Institute, CAS</t>
  </si>
  <si>
    <t>Feng, HY (corresponding author), Lanzhou Univ, Minist Educ, Key Lab Cell Activ &amp; Stress Adaptat, Sch Life Sci, Lanzhou 730000, Peoples R China.</t>
  </si>
  <si>
    <t>qbwu@lzb.ac.cn; niufujun@lzb.ac.cn; fenghy@lzu.edu.cn</t>
  </si>
  <si>
    <t>Hu, Weigang/CAH-3530-2022; Yang, Xiaoming/GRJ-9483-2022</t>
  </si>
  <si>
    <t>Hu, Weigang/0000-0003-1422-3726; Yang, Xiaoming/0000-0002-1792-6921</t>
  </si>
  <si>
    <t>National Basic Research Program [2012CB026105]; PhD Programs Foundation of Ministry of Education [20110211110021, 20130211120005]; State Key Laboratory of Frozen Soil Engineering, Chinese Academy of Sciences [SKLFSE200901]</t>
  </si>
  <si>
    <t>National Basic Research Program(National Basic Research Program of China); PhD Programs Foundation of Ministry of Education; State Key Laboratory of Frozen Soil Engineering, Chinese Academy of Sciences(Chinese Academy of Sciences)</t>
  </si>
  <si>
    <t>The authors are grateful to Y. Deng, G. Jiang, P. Zhang, and Y. Yang for successful field work. We thank the Editor and anonymous reviewers for constructive comments that improved this manuscript. This research was supported by National Basic Research Program (2012CB026105), National Natural Science Foundation (31370450, 31300445), PhD Programs Foundation of Ministry of Education (20110211110021, 20130211120005), and State Key Laboratory of Frozen Soil Engineering, Chinese Academy of Sciences (SKLFSE200901).</t>
  </si>
  <si>
    <t>0233-111X</t>
  </si>
  <si>
    <t>1521-4028</t>
  </si>
  <si>
    <t>J BASIC MICROB</t>
  </si>
  <si>
    <t>J. Basic Microbiol.</t>
  </si>
  <si>
    <t>10.1002/jobm.201400232</t>
  </si>
  <si>
    <t>AW4OK</t>
  </si>
  <si>
    <t>WOS:000346260300006</t>
  </si>
  <si>
    <t>Persson, BRR; Holm, E</t>
  </si>
  <si>
    <t>Persson, Bertil R. R.; Holm, Elis</t>
  </si>
  <si>
    <t>7Be, 210pb, and 210Po in the surface air from the Arctic to Antarctica</t>
  </si>
  <si>
    <t>JOURNAL OF ENVIRONMENTAL RADIOACTIVITY</t>
  </si>
  <si>
    <t>Be-7; (210)pb; (210)pb; Atmosphere; Arctic; Antarctica</t>
  </si>
  <si>
    <t>ATMOSPHERIC DEPOSITION FLUXES; GROUND LEVEL AIR; TROPOSPHERIC AEROSOLS; PB-210 CONCENTRATION; RESIDENCE TIME; PRECIPITATION; TRANSPORT; CS-137; RADIONUCLIDES; BERYLLIUM-7</t>
  </si>
  <si>
    <t>In the present study we have investigated the activity concentrations of Pb-210, Po-210 as well as Be-7 in surface air of the North and South Atlantic (1988-1989), the Arctic Ocean (1991), and along the coastline of Siberia (1994) during succeeding expeditions in the Swedish Polar Research program. During the cruises in the Arctic Ocean during 1991-07-28 to 1991-10-04 the average air concentrations of Be-7 was 0.6 +/- 0.4 mBq/m(3), Pb-210 40 +/- 4 mu Bq/m(3) and Po-210-38 +/- 10 mu Bq/m(3). During the Swedish-Russian Tundra Ecology-94 expedition along the Siberian coastline the average air concentrations of Be-7 and Pb-210 measured during May-July were 11 +/- 3, and 2.4 +/- 0.4 mBq/m(3), and during July-September they were 7.2 +/- 2 and 2.7 +/- 1.1 mBq/m(3) respectively. The results from measurements of the activity concentration of Pb-210 in the air over the Arctic Ocean vary between 75 and 176 mu Bq/m(3). In the air close to land masses, however, the activity concentration of Pb-210 in the air increases to 269-2712 mu Bq/m(3). The activity concentration of Be-7 in the South Atlantic during the cruise down to Antarctica varied between 1.3 and 1.7 with an average of 1.5 +/- 0.8 mBq/m(3). The activity concentration of Pb-210 in the South Atlantic down to Antarctica varied between 6 and 14 mu Bq/m(3). At the Equator the activity concentration recorded in November 1988 was 630 mu Bq/m(3) and in April 1989 it was 260 mu Bq/m(3). The average activity concentration of Pb-210 during the route Gothenburg-Montevideo in 1988 was 290 and on the return Montevideo-Gothenburg it was 230 mu Bq/m(3). The activity concentration of Po-210 in the South Atlantic down to Antarctica varied between 15 and 58 mu Bq/m(3). At the Equator the activity concentration in November 1988 was 170 and in April 1989 it was 70 mu Bq/m(3). The average activity concentration of Po-210 during the route Gothenburg-Montevideo in 1988 was 63 and on the return Montevideo-Gothenburg it was 60 mu Bq/m(3). The average of the activity concentrations in the Antarctic air of Pb-210 was 27 +/- 10 mu Bq/m(3) and of Po-210 it was 12 +/- 7 mu Bq/m(3). All our results were compiled together with other published data, and the global latitudinal distribution of Pb-210 was converted to total annual deposition (Bq/m(2)/a) and fitted to a 4th degree polynomial. By using the global latitudinal distribution of Po-210/Pb-210-activity ratio from our own results the global latitudinal distribution of Po-210 annual deposition was derived. (C) 2014 Elsevier Ltd. All rights reserved.</t>
  </si>
  <si>
    <t>[Persson, Bertil R. R.] Lund Univ, SE-22185 Lund, Sweden; [Holm, Elis] Univ Gothenburg, Sahlgren Acad, Dept Radiat Phys, SE-41345 Gothenburg, Sweden</t>
  </si>
  <si>
    <t>Lund University; University of Gothenburg</t>
  </si>
  <si>
    <t>Persson, BRR (corresponding author), Lund Univ, Barngatan 2, SE-22185 Lund, Sweden.</t>
  </si>
  <si>
    <t>bertil_r.persson@med.lu.se</t>
  </si>
  <si>
    <t>Persson, Bertil/0000-0002-5502-5972</t>
  </si>
  <si>
    <t>Swedish Polar Institute; Royal Physiographic Society in Lund</t>
  </si>
  <si>
    <t>We wish to thank Kjell-Ake Carlsson for his skilful management of the logistics before and during the expeditions and Gertie Svensson for her excellent laboratory work. We also want to thank The Swedish Polar Institute for supporting our participation in the expeditions. Also the support of The Royal Physiographic Society in Lund is greatly acknowledged.</t>
  </si>
  <si>
    <t>0265-931X</t>
  </si>
  <si>
    <t>1879-1700</t>
  </si>
  <si>
    <t>J ENVIRON RADIOACTIV</t>
  </si>
  <si>
    <t>J. Environ. Radioact.</t>
  </si>
  <si>
    <t>10.1016/j.jenvrad.2014.01.008</t>
  </si>
  <si>
    <t>AW3WY</t>
  </si>
  <si>
    <t>WOS:000346215100044</t>
  </si>
  <si>
    <t>Benevolenskaya, EE; Shapovalov, SN; Kostuchenko, IG</t>
  </si>
  <si>
    <t>Benevolenskaya, E. E.; Shapovalov, S. N.; Kostuchenko, I. G.</t>
  </si>
  <si>
    <t>Solar Spectral Irradiance and Total Solar Irradiance at a Solar Minimum</t>
  </si>
  <si>
    <t>Results are presented for a wavelet analysis of solar spectral irradiance (SSI) in the ultraviolet to infrared range and total solar irradiance (TSI). The study is based on data collected by the Solar Radiation and Climate Experiment (SORCE) satellite from March 10, 2007 to January 23, 2010. Cross-wavelet analysis finds relationships of varying degrees of tightness between SSI, TSI, and magnetic flux in a sunspot zone on the surface rotation timescales of solar activity complexes. Wavelet coherence shows how magnetic flux variations within a latitudinal sunspot zone are related with spectral irradiance variations. For example, variations in ultraviolet radiation at UV 200.5 nm are in phase with those of the magnetic flux associated with solar activity complexes. However, there is an unusual interval UV 310 to 380 nm, in which coherent structures disappear and UV radiation variations do not follow the changes in the magnetic flux.</t>
  </si>
  <si>
    <t>[Benevolenskaya, E. E.] Russian Acad Sci, Main Pulkovo Astron Observ, St Petersburg 196140, Russia; [Benevolenskaya, E. E.] St Petersburg State Univ, St Petersburg 199034, Russia; [Shapovalov, S. N.] Arctic &amp; Antarctic Res Inst, St Petersburg 199226, Russia; [Kostuchenko, I. G.] LY Karpov Phys Chem Res Inst, Moscow 103064, Russia</t>
  </si>
  <si>
    <t>Pulkovo Observatory; Russian Academy of Sciences; St. Petersburg Scientific Centre of the Russian Academy of Sciences; Saint Petersburg State University; Arctic &amp; Antarctic Research Institute; Karpov Institute of Physical Chemistry</t>
  </si>
  <si>
    <t>Benevolenskaya, EE (corresponding author), Russian Acad Sci, Main Pulkovo Astron Observ, St Petersburg 196140, Russia.</t>
  </si>
  <si>
    <t>benevolenskayae@mail.ru</t>
  </si>
  <si>
    <t>Benevolenskaya, Elena/I-2424-2012</t>
  </si>
  <si>
    <t>Presidium of the Russian Academy of Sciences [22]</t>
  </si>
  <si>
    <t>Presidium of the Russian Academy of Sciences(Russian Academy of Sciences)</t>
  </si>
  <si>
    <t>We are grateful to Dr. Grinsted, Prof. Moore, Dr. Jevrejeva, Dr. Torrence, Dr. Combo, and Dr. Breiten-berger for the opportunity to use the Wavelet Matlab package. We also thank the SORCE and WSO research teams for the public access data. This work was supported in part by the Presidium of the Russian Academy of Sciences, program no. 22.</t>
  </si>
  <si>
    <t>10.1134/S0016793214070032</t>
  </si>
  <si>
    <t>AW0FB</t>
  </si>
  <si>
    <t>WOS:000345965100011</t>
  </si>
  <si>
    <t>Chen, F; Friedman, S; Gertler, CG; Looney, J; O'Connell, N; Sierks, K; Mitrovica, JX</t>
  </si>
  <si>
    <t>Chen, Florence; Friedman, Sarah; Gertler, Charles G.; Looney, James; O'Connell, Nizhoni; Sierks, Katie; Mitrovica, Jerry X.</t>
  </si>
  <si>
    <t>Refining Estimates of Polar Ice Volumes during the MIS11 Interglacial Using Sea Level Records from South Africa</t>
  </si>
  <si>
    <t>ELEVATED MARINE DEPOSITS; BERMUDA RECORD; HIGHSTAND; COLLAPSE; SHEETS; PLEISTOCENE; ANALOG; EARTH</t>
  </si>
  <si>
    <t>Peak eustatic sea level (ESL), or minimum ice volume, during the protracted marine isotope stage 11 (MIS11) interglacial at similar to 420 ka remains a matter of contention. A recent study of high-stand markers of MIS11 age from the tectonically stable southern coast of South Africa estimated a peak ESL of 13 m. The present study refines this estimate by taking into account both the uncertainty in the correction for glacial isostatic adjustment (GIA) and the geographic variability of sea level change following polar ice sheet collapse. In regard to the latter, the authors demonstrate, using gravitationally self-consistent numerical predictions of postglacial sea level change, that rapid melting from any of the three major polar ice sheets (West Antarctic, Greenland, or East Antarctic) will lead to a local sea level rise in southern South Africa that is 15%-20% higher than the eustatic sea level rise associated with the ice sheet collapse. Taking this amplification and a range of possible GIA corrections into account and assuming that the tectonic correction applied in the earlier study is correct, the authors revise downward the estimate of peak ESL during MIS11 to 8-11.5m.</t>
  </si>
  <si>
    <t>[Chen, Florence; Friedman, Sarah; Gertler, Charles G.; Looney, James; O'Connell, Nizhoni; Sierks, Katie; Mitrovica, Jerry X.] Harvard Univ, Dept Earth &amp; Planetary Sci, Cambridge, MA 02138 USA</t>
  </si>
  <si>
    <t>Harvard University</t>
  </si>
  <si>
    <t>Mitrovica, JX (corresponding author), Harvard Univ, Dept Earth &amp; Planetary Sci, 20 Oxford St, Cambridge, MA 02138 USA.</t>
  </si>
  <si>
    <t>jxm@eps.harvard.edu</t>
  </si>
  <si>
    <t>Gertler, Charles/HKE-8331-2023</t>
  </si>
  <si>
    <t>Harvard University; National Science Foundation; Canadian Institute for Advanced Research</t>
  </si>
  <si>
    <t>Harvard University; National Science Foundation(National Science Foundation (NSF)); Canadian Institute for Advanced Research(Canadian Institute for Advanced Research (CIFAR))</t>
  </si>
  <si>
    <t>The authors acknowledge support from Harvard University, the National Science Foundation, and the Canadian Institute for Advanced Research.</t>
  </si>
  <si>
    <t>45 BEACON ST, BOSTON, MA 02108-3693, UNITED STATES</t>
  </si>
  <si>
    <t>10.1175/JCLI-D-14-00282.1</t>
  </si>
  <si>
    <t>AW1NC</t>
  </si>
  <si>
    <t>WOS:000346055100009</t>
  </si>
  <si>
    <t>Wilson, AB; Bromwich, DH; Hines, KM; Wang, SH</t>
  </si>
  <si>
    <t>Wilson, Aaron B.; Bromwich, David H.; Hines, Keith M.; Wang, Sheng-hung</t>
  </si>
  <si>
    <t>El Nino Flavors and Their Simulated Impacts on Atmospheric Circulation in the High Southern Latitudes</t>
  </si>
  <si>
    <t>PINE ISLAND GLACIER; SEA-ICE; WEST ANTARCTICA; WARM POOL; ENSO; PACIFIC; CLIMATE; VARIABILITY; OSCILLATION; TEMPERATURE</t>
  </si>
  <si>
    <t>Two El Nino flavors have been defined based on whether warm sea surface temperature (SST) anomalies are located in the central or eastern tropical Pacific (CP or EP). This study further characterizes the impacts on atmospheric circulation in the high latitudes of the Southern Hemisphere associated with these types of El Nino events though a series of numerical simulations using the National Center for Atmospheric Research Community Atmosphere Model (CAM). Comparing results with the Interim ECMWF Re-Analysis (ERA-Interim), CAM simulates well the known changes to blocking over Australia and a southward shift in the subtropical jet stream across the eastern Pacific basin during CP events. More importantly for the high southern latitudes, CAM simulates a westward shift in upper-level divergence in the tropical Pacific, which causes the Pacific-South American stationary wave pattern to shift toward the west across the entire South Pacific. These changes to the Rossby wave source region impact the South Pacific convergence zone and jet streams and weaken the high-latitude blocking that is typically present in the Amundsen-Bellingshausen Seas during EP events. Anticyclonic flow becomes established farther west in the south central Pacific, modifying high-latitude heat and momentum fluxes across the South Pacific and South Atlantic associated with the ENSO-Antarctic dipole.</t>
  </si>
  <si>
    <t>[Wilson, Aaron B.; Bromwich, David H.; Hines, Keith M.; Wang, Sheng-hung] Ohio State Univ, Byrd Polar Res Ctr, Polar Meteorol Grp, Columbus, OH 43210 USA; [Bromwich, David H.] Ohio State Univ, Dept Geog, Atmospher Sci Program, Columbus, OH 43210 USA</t>
  </si>
  <si>
    <t>University System of Ohio; Ohio State University; University System of Ohio; Ohio State University</t>
  </si>
  <si>
    <t>Wilson, AB (corresponding author), Ohio State Univ, Byrd Polar Res Ctr, Polar Meteorol Grp, 1090 Carmack Rd, Columbus, OH 43210 USA.</t>
  </si>
  <si>
    <t>wilson.1010@osu.edu</t>
  </si>
  <si>
    <t>Bromwich, David H/C-9225-2016</t>
  </si>
  <si>
    <t>National Science Foundation (NSF) [ATM-0751291, PLR-1341695]</t>
  </si>
  <si>
    <t>National Science Foundation (NSF)(National Science Foundation (NSF)National Research Foundation of Korea)</t>
  </si>
  <si>
    <t>This research was supported by the National Science Foundation (NSF) Grants ATM-0751291 and PLR-1341695. CAM simulations were conducted using the Ohio Supercomputing Center's (https://www.osc.edu/) IBM Cluster 1350 (Glenn Cluster). The authors thank Jialin Lin of the Atmospheric Sciences Program in the Department of Geography at The Ohio State University for his insightful direction on the construction of the lower boundary conditions for the idealized simulations presented in this manuscript.</t>
  </si>
  <si>
    <t>10.1175/JCLI-D-14-00296.1</t>
  </si>
  <si>
    <t>WOS:000346055100021</t>
  </si>
  <si>
    <t>Parkinson, CL</t>
  </si>
  <si>
    <t>Parkinson, Claire L.</t>
  </si>
  <si>
    <t>Global Sea Ice Coverage from Satellite Data: Annual Cycle and 35-Yr Trends</t>
  </si>
  <si>
    <t>VARIABILITY</t>
  </si>
  <si>
    <t>Well-established satellite-derived Arctic and Antarctic sea ice extents are combined to create the global picture of sea ice extents and their changes over the 35-yr period 1979-2013. Results yield a global annual sea ice cycle more in line with the high-amplitude Antarctic annual cycle than the lower-amplitude Arctic annual cycle but trends more in line with the high-magnitude negative Arctic trends than the lower-magnitude positive Antarctic trends. Globally, monthly sea ice extent reaches a minimum in February and a maximum generally in October or November. All 12 months show negative trends over the 35-yr period, with the largest magnitude monthly trend being the September trend, at -68 200 +/- 10 500 km(2) yr(-1) (-2.62% +/- 0.40% decade(-1)), and the yearly average trend being -35 000 +/- 5900km(2) yr(-1) (21.47% +/- 0.25% decade(-1)).</t>
  </si>
  <si>
    <t>[Parkinson, Claire L.] NASA, Goddard Space Flight Ctr, Greenbelt, MD 20771 USA</t>
  </si>
  <si>
    <t>Parkinson, CL (corresponding author), NASA, Goddard Space Flight Ctr, Cryospher Sci Lab, Code 615, Greenbelt, MD 20771 USA.</t>
  </si>
  <si>
    <t>claire.l.parkinson@nasa.gov</t>
  </si>
  <si>
    <t>Parkinson, Claire L/E-1747-2012; Parkinson, Claire/JAC-7676-2023</t>
  </si>
  <si>
    <t>Parkinson, Claire L/0000-0001-6730-4197; Parkinson, Claire/0000-0001-6730-4197</t>
  </si>
  <si>
    <t>NASA</t>
  </si>
  <si>
    <t>NASA(National Aeronautics &amp; Space Administration (NASA))</t>
  </si>
  <si>
    <t>The author thanks Nick DiGirolamo of Science Systems and Applications, Inc., for his help in the generation of the figures, John E. Walsh for his help as the journal editor in charge of the paper, anonymous reviewers for their constructive comments, and the NASA Cryospheric Sciences Program for funding the work.</t>
  </si>
  <si>
    <t>10.1175/JCLI-D-14-00605.1</t>
  </si>
  <si>
    <t>AW1NK</t>
  </si>
  <si>
    <t>WOS:000346055900023</t>
  </si>
  <si>
    <t>Fogt, RL; Zbacnik, EA</t>
  </si>
  <si>
    <t>Fogt, Ryan L.; Zbacnik, Elizabeth A.</t>
  </si>
  <si>
    <t>Sensitivity of the Amundsen Sea Low to Stratospheric Ozone Depletion</t>
  </si>
  <si>
    <t>SOUTHERN ANNULAR MODE; ANTARCTIC PENINSULA; HEMISPHERE; VARIABILITY; CLIMATE; TRENDS</t>
  </si>
  <si>
    <t>Dramatic sea ice loss in the Amundsen and Bellingshausen Seas and regional warming in West Antarctica and the Antarctica Peninsula have been observed over the last few decades. Both of these changes are strongly influenced by the presence of the Amundsen Sea low (ASL), a climatological region of low pressure in the Amundsen Sea. Studies have demonstrated a deepening of the ASL, particularly in austral spring and to a lesser extent autumn, the former related to decreases in the underlying cyclone central pressures and the latter previously suggested to be due to stratospheric ozone depletion. This study further investigates the sensitivity of the ASL to stratospheric ozone depletion using geopotential height from a suite of chemistry-climate models (CCMs) as well as historical simulations from phase 5 of the Coupled Model Intercomparison Project (CMIP5). Overall, both model types capture the mean characteristics of the ASL, although they have notable positive height biases at 850 hPa and a subdued seasonal cycle in its longitudinal position. Comparing across model simulations, it is observed that there is a pronounced influence of stratospheric ozone depletion in the vicinity of the ASL in the stratosphere through the lower troposphere during austral summer, consistent with the positive phase of the southern annular mode. In the autumn, the authors note a weaker, secondary influence of stratospheric ozone depletion on the ASL only in the CMIP5 simulations.</t>
  </si>
  <si>
    <t>Ohio Univ, Scalia Lab Atmospher Anal, Athens, OH 45701 USA; Ohio Univ, Dept Geog, Athens, OH 45701 USA</t>
  </si>
  <si>
    <t>University System of Ohio; Ohio University; University System of Ohio; Ohio University</t>
  </si>
  <si>
    <t>Fogt, RL (corresponding author), Ohio Univ, Dept Geog, Clippinger Labs 122, Athens, OH 45701 USA.</t>
  </si>
  <si>
    <t>fogtr@ohio.edu</t>
  </si>
  <si>
    <t>Fogt, Ryan L/B-6989-2008</t>
  </si>
  <si>
    <t>Fogt, Ryan L/0000-0002-5398-3990</t>
  </si>
  <si>
    <t>National Science Foundation Office of Polar Programs [ANT-0944168]</t>
  </si>
  <si>
    <t>National Science Foundation Office of Polar Programs(National Science Foundation (NSF)NSF - Directorate for Geosciences (GEO))</t>
  </si>
  <si>
    <t>All authors acknowledge support from the National Science Foundation Office of Polar Programs Grant ANT-0944168. Thanks are extended to NCEP, ECMWF, and the Japanese Meteorological Agency for their reanalysis data. Additionally the authors thank the modeling groups for making their CCM simulations available for analysis, the Chemistry-Climate Model Validation (CCMVal) Activity for WCRP's (World Climate Research Programme) SPARC (Stratospheric Processes and their Role in Climate) project for coordinating the model data analysis activity, and the British Atmospheric Data Center for collecting and archiving the data. The CMIP5 data were obtained from the Earth System Grid Federation, and the various modeling centers are thanked for their historical simulations that contributed to this research study.</t>
  </si>
  <si>
    <t>10.1175/JCLI-D-13-00657.1</t>
  </si>
  <si>
    <t>WOS:000346055900024</t>
  </si>
  <si>
    <t>Calderan, S; Miller, B; Collins, K; Ensor, P; Double, M; Leaper, R; Barlow, J</t>
  </si>
  <si>
    <t>Calderan, Susannah; Miller, Brian; Collins, Kym; Ensor, Paul; Double, Michael; Leaper, Russell; Barlow, Jay</t>
  </si>
  <si>
    <t>Low-frequency vocalizations of sei whales (Balaenoptera borealis) in the Southern Ocean</t>
  </si>
  <si>
    <t>Simultaneous sightings and acoustic detections of sei whales (Balaenoptera borealis) are scarce, and there are few published data describing their vocalizations. Analysis of recordings from directional frequency analysis and recording sonobuoys in the presence of sei whales in the Southern Ocean in March 2013 identified both downsweep and upsweep calls. Sound frequencies within all calls were between 34 and 87 Hz with an average call duration of 1.1 s. These very low-frequency sounds share characteristics with sei whale calls recorded near the Hawaiian Islands and off Cape Cod in winter and summer, respectively, but are the first documented sei whale calls in the Southern Ocean that are clearly less than 100 Hz. (C) 2014 Acoustical Society of America</t>
  </si>
  <si>
    <t>[Calderan, Susannah; Miller, Brian; Collins, Kym; Ensor, Paul; Double, Michael] Australian Antarctic Div, Australian Marine Mammal Ctr, Kingston, Tas 7050, Australia; [Leaper, Russell] Univ Aberdeen, Sch Biol Sci, Aberdeen AB24 2TZ, Scotland; [Barlow, Jay] NOAA, Southwest Fisheries Sci Ctr, Natl Marine Fisheries Serv, La Jolla, CA 92037 USA</t>
  </si>
  <si>
    <t>Australian Antarctic Division; University of Aberdeen; National Oceanic Atmospheric Admin (NOAA) - USA</t>
  </si>
  <si>
    <t>Calderan, S (corresponding author), Australian Antarctic Div, Australian Marine Mammal Ctr, Channel Highway, Kingston, Tas 7050, Australia.</t>
  </si>
  <si>
    <t>susannah.calderan@scoter.org; brian.miller@aad.gov.au; kymcollins77@gmail.com; paulensor@xtra.co.nz; mike.double@aad.gov.au; r.c.leaper@abdn.ac.uk; jay.barlow@noaa.gov</t>
  </si>
  <si>
    <t>Barlow, Jay/D-3565-2019</t>
  </si>
  <si>
    <t>Barlow, Jay/0000-0001-7862-855X; Miller, Brian/0000-0001-7615-3044</t>
  </si>
  <si>
    <t>Australian Antarctic Division team</t>
  </si>
  <si>
    <t>It is a pleasure to acknowledge the support of the Australian Antarctic Division team, both at sea and on land; the scientists and support staff on the voyage; Talley's Group Ltd. and Gardline Shipping Ltd. and the exceptional crew of FV Amaltal Explorer. Shannon Rankin provided many helpful comments on an earlier draft which greatly improved this manuscript.</t>
  </si>
  <si>
    <t>EL418</t>
  </si>
  <si>
    <t>EL423</t>
  </si>
  <si>
    <t>10.1121/1.4902422</t>
  </si>
  <si>
    <t>AW0IX</t>
  </si>
  <si>
    <t>WOS:000345976500005</t>
  </si>
  <si>
    <t>Zhang, HS; Han, ZB; Zhao, J; Yu, PS; Hu, CY; Sun, WP; Yang, D; Zhu, GH; Lu, B; Peter, HU; Vetter, W</t>
  </si>
  <si>
    <t>Zhang HaiSheng; Han ZhengBing; Zhao Jun; Yu PeiSong; Hu ChuanYu; Sun WeiPing; Yang Dan; Zhu GenHai; Lu Bing; Peter, Hans-UIrich; Vetter, Walter</t>
  </si>
  <si>
    <t>Phytoplankton and chlorophyll a relationships with ENSO in Prydz Bay, East Antarctica</t>
  </si>
  <si>
    <t>SCIENCE CHINA-EARTH SCIENCES</t>
  </si>
  <si>
    <t>Prydz Bay; Antarctica; phytoplankton; chlorophyll a; sea ice melting; El Nino/La Nina; satellite remote sensing</t>
  </si>
  <si>
    <t>EL-NINO; TROPICAL PACIFIC; CIRCUMPOLAR WAVE; OCEAN; SEAWIFS; TELECONNECTIONS; OSCILLATIONS; TEMPERATURE; VARIABILITY; NUTRIENT</t>
  </si>
  <si>
    <t>The historical data of phytoplankton and chlorophyll a (Chl a) (1990-2002) obtained during the Chinese National Antarctic Research Expedition (CHINARE) in the Prydz Bay have been integrated. The results showed that the temperature, salinity, nutrients, and oxygen of seawater changed when El Nio/La Nia occurred. The variation of biological communities reflected the response of ecosystem to environmental changes. During El Nio period, Chl a concentration and phytoplankton community structure changed significantly, and the relative proportion of diatoms increased while dinoflagellates decreased. During La Nia period, the proportion of diatoms decreased, but the golden-brown algae and blue-green algae increased significantly. The variation of phytoplankton population directly affected the biodiversity of the bay, which were also quite sensitive to the marine environment changes. Meanwhile, the satellite remote sensing data of 2002-2011 (December-March) have been used to study the temporal connection change of Chl a and phytoplankton in the Prydz Bay. We found that there were significant differences in the monthly variation characteristics of satellite remote sensing Chl a and sea surface temperature (SST), which had some links with sea ice melting and El Nio/La Nia events. We found that the start time of bloom advanced, lagged or synchronized with the changes of the SST, and we also found the occurrence time of phytoplankton bloom corresponded with the sea ice melting inner bay. To some extent, this study will help us understand the relationships between ENSO events and the phytoplankton bloom in the Southern Ocean.</t>
  </si>
  <si>
    <t>[Zhang HaiSheng; Han ZhengBing; Zhao Jun; Yu PeiSong; Hu ChuanYu; Sun WeiPing; Yang Dan; Zhu GenHai; Lu Bing] State Ocean Adm, Inst Oceanog 2, Hangzhou 310012, Zhejiang, Peoples R China; [Zhang HaiSheng; Han ZhengBing; Zhao Jun; Yu PeiSong; Hu ChuanYu; Sun WeiPing; Yang Dan; Zhu GenHai; Lu Bing] State Ocean Adm, Lab Marine Ecosyst &amp; Biogeochem, Hangzhou 310012, Zhejiang, Peoples R China; [Peter, Hans-UIrich; Vetter, Walter] Univ Jena, Inst Ecol, D-07743 Jena, Germany</t>
  </si>
  <si>
    <t>Friedrich Schiller University of Jena</t>
  </si>
  <si>
    <t>Zhang, HS (corresponding author), State Ocean Adm, Inst Oceanog 2, Hangzhou 310012, Zhejiang, Peoples R China.</t>
  </si>
  <si>
    <t>zhangsoa@163.com</t>
  </si>
  <si>
    <t>Zhao, Jun/E-2834-2012</t>
  </si>
  <si>
    <t>Zhao, Jun/0000-0001-6592-3365</t>
  </si>
  <si>
    <t>National Natural Science Foundation of China [40876104, 41076134, 41306202, 41376193]; Scientific Research Fund of the Second Institute, SOA [JT1208, JG1217, JG1218]</t>
  </si>
  <si>
    <t>National Natural Science Foundation of China(National Natural Science Foundation of China (NSFC)); Scientific Research Fund of the Second Institute, SOA</t>
  </si>
  <si>
    <t>This study was supported by the National Natural Science Foundation of China (Grant Nos. 40876104, 41076134, 41306202, and 41376193) and the Scientific Research Fund of the Second Institute, SOA (Grant Nos. JT1208, JG1217 and JG1218). Analyses and visualizations used in this paper were produced with the Giovanni online data system, developed and maintained by the NASA GES DISC. We also thank the Chinese Arctic and Antarctic Administration (CAA) for supporting the field work of this research.</t>
  </si>
  <si>
    <t>1674-7313</t>
  </si>
  <si>
    <t>1869-1897</t>
  </si>
  <si>
    <t>SCI CHINA EARTH SCI</t>
  </si>
  <si>
    <t>Sci. China-Earth Sci.</t>
  </si>
  <si>
    <t>10.1007/s11430-014-4939-8</t>
  </si>
  <si>
    <t>AW3FE</t>
  </si>
  <si>
    <t>WOS:000346170700019</t>
  </si>
  <si>
    <t>Durán, AC; Reyes-Moya, I; Fernández, B; Rodríguez, C; Sans-Coma, V; Grimes, AC</t>
  </si>
  <si>
    <t>Duran, Ana C.; Reyes-Moya, Ismael; Fernandez, Borja; Rodriguez, Cristina; Sans-Coma, Valentin; Grimes, Adrian C.</t>
  </si>
  <si>
    <t>The anatomical components of the cardiac outflow tract of the gray bichir, Polypterus senegalus: their evolutionary significance</t>
  </si>
  <si>
    <t>ZOOLOGY</t>
  </si>
  <si>
    <t>Heart evolution; Heart morphology; Bulbus arteriosus; Conus arteriosus; Polypterus</t>
  </si>
  <si>
    <t>ACIPENSER-NACCARII HEART; CONUS ARTERIOSUS; BULBUS ARTERIOSUS; ANTARCTIC TELEOSTS; ZEBRAFISH HEART; VALVES; POLE; DOGFISH; FISH</t>
  </si>
  <si>
    <t>It has been reported that in chondrichthyans the cardiac outflow tract is composed of the myocardial conus arteriosus, while in most teleosteans it consists of the nonmyocardial bulbus arteriosus. Classical studies already indicated that a conus and a bulbus coexist in several ancient actinopterygian and teleost groups. Recent work has shown that a cardiac outflow tract consisting of a conus and a bulbus is common to both cartilaginous and bony fishes. Nonetheless and despite their position at the base of the actinopterygian phylogenetic lineage, the anatomical arrangement of the cardiac outflow tract of the Polypteriformes remained uncertain. The present study of hearts from gray bichirs was intended to fill this gap. The cardiac outflow tract of the bichir consists of two main components, namely a very long conus arteriosus, furnished with valves, and a short, intrapericardial, arterial-like bulbus arteriosus, which differs from the ventral aorta because it is covered by epicardium, shows a slightly different spatial arrangement of the histological elements and is crossed-by coronary arteries. Histomorphologically, the outflow tract consists of three longitudinal regions, distal, middle and proximal, an arrangement which has been suggested to be common to all vertebrates. The distal region corresponds to the bulbus, while the conus comprises the middle and proximal regions. The present findings reinforce the notion that the bulbus arteriosus of fish has played an essential role in vertebrate heart evolution as it is the precursor of the intrapericardial trunks of the aorta and pulmonary artery of birds and mammals. (C) 2014 Published by Elsevier GmbH.</t>
  </si>
  <si>
    <t>[Duran, Ana C.; Reyes-Moya, Ismael; Fernandez, Borja; Rodriguez, Cristina; Sans-Coma, Valentin] Univ Malaga, Dept Anim Biol, Fac Sci, E-29071 Malaga, Spain; [Grimes, Adrian C.] Univ Wisconsin, Sch Med &amp; Publ Hlth, Dept Pediat, Madison, WI 53705 USA</t>
  </si>
  <si>
    <t>Universidad de Malaga; University of Wisconsin System; University of Wisconsin Madison</t>
  </si>
  <si>
    <t>Durán, AC (corresponding author), Univ Malaga, Dept Anim Biol, Fac Sci, Campus Teatinos S-N, E-29071 Malaga, Spain.</t>
  </si>
  <si>
    <t>acduran@uma.es</t>
  </si>
  <si>
    <t>Corujo, Francisco Borja Fernández/AAG-8258-2020; /AAG-9282-2020; RM, Ismael/HTN-0117-2023</t>
  </si>
  <si>
    <t>Corujo, Francisco Borja Fernández/0000-0001-9179-910X;</t>
  </si>
  <si>
    <t>Subdireccion General de Proyectos de Investigacion (Ministerio de Economia y Competitividad, Madrid, Spain) [CGL2010-16417]; FEDER funds; Beca de Colaboracion de Estudiantes en Departamentos Universitarios (Ministerio de Educacion, Cultura y Deporte, Madrid, Spain)</t>
  </si>
  <si>
    <t>Subdireccion General de Proyectos de Investigacion (Ministerio de Economia y Competitividad, Madrid, Spain); FEDER funds(European Union (EU)); Beca de Colaboracion de Estudiantes en Departamentos Universitarios (Ministerio de Educacion, Cultura y Deporte, Madrid, Spain)</t>
  </si>
  <si>
    <t>This study was funded by the Subdireccion General de Proyectos de Investigacion (Ministerio de Economia y Competitividad, Madrid, Spain; contract grant number: CGL2010-16417) and FEDER funds. Ismael Reyes-Moya is the recipient of the fellowship Beca de Colaboracion de Estudiantes en Departamentos Universitarios 2013/2014 (Ministerio de Educacion, Cultura y Deporte, Madrid, Spain). The authors would like to thank Mr. Luis Vida, Malaga, for his technical assistance.</t>
  </si>
  <si>
    <t>ELSEVIER GMBH, URBAN &amp; FISCHER VERLAG</t>
  </si>
  <si>
    <t>JENA</t>
  </si>
  <si>
    <t>OFFICE JENA, P O BOX 100537, 07705 JENA, GERMANY</t>
  </si>
  <si>
    <t>0944-2006</t>
  </si>
  <si>
    <t>10.1016/j.zool.2014.05.003</t>
  </si>
  <si>
    <t>AW3WC</t>
  </si>
  <si>
    <t>WOS:000346213000002</t>
  </si>
  <si>
    <t>April, A</t>
  </si>
  <si>
    <t>April, Andre</t>
  </si>
  <si>
    <t>Modelling of Ocean Shallow Convection under Fast Ice in the Arctic</t>
  </si>
  <si>
    <t>interaction air-ice-ocean; Arctic; thermodynamic analysis; modelling</t>
  </si>
  <si>
    <t>NORTH WATER POLYNYA; SEA-ICE; MIXED-LAYER; PYCNOCLINE; RADARSAT-1; EVOLUTION; CLIMATE; COVER; FLUX</t>
  </si>
  <si>
    <t>Ocean convection in the Antarctic has been studied many times and has been revealed to be responsible for ice-cover reduction. In the Arctic, proof of that phenomenon has not been documented. It is believed that this phenomenon happens on a smaller scale in the Arctic when local circulation of deep warmer water melts and slows ice production. An example of this is the North Water (NOW) polynya in northern Baffin Bay. A polynya is an area of open water in an otherwise ice-covered area. As ice forms under the fast ice near the boundary of the polynya, ocean salts (brine) are ejected from the newly formed ice. This water, which has an increased concentration of salt, sinks and is replaced by warmer water from below, and this slows ice formation. In our study a coupled one-dimensional thermodynamic snow-fast ice model incorporating ocean heat flux input via a shallow convection model was used. Ice thickness was calculated using a thermodynamic model that included a current-induced entrainment model and a convection model to account for brine rejection during ice growth. Atmospheric observations from Grise Fiord and Thule and ocean profiles around the NOW polynya near these sites were used as input to the model. This purely thermodynamic study enables us to obtain ice thickness values that can be compared with qualitative observations. This modelling study compares two sites related to the NOW polynya. The results indicate that the shallow convection model simulates the reduction of fast ice near Thule but not near Grise Fiord. Resume[Traduit par la redaction] La convection oceanique dans l'Antarctique a ete etudiee a de nombreuses reprises et il ressort qu'elle est la cause de la reduction de la couverture de glace. Dans l'Arctique, aucune preuve de l'existence de ce phenomene n'a pas ete documentee. On croit que ce phenomene se produit a une plus petite echelle dans l'Arctique quand la circulation locale d'eau profonde plus chaude fait fondre la glace ou en ralentit la production. La polynie des eaux du Nord, dans le nord de la baie de Baffin, en est un exemple. Une polynie est une superficie d'eau libre dans une region autrement couverte de glace. mesure que la glace se forme sous la banquise cotiere pres de la lisiere de la polynie, le sel oceanique (saumure) se trouve ejecte de la glace nouvellement formee. Cette eau, dont la concentration en sel est plus forte, s'enfonce et est remplacee de l'eau plus chaude d'en dessous, et cela ralentit la formation de la glace. Dans cette etude, nous avons utilise un modele thermodynamique unidimensionnel couple neige-banquise cotiere incorporant l'effet du flux de chaleur oceanique au moyen d'un modele de convection peu profonde. L'epaisseur de la glace a ete calculee a l'aide d'un modele thermodynamique qui incorporait un modele d'entrainement par le courant ainsi qu'un modele de convection pour tenir compte du rejet de saumure durant la croissance de la glace. Les observations atmospheriques de Grise Fiord et de Thule et les profiles oceaniques entourant la polynie des eaux du Nord a proximite de ces sites ont servi de donnees d'entrees pour le modele. Cette etude purement thermodynamique nous permet d'obtenir des valeurs d'epaisseur de glace pouvant etre comparees aux observations qualitatives. Cette etude par modele compare deux sites se rapportant a la polynie des eaux du Nord. Les resultats indiquent que le modele de convection peu profonde simule la reduction de la banquise cotiere pres de Thule mais non pres de Grise Fiord.</t>
  </si>
  <si>
    <t>Environm Canada, Canadian Ice Serv, Meteorol Serv Canada, Ottawa, ON, Canada</t>
  </si>
  <si>
    <t>Environment &amp; Climate Change Canada; Meteorological Service of Canada; Canadian Ice Service</t>
  </si>
  <si>
    <t>April, A (corresponding author), Environm Canada, Canadian Ice Serv, Meteorol Serv Canada, Ottawa, ON, Canada.</t>
  </si>
  <si>
    <t>andre.april@ec.gc.ca</t>
  </si>
  <si>
    <t>10.1080/07055900.2014.973831</t>
  </si>
  <si>
    <t>AW3OF</t>
  </si>
  <si>
    <t>WOS:000346195500002</t>
  </si>
  <si>
    <t>Liu, Y; Xu, TL; Liu, J</t>
  </si>
  <si>
    <t>Liu, Yan; Xu, Taoling; Liu, Jun</t>
  </si>
  <si>
    <t>Characteristics of the seasonal variation of the global tropopause revealed by COSMIC/GPS data</t>
  </si>
  <si>
    <t>Tropopause; Seasonal variation; COSMIC/GPS</t>
  </si>
  <si>
    <t>RADIO OCCULTATION MEASUREMENTS; TROPICAL TROPOPAUSE; WATER-VAPOR; STRATOSPHERE; VARIABILITY; HEIGHT; TEMPERATURE; CLIMATOLOGY; TROPOSPHERE; REANALYSES</t>
  </si>
  <si>
    <t>Using the Global Navigation Satellite System (GNSS) radio occultation observations from Formosa Satellite mission-3/Constellation Observing System for Meteorology, Ionosphere, and Climate (FORMOSAT-3/COSMIC) from 2007 to 2012, the climatological characteristics of the global tropopause was studied, with the following features identified. The overall results generally agree with previous studies. The tropopause has an obvious zonal structure, with more zonal characteristics in the Southern Hemisphere than the Northern Hemisphere. The vertical shape of the tropopause is sharp in the tropics and broad in the sub-tropical latitudes, with the sharpest latitudinal gradient in the mid-latitudes of both hemispheres. The global tropopause exists in a large range between 8 km and 17 km (or between 100 hPa and 340 hPa). The highest tropopause is over the South Asian monsoon regions for the entire year. The spatial structure of the tropopause in the polar region is of concentric structure, with an altitude between 7.5 km and 10 km. It is more symmetric in the Antarctic than the Arctic. Differing from other places, the height of the tropopause in the Antarctic is higher in winter as opposed to summer. The tropopause has distinct seasonal variability, especially in polar regions. (C) 2014 COSPAR. Published by Elsevier Ltd. All rights reserved.</t>
  </si>
  <si>
    <t>[Liu, Yan] China Meteorol Adm, Natl Meteorol Ctr, Numer Weather Predict Ctr, Beijing 100081, Peoples R China; [Xu, Taoling] PLA Univ Sci &amp; Technol, Inst Meteorol &amp; Oceanog, Nanjing 211101, Jiangsu, Peoples R China; [Liu, Jun] Guangxi Univ, Sch Comp &amp; Elect Informat, Nanning 530004, Peoples R China</t>
  </si>
  <si>
    <t>China Meteorological Administration; Army Engineering University of PLA; Guangxi University</t>
  </si>
  <si>
    <t>Liu, Y (corresponding author), China Meteorol Adm, Natl Meteorol Ctr, Numer Weather Predict Ctr, Beijing 100081, Peoples R China.</t>
  </si>
  <si>
    <t>liuyan@cma.gov.cn</t>
  </si>
  <si>
    <t>National Natural Science Foundation of China [41075081, 11273047]</t>
  </si>
  <si>
    <t>We are grateful to the COSMIC Data Analysis and Archive Center (CDAAC) for providing the RO data. This research is supported by the National Natural Science Foundation of China (41075081, 11273047).</t>
  </si>
  <si>
    <t>10.1016/j.asr.2014.08.020</t>
  </si>
  <si>
    <t>AU6OO</t>
  </si>
  <si>
    <t>WOS:000345722300013</t>
  </si>
  <si>
    <t>Jung, J; Furutani, H; Uematsu, M; Park, J</t>
  </si>
  <si>
    <t>Jung, Jinyoung; Furutani, Hiroshi; Uematsu, Mitsuo; Park, Jisoo</t>
  </si>
  <si>
    <t>Distributions of atmospheric non-sea-salt sulfate and methanesulfonic acid over the Pacific Ocean between 48°N and 55°S during summer</t>
  </si>
  <si>
    <t>Non-sea-salt sulfate; Methanesulfonic acid; Methanesulfonic acid to non-sea-salt sulfate ratio North and South Pacific; Marine aerosols</t>
  </si>
  <si>
    <t>COASTAL ANTARCTIC AEROSOL; METHANE SULFONIC-ACID; DIMETHYL SULFIDE; NORTH PACIFIC; PARTICULATE SULFATE; SIZE DISTRIBUTIONS; SPECIES SULFATE; BOUNDARY-LAYER; SULFUR CYCLE; MARINE</t>
  </si>
  <si>
    <t>Atmospheric concentrations of non-sea-salt sulfate (nss-SO42-) and methanesulfonic acid (MSA) were measured over the Pacific Ocean between 48 degrees N and 55 degrees S during the KH-08-2 and MR08-06 cruises in summers of 2008 and 2009, in order to investigate spatial distributions of each species and MSA/nss-SO42- ratio. In the subarctic western North Pacific, mean concentrations of nss-SO42- and MSA in bulk (fine + coarse) aerosols were 1.1 mu g m(-3) and 0.061 mu g m(-3), whereas those in the South Pacific were 0.25 mu g m(-3) and 0.043 mu g m(-3), respectively. In the subtropical western North Pacific, it was observed that nss-SO i- concentration sharply increased from 0.45 mu g m(-3) up to 4.2 mu g m(-3) under the dominant influence of the Kilauea volcano, while that of MSA remained low. Mean MSA/nss-SO42- ratio observed in the South Pacific was approximately 3.7 times higher than that in the subarctic western North Pacific, although the mean MSA concentration in the subarctic western North Pacific was a factor of 1.4 higher than that in the South Pacific. The distributions of nss-SO42-, MSA, and MSA/nss-SO42- ratio suggested that aerosol nss-SO42- plays a key role in the latitudinal variation in MSA/nss-SO42- ratio over the North and South Pacific during summer periods, and that high MSA concentrations in the subarctic western North Pacific and the South Pacific were related to high biological productivity and low air temperature. During the cruises, an inverse relationship (r = -0.72, p &lt; 0.01) was observed between satellite-derived chlorophyll a concentration and air temperature, showing that high biological productivity occurred at high latitudes, where air temperature were relatively low, in both hemispheres during the summer periods. Although both MSA concentration and MSA/nss-SO42- ratio showed inverse and positive relationships with air temperature and chlorophyll a concentration, respectively, the correlations between these variables were weak, suggesting that the distributions of MSA concentration and MSA/nss-SO42- ratio over the North and South Pacific during the summer periods were influenced by more complex factors. Estimates using the MSA/nss-SO42- ratios measured in different latitude regions in the Pacific Ocean indicated that the contributions from biogenic sources accounted for 9.6-58% of the total nss-SO42- in aerosols collected in the subarctic western North Pacific, 15-85% in the subtropical western North Pacific, 10-70% in the central North Pacific, and 12-97% in the South Pacific, showing strong influence of anthropogenic nss-SO42- in the subarctic western North Pacific despite the higher mean concentration of MSA in the subarctic western North Pacific than in the South Pacific. (C) 2014 Elsevier Ltd. All rights reserved.</t>
  </si>
  <si>
    <t>[Jung, Jinyoung; Furutani, Hiroshi; Uematsu, Mitsuo] Univ Tokyo, Atmosphere &amp; Ocean Res Inst, Kashiwa, Chiba 2778564, Japan; [Jung, Jinyoung; Park, Jisoo] Korea Polar Res Inst, Inchon 406840, South Korea</t>
  </si>
  <si>
    <t>University of Tokyo; Korea Polar Research Institute (KOPRI); Korea Institute of Ocean Science &amp; Technology (KIOST)</t>
  </si>
  <si>
    <t>Jung, J (corresponding author), Korea Polar Res Inst, 26 Songdomirae Ro, Inchon 406840, South Korea.</t>
  </si>
  <si>
    <t>jinyoungjung@kopri.re.kr</t>
  </si>
  <si>
    <t>Furutani, Hiroshi/AAM-9600-2021</t>
  </si>
  <si>
    <t>Ministry of Education, Culture, Sports, Science and Technology (MEXT), Japan [18067005]; project titled 'Korea-Polar Ocean in Rapid Transition (KOPRI) - Ministry of Oceans and Fisheries, Korea [PM13020]; Korea Polar Research Institute project [PE14040]</t>
  </si>
  <si>
    <t>Ministry of Education, Culture, Sports, Science and Technology (MEXT), Japan(Ministry of Education, Culture, Sports, Science and Technology, Japan (MEXT)); project titled 'Korea-Polar Ocean in Rapid Transition (KOPRI) - Ministry of Oceans and Fisheries, Korea(Korea Polar Research Institute of Marine Research Placement (KOPRI)); Korea Polar Research Institute project(Korea Polar Research Institute of Marine Research Placement (KOPRI))</t>
  </si>
  <si>
    <t>We are grateful to the captains and crews of R/V Hakuho Maru and R/V Mirai for their enthusiastic assistance during the KH-08-2 and MR08-06 cruises. This study was supported by funds from the Grant-in-Aid for Scientific Research in Priority Areas Western Pacific Air-Sea Interaction Study (W-PASS) under Grant No.18067005 from the Ministry of Education, Culture, Sports, Science and Technology (MEXT), Japan. This research is a contribution to the Surface Ocean Lower Atmosphere Study (SOLAS) Core Project of the International Geosphere-Biosphere Programme (IGBP). Jinyoung Jung was supported by the project titled 'Korea-Polar Ocean in Rapid Transition (KOPRI, PM13020)', funded by the Ministry of Oceans and Fisheries, Korea. Jisoo Park was supported by the Korea Polar Research Institute project (PE14040).</t>
  </si>
  <si>
    <t>10.1016/j.atmosenv.2014.10.009</t>
  </si>
  <si>
    <t>AU7TS</t>
  </si>
  <si>
    <t>WOS:000345804400039</t>
  </si>
  <si>
    <t>Palmeira, DJ; Araujo, LS; Abreu, JC; Andrade, LH</t>
  </si>
  <si>
    <t>Palmeira, Dayvson J.; Araujo, Lidiane S.; Abreu, Juliana C.; Andrade, Leandro H.</t>
  </si>
  <si>
    <t>Application of a promiscuous Arthrobacter sp from Antarctic in aerobic (R)-selective deracemization and anaerobic (S)-selective reduction</t>
  </si>
  <si>
    <t>JOURNAL OF MOLECULAR CATALYSIS B-ENZYMATIC</t>
  </si>
  <si>
    <t>Deracemization; Enantioselective reduction; Whole cell system; Heteroatom-containing alcohols and ketones</t>
  </si>
  <si>
    <t>CROSS-COUPLING REACTIONS; KINETIC RESOLUTION; ENZYMES; HALIDES</t>
  </si>
  <si>
    <t>Inspired by enzyme-catalyzed reactions with microorganisms found in harsh marine environments, in which the amount of oxygen is restrict, we have shown that Arthrobacter sp. can perform different chemical transformations by switching from anaerobic to aerobic reaction conditions. Depending on the presence or absence of oxygen, either alcohol deracemization or ketone reduction with enantiocomplementary selectivities can be performed by the same microorganism. For example, reactions performed in the presence of oxygen favored the deracemization process, in which a racemic mixture of 1-(4-methylphenyl) ethanol was enriched to the (R)-alcohol in high conversion (94%) and high enantiomeric excess (94%). On the other hand, reaction in the absence of oxygen favored the reduction process, in which 4-methyl-acetophenone was converted to the (S)-alcohol in good conversion (58%) and excellent enantiomeric excess (&gt; 99%). These concepts were applied for both deracemization and enantio selective reduction of heteroatom-containing (silicon, phosphorus, tin and boron) molecules. Moreover, preparative scale reactions were also performed for both chemical processes. (C) 2014 Elsevier B.V. All rights reserved.</t>
  </si>
  <si>
    <t>[Palmeira, Dayvson J.; Araujo, Lidiane S.; Abreu, Juliana C.; Andrade, Leandro H.] Univ Sao Paulo, Inst Chem, BR-05508900 Sao Paulo, Brazil</t>
  </si>
  <si>
    <t>Andrade, LH (corresponding author), Univ Sao Paulo, Inst Chem, Av Prof Lineu Prestes,748, BR-05508900 Sao Paulo, Brazil.</t>
  </si>
  <si>
    <t>leandroh@iq.usp.br</t>
  </si>
  <si>
    <t>Andrade, Leandro Helgueira/C-1406-2009</t>
  </si>
  <si>
    <t>Andrade, Leandro Helgueira/0000-0001-5975-4980</t>
  </si>
  <si>
    <t>FAPESP (Sao Paulo Research Foundation) [2012/14196-1, 2012/11482-3, 2011/01376-9]; CNPq (National Council for Scientific and Technological Development) [552834/2010-6]; Fundacao de Amparo a Pesquisa do Estado de Sao Paulo (FAPESP) [12/11482-3, 11/01376-9, 12/14196-1] Funding Source: FAPESP</t>
  </si>
  <si>
    <t>FAPESP (Sao Paulo Research Foundation)(Fundacao de Amparo a Pesquisa do Estado de Sao Paulo (FAPESP)); CNPq (National Council for Scientific and Technological Development)(Conselho Nacional de Desenvolvimento Cientifico e Tecnologico (CNPQ)); Fundacao de Amparo a Pesquisa do Estado de Sao Paulo (FAPESP)(Fundacao de Amparo a Pesquisa do Estado de Sao Paulo (FAPESP))</t>
  </si>
  <si>
    <t>Authors thank FAPESP (Sao Paulo Research Foundation; Grant Numbers: 2012/14196-1; 2012/11482-3; 2011/01376-9) and CNPq (National Council for Scientific and Technological Development; Grant Number: 552834/2010-6) for their fellowship and financial support.</t>
  </si>
  <si>
    <t>1381-1177</t>
  </si>
  <si>
    <t>1873-3158</t>
  </si>
  <si>
    <t>J MOL CATAL B-ENZYM</t>
  </si>
  <si>
    <t>J. Mol. Catal. B-Enzym.</t>
  </si>
  <si>
    <t>10.1016/j.molcatb.2014.09.016</t>
  </si>
  <si>
    <t>Biochemistry &amp; Molecular Biology; Chemistry, Physical</t>
  </si>
  <si>
    <t>Biochemistry &amp; Molecular Biology; Chemistry</t>
  </si>
  <si>
    <t>AU5LM</t>
  </si>
  <si>
    <t>WOS:000345648500017</t>
  </si>
  <si>
    <t>Sellers, CG; Gast, RJ; Sanders, RW</t>
  </si>
  <si>
    <t>Sellers, C. Grier; Gast, Rebecca J.; Sanders, Robert W.</t>
  </si>
  <si>
    <t>SELECTIVE FEEDING AND FOREIGN PLASTID RETENTION IN AN ANTARCTIC DINOFLAGELLATE</t>
  </si>
  <si>
    <t>JOURNAL OF PHYCOLOGY</t>
  </si>
  <si>
    <t>cryptophyte; dinoflagellate; Geminigera cryophila; gymnodinoid; haptophyte; Kareniaceae; kleptoplasty; Phaeocystis antarctica; Pseudohaptolina arctica; Ross Sea</t>
  </si>
  <si>
    <t>KARLODINIUM-ARMIGER; SP-NOV; DIATOM ENDOSYMBIONTS; ELECTRON-MICROSCOPY; SERIAL REPLACEMENT; AMYLAX-TRIACANTHA; DINOPHYSIS-MITRA; MARINE; PHYLOGENY; GROWTH</t>
  </si>
  <si>
    <t>The peridinin-containing plastid found in most photosynthetic dinoflagellates is thought to have been replaced in a few lineages by plastids of chlorophyte, diatom, or haptophyte origin. Other distinct lineages of phagotrophic dinoflagellates retain functional plastids obtained from algal prey for different durations and with varying source species specificity. 18S rRNA gene sequence analyses have placed a novel gymnodinoid dinoflagellate isolated from the Ross Sea (RSD) in the Kareniaceae, a family of dinoflagellates with permanent plastids of haptophyte origin. In contrast to other species in this family, the RSD contains kleptoplastids sequestered from its prey, Phaeocystis antarctica. Culture experiments were employed to determine whether the RSD fed selectively on P. antarctica when offered in combination with another polar haptophyte or cryptophyte species, and whether the RSD, isolated from its prey and starved, would take up plastids from P. antarctica or from other polar haptophyte or cryptophyte species. Evidence was obtained for selective feeding on P. antarctica, plastid uptake from P. antarctica, and increased RSD growth in the presence of P. antarctica. The presence of a peduncle-like structure in the RSD suggests that kleptoplasts are obtained by myzocytosis. RSD cells incubated without P. antarctica were capable of survival for at least 29.5 months. This remarkable longevity of the RSD's kleptoplasts and its species specificity for prey and plastid source is consistent with its prolonged co-evolution with P. antarctica. It may also reflect the presence of a plastid protein import mechanism and genes transferred to the dinokaryon from a lost permanent haptophyte plastid.</t>
  </si>
  <si>
    <t>[Sellers, C. Grier; Sanders, Robert W.] Temple Univ, Dept Biol, Philadelphia, PA 19122 USA; [Gast, Rebecca J.] Woods Hole Oceanog Inst, Dept Biol, Woods Hole, MA 02543 USA</t>
  </si>
  <si>
    <t>Pennsylvania Commonwealth System of Higher Education (PCSHE); Temple University; Woods Hole Oceanographic Institution</t>
  </si>
  <si>
    <t>Sellers, CG (corresponding author), Temple Univ, Dept Biol, 1900 N 12th St, Philadelphia, PA 19122 USA.</t>
  </si>
  <si>
    <t>cgsellers@temple.edu</t>
  </si>
  <si>
    <t>Sanders, Robert/C-1116-2011</t>
  </si>
  <si>
    <t>Sanders, Robert/0000-0001-7264-1059; Gast, Rebecca J/0000-0003-3875-3975</t>
  </si>
  <si>
    <t>National Science Foundation [OPP-0838955, OPP-0838847]</t>
  </si>
  <si>
    <t>We thank J. S. Faust of the Wistar Institute, Philadelphia, PA for flow cytometric cell sorting of the RSD, Z. McKie-Krisberg for assistance with statistical analysis and J. B. Sheffield for assistance with microscopy. We owe additional thanks to S. B. DeVaul, E. R. Graham, and Z. McKie-Krisberg for discussions about these experiments. This research was supported by National Science Foundation Grants OPP-0838955 (RJG) and OPP-0838847 (RWS). Any opinions, findings, and conclusions or recommendations expressed in this material are those of the authors and do not necessarily reflect the views of the National Science Foundation.</t>
  </si>
  <si>
    <t>0022-3646</t>
  </si>
  <si>
    <t>1529-8817</t>
  </si>
  <si>
    <t>J PHYCOL</t>
  </si>
  <si>
    <t>J. Phycol.</t>
  </si>
  <si>
    <t>10.1111/jpy.12240</t>
  </si>
  <si>
    <t>AU7DG</t>
  </si>
  <si>
    <t>WOS:000345760300011</t>
  </si>
  <si>
    <t>Bischoff, T; Thompson, AF</t>
  </si>
  <si>
    <t>Bischoff, Tobias; Thompson, Andrew F.</t>
  </si>
  <si>
    <t>Configuration of a Southern Ocean Storm Track</t>
  </si>
  <si>
    <t>ANTARCTIC CIRCUMPOLAR CURRENT; TRANSPORT; DYNAMICS; EDDIES; MODEL; JETS</t>
  </si>
  <si>
    <t>Diagnostics of ocean variability that reflect and influence local transport properties of heat and chemical species vary by an order of magnitude along the Southern Ocean's Antarctic Circumpolar Current (ACC). Topographic hotspots are important regions of localized transport anomalies. This study uses a primitive equation channel model to investigate the structure of eddy kinetic energy (EKE), one measure of variability, in an oceanic regime. A storm-track approach emphasizes the importance of stationary eddies, which result from flow interactions with topography, on setting EKE distributions. The influence of these interactions extends far downstream of the topography and impacts EKE patterns through localized convergence and divergence of heat. Unlike for zonal averages, local contributions to the stationary fluxes from terms that integrate to zero in a zonal average are important. The simulations show a strong sensitivity of the zonal structure as well as the distribution and amplitude of stationary eddy fluxes to the surface wind forcing. By focusing on local, time-averaged stationary eddy fluxes, insight into the dynamical structure of the ACC can be gained that is concealed in the averaging procedure associated with traditional zonal or along-stream analyses.</t>
  </si>
  <si>
    <t>[Bischoff, Tobias; Thompson, Andrew F.] CALTECH, Pasadena, CA 91125 USA</t>
  </si>
  <si>
    <t>California Institute of Technology</t>
  </si>
  <si>
    <t>Bischoff, T (corresponding author), CALTECH, Div Geol &amp; Planetary Sci, 1200 E Calif Blvd, Pasadena, CA 91125 USA.</t>
  </si>
  <si>
    <t>tobias@caltech.edu</t>
  </si>
  <si>
    <t>NSF [OCE-1235488, AGS-1019211]; Directorate For Geosciences; Division Of Ocean Sciences [1235488] Funding Source: National Science Foundation</t>
  </si>
  <si>
    <t>We thank Andrew Stewart and Andreas Klocker for comments on drafts of this paper and two anonymous reviewers for suggestions that improved its quality. This work was supported by NSF Grants OCE-1235488 and AGS-1019211.</t>
  </si>
  <si>
    <t>10.1175/JPO-D-14-0062.1</t>
  </si>
  <si>
    <t>AU7XS</t>
  </si>
  <si>
    <t>WOS:000345812300006</t>
  </si>
  <si>
    <t>McCartney, K; Witkowski, J; Jordan, RW; Daugbjerg, N; Malinverno, E; van Wezel, R; Kano, H; Abe, K; Scott, F; Schweizer, M; Young, JR; Hallegraeff, GM; Shiozawa, A</t>
  </si>
  <si>
    <t>McCartney, Kevin; Witkowski, Jakub; Jordan, Richard W.; Daugbjerg, Niels; Malinverno, Elisa; van Wezel, Rene; Kano, Hiroya; Abe, Kenta; Scott, Fiona; Schweizer, Magali; Young, Jeremy R.; Hallegraeff, Gustaaf M.; Shiozawa, Ayaka</t>
  </si>
  <si>
    <t>Fine structure of silicoflagellate double skeletons</t>
  </si>
  <si>
    <t>MARINE MICROPALEONTOLOGY</t>
  </si>
  <si>
    <t>Apical structure; Basal ring; Dictyocha; Distephanus; Octactis; Silicoflagellates</t>
  </si>
  <si>
    <t>DICTYOCHA-SPECULUM EHRENB; PIGMENT COMPOSITION; LIFE-HISTORY; MORPHOLOGY; DISTEPHANUS; OCEAN; DICTYOCHOPHYCEAE; HETEROKONT; CORBISEMA; SEA</t>
  </si>
  <si>
    <t>Silicoflagellate double skeletons are commonly considered to be pre-division stages, even though their life cycle is only partially resolved, especially with respect to reproduction. Double skeletons of the modern silicoflagellate genera Diceyocha Ehrenberg, Distephanus Stohr, and Octactis Schiller are for the first time examined in detail by scanning electron microscopy in order to improve our understanding of how skeletal morphology relates to paired skeletons. A number of genus-specific mechanisms enable sibling skeletons to be held together at their abbasal surfaces, including a zig-zag design of the basal ring achieved via apical structure, strut attachment and pike rotation (in Distephanus and Dictyocha), and the presence of organic material binding the generally planar basal rings (in Octactis). Contrary to what is generally understood, the siblings are not mirror images of one another. Instead, the triple junctions formed by the skeletal elements of each apical structure are transposed across the middle of the dividing cell to produce a copy with the same rotation. Thus, two dome-shaped skeletons represent halves of a more spherical design, which suggests that the role of the silicoflagellate basal ring is to enable double skeleton formation, but the full implications of this have yet to be explored. Although the purpose of double skeleton formation in silicoflagellates remains unclear, observations from the fossil record indicate that differences in the relative alignment of doublet members can have a high significance for phylogeny. Differences in the doublet structure of living silicoflagellates call for a combined biological and geological perspective of the utility of maintaining Dictyocha, Distephanus and Octactis as separate genera. (C) 2014 Elsevier B.V. All rights reserved.</t>
  </si>
  <si>
    <t>[McCartney, Kevin] Univ Maine Presque Isle, Dept Environm Studies &amp; Sustainabil, Presque Isle, ME 04769 USA; [Witkowski, Jakub] Univ Szczecin, Fac Geosci, Geol &amp; Palaeogeog Unit, PL-70383 Szczecin, Poland; [Jordan, Richard W.; Shiozawa, Ayaka] Yamagata Univ, Dept Earth &amp; Environm Sci, Yamagata 9908560, Japan; [Daugbjerg, Niels] Marine Biol Sect, Dept Biol, DK-2100 Copenhagen O, Denmark; [Malinverno, Elisa] Univ Milano Bicocca, Dept Earth &amp; Environm Sci, I-20126 Milan, Italy; [van Wezel, Rene] Koeman Bijkerk Bv, Ecol Res &amp; Consultancy, NL-9750 AC Haren, Netherlands; [Kano, Hiroya; Abe, Kenta] Yamagata Univ, Grad Sch Sci &amp; Engn, Yamagata 9908560, Japan; [Scott, Fiona] Australian Antarctic Div, Kingston, Tas 7050, Australia; [Schweizer, Magali] ETHZ, Inst Geol, CH-8092 Zurich, Switzerland; [Young, Jeremy R.] UCL, Dept Earth Sci, London WC1E 6BT, England; [Hallegraeff, Gustaaf M.] Univ Tasmania, Inst Marine &amp; Antarctic Studies, Hobart, Tas 7001, Australia</t>
  </si>
  <si>
    <t>University of Maine System; University of Maine Presque Isle; University of Szczecin; Yamagata University; University of Milano-Bicocca; Yamagata University; Australian Antarctic Division; Swiss Federal Institutes of Technology Domain; ETH Zurich; University of London; University College London; University of Tasmania</t>
  </si>
  <si>
    <t>McCartney, K (corresponding author), Univ Maine Presque Isle, Dept Environm Studies &amp; Sustainabil, Presque Isle, ME 04769 USA.</t>
  </si>
  <si>
    <t>kevin.mccartney@umpi.edu</t>
  </si>
  <si>
    <t>Witkowski, Jakub/HMD-6743-2023; Daugbjerg, Niels/D-3521-2014; Hallegraeff, Gustaaf/C-8351-2013; Schweizer, Magali/F-9358-2014</t>
  </si>
  <si>
    <t>Jordan, Richard/0000-0002-8997-7349; McCartney, Kevin/0000-0001-5998-1710; Daugbjerg, Niels/0000-0002-0397-3073; Young, Jeremy/0000-0001-9320-9804; Abe, Kenta/0000-0002-2106-8958; Witkowski, Jakub/0000-0002-5635-7880; Hallegraeff, Gustaaf/0000-0001-8464-7343; Malinverno, Elisa/0000-0002-9124-5155; Schweizer, Magali/0000-0001-5115-1616</t>
  </si>
  <si>
    <t>Dutch Directorate-General; Danish Centre for Marine Research; VILLUM FONDEN; NAACOS; University of Maine at Presque Isle; Foundation for Polish Science (START Programme)</t>
  </si>
  <si>
    <t>Dutch Directorate-General; Danish Centre for Marine Research; VILLUM FONDEN(Villum Fonden); NAACOS; University of Maine at Presque Isle; Foundation for Polish Science (START Programme)</t>
  </si>
  <si>
    <t>We are grateful to Bert Wetsteyn for permission to use the Lake Grevelingen samples, which were taken within the Framework for Water Quality Monitoring, funded by the Dutch Directorate-General for Public Works and Water Management. The East Greenland samples were provided by Diana Krawczyk as part of the 6261PETAX project with Kristine Arendt and Thomas Juul-Pedersen (Greenland Climate Research Centre). Samples from the North Adriatic were collected by personnel of Istituto Nazionale di Oceanografia e di Geofisica Sperimentale (OGS) Oceanography Section in a Long Term Ecological Research (LTER) coastal site, also within the MEDSEA project carried out within the European Union 7th Framework Programme. The HOT series group, Mara Cortes, Hans Thierstein, Kate Darling, Hartmut Schulz and the crew of the R/V Meteor are thanked for providing the material from Hawaii and the Arabian Sea. Many people took water samples that supplied double skeletons used in this study, including the following: M. Ikehara and K. Katsuki (KH07-4, Leg 3), S. Konno, Y. Arai, S. Saito and H. Narita (Bosei Maru cruise) and N. Harada, A. Kurasawa, and M. Sato (MR08-6, Leg 2). David Mann, David Williams, Horst Lange-Bertalot, Anton Joosten, Paulian Dumitrica and Andre Rigual-Hernandez provided comments and information that improved this paper. Manfred Ruppel, Izabela Zglobicka and Przemyslaw Dabek assisted with the SEM photography and Yuko Fukunaga and Susumu Konno provided SEM photographs that were examined but not published in this article. Ewa Gorecka and Marta M. Krzywda helped find Greenland specimens for LM observation. The Danish Centre for Marine Research, VILLUM FONDEN and NAACOS provided financial support for Niels Daugbjerg. Samples from the Southwest Pacific were collected within the Abioclear (Italian PNRA) project. Rick van den Enden, Electron Microscope Unit, Australian Antarctic Division provided facilities and assistance. Andrzej Witkowski, Genowefa Daniszewska-Kowalczyk and Agnieszka Kierzek of the Palaeoceanography Unit, Faculty of Geosciences, University of Szczecin, provided facilities and assistance. This project was supported in part by a sabbatical from the University of Maine at Presque Isle. Additional financial support for Jakub Witkowski was provided by the Foundation for Polish Science (START Programme).</t>
  </si>
  <si>
    <t>0377-8398</t>
  </si>
  <si>
    <t>1872-6186</t>
  </si>
  <si>
    <t>MAR MICROPALEONTOL</t>
  </si>
  <si>
    <t>Mar. Micropaleontol.</t>
  </si>
  <si>
    <t>10.1016/j.marmicro.2014.08.006</t>
  </si>
  <si>
    <t>AU8YN</t>
  </si>
  <si>
    <t>WOS:000345879400002</t>
  </si>
  <si>
    <t>Davidson, J; Schrader, DL; Alexander, CMO; Lauretta, DS; Busemann, H; Franchi, IA; Greenwood, RC; Connolly, HC; Domanik, KJ; Verchovsky, A</t>
  </si>
  <si>
    <t>Davidson, Jemma; Schrader, Devin L.; Alexander, Conel M. O'D.; Lauretta, Dante S.; Busemann, Henner; Franchi, Ian A.; Greenwood, Richard C.; Connolly, Harold C., Jr.; Domanik, Kenneth J.; Verchovsky, Alexander</t>
  </si>
  <si>
    <t>Petrography, stable isotope compositions, microRaman spectroscopy, and presolar components of Roberts Massif 04133: A reduced CV3 carbonaceous chondrite</t>
  </si>
  <si>
    <t>INSOLUBLE ORGANIC-MATTER; OXYGEN-ISOTOPE; PRIMITIVE CHONDRITES; AQUEOUS ALTERATION; OPAQUE MINERALS; QUE 99177; RAMAN; GRAINS; OLIVINE; METAMORPHISM</t>
  </si>
  <si>
    <t>Here, we report the mineralogy, petrography, C-N-O-stable isotope compositions, degree of disorder of organic matter, and abundances of presolar components of the chondrite Roberts Massif (RBT) 04133 using a coordinated, multitechnique approach. The results of this study are inconsistent with its initial classification as a Renazzo-like carbonaceous chondrite, and strongly support RBT 04133 being a brecciated, reduced petrologic type &gt;3.3 Vigarano-like carbonaceous (CV) chondrite. RBT 04133 shows no evidence for aqueous alteration. However, it is mildly thermally altered (up to approximately 440 degrees C); which is apparent in its whole-rock C and N isotopic compositions, the degree of disorder of C in insoluble organic matter, low presolar grain abundances, minor element compositions of Fe, Ni metal, chromite compositions and morphologies, and the presence of unequilibrated silicates. Sulfides within type I chondrules from RBT 04133 appear to be pre-accretionary (i.e., did not form via aqueous alteration), providing further evidence that some sulfide minerals formed prior to accretion of the CV chondrite parent body. The thin section studied contains two reduced CV3 lithologies, one of which appears to be more thermally metamorphosed, indicating that RBT 04133, like several other CV chondrites, is a breccia and thus experienced impact processing. Linear foliation of chondrules was not observed implying that RBT 04133 did not experience high velocity impacts that could lead to extensive thermal metamorphism. Presolar silicates are still present in RBT 04133, although presolar SiC grain abundances are very low, indicating that the progressive destruction or modification of presolar SiC grains begins before presolar silicate grains are completely unidentifiable.</t>
  </si>
  <si>
    <t>[Davidson, Jemma; Lauretta, Dante S.; Connolly, Harold C., Jr.; Domanik, Kenneth J.] Univ Arizona, Lunar &amp; Planetary Lab, Tucson, AZ 85721 USA; [Davidson, Jemma; Busemann, Henner; Franchi, Ian A.; Greenwood, Richard C.; Verchovsky, Alexander] Open Univ, Milton Keynes MK7 6AA, Bucks, England; [Schrader, Devin L.] Smithsonian Inst, Natl Museum Nat Hist, Dept Mineral Sci, Washington, DC 20560 USA; [Davidson, Jemma; Alexander, Conel M. O'D.] Carnegie Inst Sci, Dept Terr Magnetism, Washington, DC 20015 USA; [Busemann, Henner] Univ Manchester, Sch Earth Atmospher &amp; Environm Sci, Manchester M13 9PL, Lancs, England; [Connolly, Harold C., Jr.] CUNY, Kingsborough Community Coll, Dept Phys Sci, Brooklyn, NY USA; [Connolly, Harold C., Jr.] CUNY, Grad Ctr, New York, NY 10016 USA</t>
  </si>
  <si>
    <t>University of Arizona; Open University - UK; Smithsonian Institution; Smithsonian National Museum of Natural History; Carnegie Institution for Science; University of Manchester; City University of New York (CUNY) System; City University of New York (CUNY) System</t>
  </si>
  <si>
    <t>Davidson, J (corresponding author), Carnegie Inst Sci, Dept Terr Magnetism, 5241 Broad Branch Rd NW, Washington, DC 20015 USA.</t>
  </si>
  <si>
    <t>jdavidson@carnegiescience.edu</t>
  </si>
  <si>
    <t>Schrader, Devin L/H-6293-2012; Davidson, Jemma/ABB-2655-2021; Alexander, Conel M. O'D./N-7533-2013; Davidson, Jemma/G-5760-2018</t>
  </si>
  <si>
    <t>Davidson, Jemma/0000-0002-3725-2960; Alexander, Conel M. O'D./0000-0002-8558-1427; Davidson, Jemma/0000-0002-3725-2960; Schrader, Devin/0000-0001-5282-232X; Busemann, Henner/0000-0002-0867-6908; Greenwood, Richard/0000-0002-5544-8027</t>
  </si>
  <si>
    <t>Science and Technology Facilities Council (STFC) studentship; STFC [ST/F003102/1]; STFC Aurora and Advanced Fellowships [ST/F012179/1, ST/I005663/1 HB]; NASA [NNA09DA81A, NNX11AG67G, NNX07AF96G, NNX10AG46G]; Carson Fellowship at LPL; NSF; NASA; STFC [ST/F003102/1, ST/L000776/1] Funding Source: UKRI</t>
  </si>
  <si>
    <t>Science and Technology Facilities Council (STFC) studentship(UK Research &amp; Innovation (UKRI)Science &amp; Technology Facilities Council (STFC)); STFC(UK Research &amp; Innovation (UKRI)Science &amp; Technology Facilities Council (STFC)); STFC Aurora and Advanced Fellowships; NASA(National Aeronautics &amp; Space Administration (NASA)); Carson Fellowship at LPL; NSF(National Science Foundation (NSF)); NASA(National Aeronautics &amp; Space Administration (NASA)); STFC(UK Research &amp; Innovation (UKRI)Science &amp; Technology Facilities Council (STFC))</t>
  </si>
  <si>
    <t>We thank Diane Johnson for assistance with the scanning electron microscope, and Jenny Gibson for help with sample preparation. This manuscript was significantly improved by helpful reviews from Tomoki Nakamura, Pierre Haenecour, and Dominik Hezel, and the editorial expertise of AE Christine Floss. This research was funded in part by a Science and Technology Facilities Council (STFC) studentship (JD), STFC Grant ST/F003102/1 (IAF and RCG), STFC Aurora and Advanced Fellowships (ST/F012179/1 and ST/I005663/1 HB), NASA Grants NNA09DA81A and NNX11AG67G (CMODA), NNX07AF96G (DSL) and NNX10AG46G (HCCJr), and the Carson Fellowship at LPL (DLS). For supplying the samples that were necessary for this work, the authors thank the members of the Meteorite Working Group, Cecilia Satterwhite, and Kevin Righter (NASA, Johnson Space Center). US Antarctic meteorite samples are recovered by the Antarctic Search for Meteorites (ANSMET) program, which has been funded by NSF and NASA, and characterized and curated by the Department of Mineral Sciences of the Smithsonian Institution and the Astromaterials Curation Office at NASA Johnson Space Center.</t>
  </si>
  <si>
    <t>10.1111/maps.12377</t>
  </si>
  <si>
    <t>AU7EE</t>
  </si>
  <si>
    <t>WOS:000345762800002</t>
  </si>
  <si>
    <t>Nigro, MA; Cassano, JJ</t>
  </si>
  <si>
    <t>Nigro, Melissa A.; Cassano, John J.</t>
  </si>
  <si>
    <t>Analysis of the Ross Ice Shelf Airstream Forcing Mechanisms Using Self-Organizing Maps</t>
  </si>
  <si>
    <t>MONTHLY WEATHER REVIEW</t>
  </si>
  <si>
    <t>HIGH SOUTHERN LATITUDES; SURFACE WIND-FIELD; NUMERICAL SIMULATIONS; ANTARCTIC CONTINENT; KATABATIC WINDS; COAST; JETS; AMPS</t>
  </si>
  <si>
    <t>The Ross Ice Shelf airstream (RAS), a prominent transport mechanism of cold, continental air to the north, is the most common wind pattern over the Ross Ice Shelf, Antarctica. The forcing mechanisms of the RAS include katabatic drainage, mesoscale forcing, and synoptic forcing. This paper uses the 15-km output from the Antarctic Mesoscale Prediction System (AMPS) and the method of self-organizing maps (SOM) to analyze how the combination of these forcing mechanisms impacts the strength and position of the RAS. It is found that the strength and position of the RAS is mainly driven by the thermal forcing in the region of the Transantarctic Mountains. This forcing includes the pressure gradient associated with cold air pooling at the base of the Transantarctic Mountains, as well as, the pressure gradient associated with the temperature contrast between the cold air located over the East Antarctic Plateau and the warm ambient air over the Ross Ice Shelf. These forcing mechanisms are analyzed in a region near the southern tip of the Ross Ice Shelf. In this region, the pressure gradient associated with the temperature contrast between the East Antarctic Plateau and the ambient air over the ice shelf is usually present during RAS events, while the pressure gradient associated with the cold air pooling varies between RAS events. The analysis shows that, in the region of the southern Ross Ice Shelf, RAS events can occur without the presence of cold air pooling.</t>
  </si>
  <si>
    <t>Univ Colorado, Cooperat Inst Res Environm Sci, Boulder, CO 80309 USA; Univ Colorado, Dept Atmospher &amp; Ocean Sci, Boulder, CO 80309 USA</t>
  </si>
  <si>
    <t>University of Colorado System; University of Colorado Boulder; University of Colorado System; University of Colorado Boulder</t>
  </si>
  <si>
    <t>Nigro, MA (corresponding author), Univ Colorado, 216 UCB, Boulder, CO 80309 USA.</t>
  </si>
  <si>
    <t>melissa.nigro@colorado.edu</t>
  </si>
  <si>
    <t>Cassano, John/HKW-8817-2023</t>
  </si>
  <si>
    <t>NSF [ANT-0943952, ANT-1245737]; Office of Polar Programs (OPP); Directorate For Geosciences [1245737] Funding Source: National Science Foundation</t>
  </si>
  <si>
    <t>NSF(National Science Foundation (NSF)); Office of Polar Programs (OPP); Directorate For Geosciences(National Science Foundation (NSF)NSF - Directorate for Geosciences (GEO))</t>
  </si>
  <si>
    <t>NSF Grants ANT-0943952 and ANT-1245737 supported this work. The AMPS data were retrieved from the National Center for Atmospheric Research Computational and Information Systems Laboratory.</t>
  </si>
  <si>
    <t>0027-0644</t>
  </si>
  <si>
    <t>1520-0493</t>
  </si>
  <si>
    <t>MON WEATHER REV</t>
  </si>
  <si>
    <t>Mon. Weather Rev.</t>
  </si>
  <si>
    <t>10.1175/MWR-D-14-00077.1</t>
  </si>
  <si>
    <t>AU8QE</t>
  </si>
  <si>
    <t>WOS:000345860400020</t>
  </si>
  <si>
    <t>Scheiber-Enslin, S; Ebbing, J; Webb, SJ</t>
  </si>
  <si>
    <t>Scheiber-Enslin, Stephanie; Ebbing, Joerg; Webb, Susan J.</t>
  </si>
  <si>
    <t>An integrated geophysical study of the Beattie Magnetic Anomaly, South Africa</t>
  </si>
  <si>
    <t>TECTONOPHYSICS</t>
  </si>
  <si>
    <t>Beattie anomaly; Mobile belt; Magnetic field; Forward modelling</t>
  </si>
  <si>
    <t>NAMAQUA-NATAL BELT; CRUSTAL STRUCTURE; ELECTRICAL-CONDUCTIVITY; METAMORPHIC PROVINCE; LAMELLAR MAGNETISM; KAROO BASIN; 1.1 GA; EVOLUTION; CONSTRAINTS; KAAPVAAL</t>
  </si>
  <si>
    <t>The source of the Beattie Magnetic Anomaly (BMA) still remains unclear, with several competing hypotheses. Here we add a piece to the puzzle by investigating available potential field data over the anomaly. Filtered magnetic data show the BMA as part of a group of linear magnetic anomalies. As the linear anomaly north of the BMA is associated with exposed supracrustals, migmatites and shear zones within the Natal thrust terranes we assume a similar source for the BMA. This source geometry, constrained by seismic and MT data, fits potential field data over the BMA and other magnetic linear anomalies in the south-central and south-western Karoo. In these models the bodies deepen from similar to 5 km towards the south, with horizontal extents of similar to 20-60 km and vertical extents of similar to 10-15 km. Densities range from 2800 to 2940 kg/m(3) and magnetic susceptibilities from 10 to 100 x 10(-3) SI. These magnetic susceptibilities are higher than field values from supracrustal rocks (10-60 x 10(-3) SI) but could be due to the fact that no remanent magnetisation was included in the model. The lithologies associated with the different linear anomalies vary as is evident from varying anomaly amplitudes. The strong signal of the BMA is linked to high magnetic susceptibility granulite fades supracrustals (similar to 10-50 x 10(-3) SI) as seen in the Antarctic, where the mobile belt continued during Gondwana times. (C) 2014 Elsevier B.V. All rights reserved.</t>
  </si>
  <si>
    <t>[Scheiber-Enslin, Stephanie] Council Geosci, Geophys Unit, ZA-0184 Pretoria, South Africa; [Scheiber-Enslin, Stephanie; Webb, Susan J.] Univ Witwatersrand, Sch Geosci, ZA-2000 Johannesburg, South Africa; [Ebbing, Joerg] Univ Kiel, Dept Geosci, D-24118 Kiel, Germany</t>
  </si>
  <si>
    <t>University of Witwatersrand; University of Kiel</t>
  </si>
  <si>
    <t>Scheiber-Enslin, S (corresponding author), Univ Witwatersrand, Sch Geosci, ZA-2000 Johannesburg, South Africa.</t>
  </si>
  <si>
    <t>steph.scheiber@gmail.com</t>
  </si>
  <si>
    <t>Ebbing, Joerg/B-8796-2013</t>
  </si>
  <si>
    <t>Ebbing, Joerg/0000-0001-7492-5338; Webb, Susan/0000-0002-8532-4164; Enslin, Stephanie/0000-0003-1966-4651</t>
  </si>
  <si>
    <t>National Research Foundation (NRF); Council for Geoscience (CGS); University of the Witwatersrand; Society of Exploration Geophysicists (SEG)</t>
  </si>
  <si>
    <t>This project was funded by the National Research Foundation (NRF), Council for Geoscience (CGS), University of the Witwatersrand and the Society of Exploration Geophysicists (SEG), with software support from Geosoft. Field work was made possible by Greg Botha and the Pietermartizburg CGS office. We thank Ute Weckmann, Jacek Stankiewicz, Bob Thomas, Johan de Beer, Reinie Meyer, Branco Corner, Bruce Eglington and Lew Ashwal for sharing their knowledge on the topic. The authors are grateful to Eric Ferre and Edgar Stettler for improving this manuscript through the review process.</t>
  </si>
  <si>
    <t>0040-1951</t>
  </si>
  <si>
    <t>1879-3266</t>
  </si>
  <si>
    <t>Tectonophysics</t>
  </si>
  <si>
    <t>10.1016/j.tecto.2014.08.021</t>
  </si>
  <si>
    <t>AU8BM</t>
  </si>
  <si>
    <t>WOS:000345821700017</t>
  </si>
  <si>
    <t>Jacob, J; Dyment, J</t>
  </si>
  <si>
    <t>Jacob, Jensen; Dyment, Jerome</t>
  </si>
  <si>
    <t>Early opening of Australia and Antarctica: New inferences and regional consequences</t>
  </si>
  <si>
    <t>Passive margins; Plate tectonics; Plate reconstructions; Australia-Antarctica; Zelandia; Trans-Antarctic Mountains</t>
  </si>
  <si>
    <t>SLOW-SPREADING RIDGE; EASTERN INDIAN-OCEAN; RIFT SYSTEM; TRANSANTARCTIC MOUNTAINS; KERGUELEN PLATEAU; BROKEN RIDGE; CONTINENTAL MARGINS; FINITE ROTATIONS; AXIS GRAVITY; SEA</t>
  </si>
  <si>
    <t>Both continental margins of Australia and Antarctica exhibit a very clear gravity anomaly on the satellite free-air gravity data. The detailed sinuosity of these first-order conjugate features matches perfectly, suggesting that they are the signature of the initial continental breakup and mark the ocean-continent boundary. Another weaker, still clearly deciphered, pair of symmetrical gravity anomalies is identified oceanward. These anomalies are considered as pseudo-isochrons F and G and tentatively dated 128 and 94 Ma. Precise reconstructions of pseudo-isochron F are achieved over three sections of the margin, denoting the relative motion of Australia and East Antarctica, the Polda Block and East Antarctica, and Tasmania and West Antarctica. The Polda Block and Tasmania are transient micro-continents. Tasmania and Australia are reconstructed to align their linear eastern margin. The eastern margins of reconstructed Australia, Tasmania, and West Antarctica on one hand, the western margin of reconstructed Lord Howe Rise and Campbell Plateau on the other hand, fit a small circle of radius 15 degrees, which suggests a transform motion between 128 and 83 Ma along this plate boundary. The reconstruction predicts a gap between East and West Antarctica, probably filled by non-cratonic continental crust compressively deformed and thickened by the SW motion of East Antarctica and participating to the formation of the Trans-Antarctic Mountains. The initial extension between Australia and East Antarctica may be related to the inception of the Kerguelen hotspot, similar to 1000 km to the west. The different rheology of cratons and orogenic terranes has played a role in the style and localization of both extensional and compressional deformations. (C) 2014 Elsevier B.V. All rights reserved.</t>
  </si>
  <si>
    <t>[Jacob, Jensen; Dyment, Jerome] Univ Paris Diderot, UMR CNRS 7154, Equipe Geosci Marines, Inst Phys Globe Paris,Sorbonne Paris Cite, F-75005 Paris, France</t>
  </si>
  <si>
    <t>Centre National de la Recherche Scientifique (CNRS); CNRS - National Institute for Earth Sciences &amp; Astronomy (INSU); Universite Paris Cite</t>
  </si>
  <si>
    <t>Dyment, J (corresponding author), Univ Paris Diderot, UMR CNRS 7154, Equipe Geosci Marines, Inst Phys Globe Paris,Sorbonne Paris Cite, F-75005 Paris, France.</t>
  </si>
  <si>
    <t>jdy@ipgp.fr</t>
  </si>
  <si>
    <t>Dyment, Jérôme/A-6788-2011</t>
  </si>
  <si>
    <t>Jacob, Jensen/0000-0002-1907-4742</t>
  </si>
  <si>
    <t>CEFIPRA (Centre Franco-Indien pour la Promotion de la Recherche Avancee Project) [3307-1]; PHC FAST (Partenariats Hubert Curien, France-Australia Science and Technology Project) [23212VF]</t>
  </si>
  <si>
    <t>CEFIPRA (Centre Franco-Indien pour la Promotion de la Recherche Avancee Project); PHC FAST (Partenariats Hubert Curien, France-Australia Science and Technology Project)</t>
  </si>
  <si>
    <t>We acknowledge funding by CEFIPRA (Centre Franco-Indien pour la Promotion de la Recherche Avancee Project 3307-1) and PHC FAST (Partenariats Hubert Curien, France-Australia Science and Technology Project 23212VF) at various stages of this study. We thank L. Gernigon and A Schettino for reviewing the manuscript and L. Jolivet for handling editorial aspects. We are grateful to G.C. Bhattacharya and Ph. Patriat for their continuous support. Discussions with R. Granot, D. Muller, J. Whittaker and Yatheesh V. are acknowledged. Figures were drawn using the GMT software (Wessel and Smith, 1991).</t>
  </si>
  <si>
    <t>10.1016/j.tecto.2014.08.020</t>
  </si>
  <si>
    <t>WOS:000345821700018</t>
  </si>
  <si>
    <t>Hafsteinsdóttir, EG; Fryirs, KA; Stark, SC; Gore, DB</t>
  </si>
  <si>
    <t>Hafsteinsdottir, Erla G.; Fryirs, Kirstie A.; Stark, Scott C.; Gore, Damian B.</t>
  </si>
  <si>
    <t>Remediation of metal-contaminated soil in polar environments: Phosphate fixation at Casey Station, East Antarctica</t>
  </si>
  <si>
    <t>IN-SITU STABILIZATION; HEAVY-METALS; LEAD ORTHOPHOSPHATES; REACTIVE BARRIERS; FIELD ASSESSMENT; WATER-TREATMENT; IMMOBILIZATION; STABILITY; PB; PHOSPHORUS</t>
  </si>
  <si>
    <t>Remediation of metal-contaminated soils by phosphate fixation is successful in temperate environments, whereas its efficacy in cold and freezing environments is understudied. Phosphate fixation is a low-cost technique and is potentially very useful in these remote environments where the logistics of remediation are difficult and expensive. Here we describe a field study at Casey Station, East Antarctica, where phosphate (triple superphosphate and phosphate rock) and a buffer, Emag (magnesium carbonate and magnesium oxide), were introduced to contaminated soil from nearby Thala Valley landfill. A pilot scale experiment was set up, sampled and monitored from December 2008 to February 2010. Relative to levels in the untreated landfill material, concentrations of Cd, Cu, Co, Fe, Mn, Pb and Zn in leachates were decreased by phosphate addition (fixation most effective for Mn and Zn), whereas the technique increased concentrations of As, Cr and Ni. The most successful fixation was found for the 3:2 ratio of triple superphosphate and Emag, and the least effective fixation occurred with the 2:1:1 ratio of triple superphosphate, Emag and phosphate rock. Although there was an undesirable initial flush of metals from the contaminated soil in the 24-48 h after treatment addition, concentrations in leachate were reduced and stabilised in the second summer. During a full-scale field implementation, complementary techniques would be required to contain and treat contaminated runoff until leachates have reduced to acceptable concentrations. (C) 2014 Elsevier Ltd. All rights reserved.</t>
  </si>
  <si>
    <t>[Hafsteinsdottir, Erla G.; Fryirs, Kirstie A.; Gore, Damian B.] Macquarie Univ, Dept Geog &amp; Environm, N Ryde, NSW 2109, Australia; [Stark, Scott C.] Australian Antarctic Div, Dept Sustainabil Environm Water Populat &amp; Communi, Kingston, Tas 7050, Australia</t>
  </si>
  <si>
    <t>Hafsteinsdóttir, EG (corresponding author), Macquarie Univ, Dept Geog &amp; Environm, N Ryde, NSW 2109, Australia.</t>
  </si>
  <si>
    <t>erla.hafsteinsdottir@gmail.com; kirstie.fryirs@mq.edu.au; scott.stark@aad.gov.au; damian.gore@mq.edu.au</t>
  </si>
  <si>
    <t>Fryirs, Kirstie/0000-0003-0541-3384; Gore, Damian/0000-0002-0377-8518</t>
  </si>
  <si>
    <t>Australian Antarctic Division [AAS2937]; Australian Research Council, PANalytical and Veolia Environmental Services [LP0776373]; Australian Research Council [LP0776373] Funding Source: Australian Research Council</t>
  </si>
  <si>
    <t>Australian Antarctic Division; Australian Research Council, PANalytical and Veolia Environmental Services(Australian Research Council); Australian Research Council(Australian Research Council)</t>
  </si>
  <si>
    <t>We thank the Australian Antarctic Division (AAS2937), and the Australian Research Council, PANalytical and Veolia Environmental Services for financial support under grant LP0776373. Special thanks to Tim Spedding, Meenakshi Arora and Trevor Bailey for field support and Greg Hince for help with ICP-OES analyses.</t>
  </si>
  <si>
    <t>10.1016/j.apgeochem.2014.08.011</t>
  </si>
  <si>
    <t>AU1UL</t>
  </si>
  <si>
    <t>WOS:000345405400004</t>
  </si>
  <si>
    <t>Zhu, RB; Bao, T; Wang, Q; Xu, H; Liu, YS</t>
  </si>
  <si>
    <t>Zhu, Renbin; Bao, Tao; Wang, Qing; Xu, Hua; Liu, Yashu</t>
  </si>
  <si>
    <t>Summertime CO2 fluxes and ecosystem respiration from marine animal colony tundra in maritime Antarctica</t>
  </si>
  <si>
    <t>CO2 fluxes; Ecosystem respiration; Penguin; Seal; Tundra; Antarctica</t>
  </si>
  <si>
    <t>MOSS SANIONIA-UNCINATA; CARBON-DIOXIDE FLUX; SOIL RESPIRATION; PENGUIN COLONY; CLIMATE-CHANGE; EXCHANGE; TEMPERATURE; DECOMPOSITION; VEGETATION; CRYOSOLS</t>
  </si>
  <si>
    <t>Net ecosystem CO2 exchange (NEE) and ecosystem respiration (ER) were investigated at penguin, seal and skua colony tundra and the adjacent animal-lacking tundra sites in maritime Antarctica. Net CO2 fluxes showed a large difference between marine animal colonies and animal-lacking tundra sites. The mean NEE from penguin, seal and skua colony tundra sites ranged from -37.2 to 5.2 mg CO2 m(-2) h(-1), whereas animal-lacking tundra sites experienced a larger net gain of CO2 with the mean flux range from -85.6 to -23.9 mg CO2 m(-2) h(-1). Ecosystem respiration rates at penguin colony tundra sites (mean 201.3 +/- 31.4 mg CO2 m(-2) h(-1)) were significantly higher (P &lt; 0.01) than those at penguin-lacking tundra sites (64.0-87.1 mg CO2 m(-2) h(-1)). The gross photosynthesis (P-g) showed a consistent trend to ER with the highest mean P-g (219.7 +/- 34.5 mg CO2 m(-2) h(-1)) at penguin colony tundra sites. When all the data were combined from different types of tundra ecosystems, summertime tundra NEE showed a weak or strong positive correlation with air temperature, 0-10 cm soil temperature or precipitation. The NEE from marine animal colony and animal-lacking tundra was significantly positively correlated (P &lt; 0.001) with soil organic carbon (SOC), total nitrogen (TN) contents and C:N ratios. The ER showed a significant exponential correlation (P &lt; 0.01) with mean 0-15 cm soil temperature, and much higher (210 value (9.97) was obtained compared with other terrestrial ecosystems, indicating greater temperature sensitivity of tundra ecosystem respiration. Our results indicate that marine animals and the deposition of their excreta might have an important effect on tundra CO2 exchanges and ecosystem respiration, and current climate warming will further decrease tundra CO2 sink in maritime Antarctica. (C) 2014 Elsevier Ltd. All rights reserved.</t>
  </si>
  <si>
    <t>[Zhu, Renbin; Xu, Hua] Chinese Acad Sci, Inst Soil Sci, State Key Lab Soil &amp; Sustainable Agr, Nanjing 210008, Jiangsu, Peoples R China; [Zhu, Renbin; Bao, Tao; Wang, Qing] Univ Sci &amp; Technol China, Sch Earth &amp; Space Sci, Inst Polar Environm, Hefei 230026, Anhui, Peoples R China; [Liu, Yashu] Jiangsu Univ Sci &amp; Technol, Sch Biol &amp; Chem Engn, Zhenjiang 212000, Peoples R China</t>
  </si>
  <si>
    <t>Chinese Academy of Sciences; Nanjing Institute of Soil Science, CAS; Chinese Academy of Sciences; University of Science &amp; Technology of China, CAS; Jiangsu University of Science &amp; Technology</t>
  </si>
  <si>
    <t>Zhu, RB (corresponding author), Chinese Acad Sci, Inst Soil Sci, State Key Lab Soil &amp; Sustainable Agr, Nanjing 210008, Jiangsu, Peoples R China.</t>
  </si>
  <si>
    <t>zhurb@ustc.edu.cn</t>
  </si>
  <si>
    <t>Bao, Tao/AAU-4944-2021</t>
  </si>
  <si>
    <t>Bao, Tao/0000-0003-0262-6333</t>
  </si>
  <si>
    <t>National Natural Science Foundation of China [41176171, 41076124]; Specialized Research Fund for the Doctoral Program of Higher Education [20123402110026]</t>
  </si>
  <si>
    <t>National Natural Science Foundation of China(National Natural Science Foundation of China (NSFC)); Specialized Research Fund for the Doctoral Program of Higher Education(Specialized Research Fund for the Doctoral Program of Higher Education (SRFDP))</t>
  </si>
  <si>
    <t>This work was supported by the National Natural Science Foundation of China (Grant No. 41176171; 41076124), and Specialized Research Fund for the Doctoral Program of Higher Education (Grant No. 20123402110026). We thank Dr. Zhiyong Yang and Dr. Shan Jiang for the field sampling and assistant. We also thank the members of the 24th, 25th and 26th Chinese Antarctic Research Expedition for their support and assistant.</t>
  </si>
  <si>
    <t>10.1016/j.atmosenv.2014.08.065</t>
  </si>
  <si>
    <t>AU2WI</t>
  </si>
  <si>
    <t>WOS:000345475000021</t>
  </si>
  <si>
    <t>Jin, JS; Touyama, M; Yamada, S; Yamazaki, T; Benno, Y</t>
  </si>
  <si>
    <t>Jin, Jong-Sik; Touyama, Mutsumi; Yamada, Shin; Yamazaki, Takashi; Benno, Yoshimi</t>
  </si>
  <si>
    <t>Alteration of a Human Intestinal Microbiota under Extreme Life Environment in the Antarctica</t>
  </si>
  <si>
    <t>BIOLOGICAL &amp; PHARMACEUTICAL BULLETIN</t>
  </si>
  <si>
    <t>Antarctic expedition; human intestinal microbiota; Bifidobacterium; terminal restriction fragment length polymorphism (T-RFLP)</t>
  </si>
  <si>
    <t>16S RIBOSOMAL-RNA; FRAGMENT-LENGTH-POLYMORPHISMS; COLD STRESS; BACTEROIDES-THETAIOTAOMICRON; ULCERATIVE-COLITIS; QUANTITATIVE PCR; FECAL MICROBIOTA; GUT MICROBIOTA; HUMAN FECES; FLORA</t>
  </si>
  <si>
    <t>The human intestinal microbiota (HIM) settles from birth and continues to change phenotype by some factors (e.g. host's diet) throughout life. However, the effect of extreme life environment on human HIM composition is not well known. To understand HIM fluctuation under extreme life environment in humans, fecal samples were collected from six Japanese men on a long Antarctic expedition. They explored Antarctica for 3 months and collected their fecal samples at once-monthly intervals. Using terminal restriction fragment length polymorphism (T-RFLP) and real time polymerase chain reaction (PCR) analysis, the composition of HIM in six subjects was investigated. Three subjects presented restoration of HIM after the expedition compared versus before and during the expedition. Two thirds samples collected during the expedition belonged to the same cluster in dendrogram. However, all through the expedition, T-RFLP patterns showed interindividual variability. Especially, Bifidobacterium spp. showed a tendency to decrease during and restore after the expedition. A reduction of Bifidobacterium spp. was observed in five subjects the first 1 month of the expedition. Bacteroides thetaiotaomicron, which is thought to proliferate during emotional stress, significantly decreased in one subject, indicating that other factors in addition to emotional stress may affect the composition of HIM in this study. These findings could be helpful to understand the effect of extreme life environment on HIM.</t>
  </si>
  <si>
    <t>[Jin, Jong-Sik] Chonbuk Natl Univ, Coll Environm &amp; Bioresource Sci, Dept Oriental Med Resources, Iksan 570752, Jeonbuk, South Korea; [Jin, Jong-Sik; Touyama, Mutsumi; Benno, Yoshimi] RIKEN, Innovat Ctr, Benno Lab, Wako, Saitama 3510198, Japan; [Yamada, Shin] Japan Aerosp Explorat Agcy, Space Biomed Res Off, Tsukuba, Ibaraki 3058505, Japan; [Yamazaki, Takashi] Japan Aerosp Explorat Agcy, Space Environm Utilizat Ctr, Tsukuba, Ibaraki 3058505, Japan</t>
  </si>
  <si>
    <t>Jeonbuk National University; RIKEN; Japan Aerospace Exploration Agency (JAXA); Japan Aerospace Exploration Agency (JAXA)</t>
  </si>
  <si>
    <t>Benno, Y (corresponding author), RIKEN, Innovat Ctr, Benno Lab, 2-1 Hirosawa, Wako, Saitama 3510198, Japan.</t>
  </si>
  <si>
    <t>benno828@riken.jp</t>
  </si>
  <si>
    <t>PHARMACEUTICAL SOC JAPAN</t>
  </si>
  <si>
    <t>2-12-15 SHIBUYA, SHIBUYA-KU, TOKYO, 150-0002, JAPAN</t>
  </si>
  <si>
    <t>0918-6158</t>
  </si>
  <si>
    <t>BIOL PHARM BULL</t>
  </si>
  <si>
    <t>Biol. Pharm. Bull.</t>
  </si>
  <si>
    <t>10.1248/bpb.b14-00397</t>
  </si>
  <si>
    <t>AU3EO</t>
  </si>
  <si>
    <t>WOS:000345495600007</t>
  </si>
  <si>
    <t>Zhai, XM; Munday, DR</t>
  </si>
  <si>
    <t>Zhai, Xiaoming; Munday, David R.</t>
  </si>
  <si>
    <t>Sensitivity of Southern Ocean overturning to wind stress changes: Role of surface restoring time scales</t>
  </si>
  <si>
    <t>Surface restoring; Southern Ocean; Ocean eddies; Meridional overturning circulation; Eddy compensation; Wind forcing</t>
  </si>
  <si>
    <t>ANTARCTIC CIRCUMPOLAR CURRENT; TEMPERATURE ANOMALIES; CIRCULATION; EDDIES; FLUXES; MODEL</t>
  </si>
  <si>
    <t>The influence of different surface restoring time scales on the response of the Southern Ocean overturning circulation to wind stress changes is investigated using an idealised channel model. Regardless of the restoring time scales chosen, the eddy-induced meridional overturning circulation (MOC) is found to compensate for changes of the direct wind-driven Eulerian-mean MOC, rendering the residual MOC less sensitive to wind stress changes. However, the extent of this compensation depends strongly on the restoring time scale: residual MOC sensitivity increases with decreasing restoring time scale. Strong surface restoring is shown to limit the ability of the eddy-induced MOC to change in response to wind stress changes and as such suppresses the eddy compensation effect. These model results are consistent with qualitative arguments derived from residual-mean theory and may have important implications for interpreting past and future observations. (C) 2014 Elsevier Ltd. All rights reserved.</t>
  </si>
  <si>
    <t>[Zhai, Xiaoming] Univ E Anglia, Sch Environm Sci, Ctr Ocean &amp; Atmospher Sci, Norwich NR4 7TJ, Norfolk, England; [Munday, David R.] Univ Oxford, Dept Phys, Oxford, England</t>
  </si>
  <si>
    <t>University of East Anglia; University of Oxford</t>
  </si>
  <si>
    <t>Zhai, XM (corresponding author), Univ E Anglia, Sch Environm Sci, Ctr Ocean &amp; Atmospher Sci, Norwich NR4 7TJ, Norfolk, England.</t>
  </si>
  <si>
    <t>xiaoming.zhai@uea.ac.uk</t>
  </si>
  <si>
    <t>Munday, David R/R-1986-2016; Munday, David/Y-7052-2019</t>
  </si>
  <si>
    <t>Munday, David R/0000-0003-1920-708X;</t>
  </si>
  <si>
    <t>Research and Specialist Computing Support service at the University of East Anglia</t>
  </si>
  <si>
    <t>Numerical model experiments were carried out on the High Performance Computing Cluster supported by the Research and Specialist Computing Support service at the University of East Anglia. We thank Andy Hogg, David Marshall, and two anonymous reviewers for valuable comments.</t>
  </si>
  <si>
    <t>10.1016/j.ocemod.2014.09.004</t>
  </si>
  <si>
    <t>AU3PN</t>
  </si>
  <si>
    <t>WOS:000345526000002</t>
  </si>
  <si>
    <t>Nakayama, Y; Timmermann, R; Schröder, M; Hellmer, HH</t>
  </si>
  <si>
    <t>Nakayama, Y.; Timmermann, R.; Schroeder, M.; Hellmer, H. H.</t>
  </si>
  <si>
    <t>On the difficulty of modeling Circumpolar Deep Water intrusions onto the Amundsen Sea continental shelf</t>
  </si>
  <si>
    <t>Finite Element Sea ice-ice shelf-Ocean; Model; Amundsen Sea; Circumpolar Deep Water; Ice shelf basal melting</t>
  </si>
  <si>
    <t>PINE ISLAND GLACIER; ANTARCTIC ICE-SHEET; OCEAN CIRCULATION; SENSITIVITY; TRANSPORT; EXCHANGE; POLYNYAS; BREAK</t>
  </si>
  <si>
    <t>In the Amundsen Sea, warm Circumpolar Deep Water (CDW) intrudes onto the continental shelf and flows into the ice shelf cavities of the West Antarctic Ice Sheet, resulting in high basal melt rates. However, none of the high resolution global models resolving all the small ice shelves around Antarctica can reproduce a realistic CDW flow onto the Amundsen Sea continental shelf, and previous studies show simulated bottom potential temperature at the Pine Island Ice Shelf front of about -1.8 degrees C. In this study, using the Finite-Element Sea ice-ice shelf-Ocean Model (FESOM), we reproduce warm CDW intrusions onto the Amundsen Sea continental shelf and realistic melt rates of the ice shelves in West Antarctica. To investigate the importance of horizontal resolution, forcing, horizontal diffusivity, and the effect of grounded icebergs, eight sensitivity experiments are conducted. To simulate the CDW intrusion realistically, a horizontal resolution of about 5 km or smaller is required. The choice of forcing is also important and the cold bias in the NCEP/NCAR reanalysis over the eastern Amundsen Sea prevents warm CDW from intruding onto the continental shelf. On the other hand, the CDW intrusion is not highly sensitive to the strength of horizontal diffusion. The effect of grounded icebergs located off Bear Peninsula is minor, but may act as a buffer to an anomalously cold year. (C) 2014 Elsevier Ltd. All rights reserved.</t>
  </si>
  <si>
    <t>[Nakayama, Y.; Timmermann, R.; Schroeder, M.; Hellmer, H. H.] Alfred Wegener Inst, D-27570 Bremerhaven, Germany</t>
  </si>
  <si>
    <t>Nakayama, Y (corresponding author), Alfred Wegener Inst, Bussestr 24, D-27570 Bremerhaven, Germany.</t>
  </si>
  <si>
    <t>Yoshihiro.Nakayama@awi.de; Ralph.Timmermann@awi.de; Michael.Schroeder@awi.de; Hartmut.Hellmer@awi.de</t>
  </si>
  <si>
    <t>Nakayama, Yoshihiro/R-4325-2019</t>
  </si>
  <si>
    <t>Nakayama, Yoshihiro/0000-0001-6543-529X; Hellmer, Hartmut/0000-0002-9357-9853</t>
  </si>
  <si>
    <t>10.1016/j.ocemod.2014.09.007</t>
  </si>
  <si>
    <t>WOS:000345526000003</t>
  </si>
  <si>
    <t>Lagos, PF; Manríquez, K</t>
  </si>
  <si>
    <t>Lagos, Paulo F.; Manriquez, Karen</t>
  </si>
  <si>
    <t>Spatial distribution of Antarctic copepods in Fildes Bay during summer of 2012</t>
  </si>
  <si>
    <t>REVISTA DE BIOLOGIA MARINA Y OCEANOGRAFIA</t>
  </si>
  <si>
    <t>Antarctic Peninsula; Fildes Bay; copepods; distribution</t>
  </si>
  <si>
    <t>The Antarctic Chilean peninsula, is characterized for being stable in its oceanographic conditions. Nevertheless, its coastal zones, such as bays, may have more variable physical conditions, both spatially and temporally. It has been observed that a remarkable interaction between the oceanographic conditions and spatial distribution patterns of zooplankton occurs. However, there is no good understanding of how these interactions affect the horizontal and vertical distribution of zooplankton living in these areas. The present study shows the changes that occur at the level of the zooplankton community structure, specifically in the copepods assembly of Fildes Bay. The results show that copepods of the Oithonidae family are abundant in coastal areas of the bay meanwhile Calanidae copepods are abundant in zones adjacent to Bransfield Strait and found only in low abundance at the interior of the bay. These findings indicate differences in the ensemble of copepods along the bay with changes in the abundance and distribution of dominant groups of copepods commonly found in the Antarctic Peninsula and Drake Passage waters.</t>
  </si>
  <si>
    <t>[Lagos, Paulo F.; Manriquez, Karen] Univ Andres Bello, Fac Ecol &amp; Recursos Nat, Escuela Ciencias Mar, Ctr Invest Marina Quintay CIMARQ, Valparaiso, Chile</t>
  </si>
  <si>
    <t>Universidad Andres Bello</t>
  </si>
  <si>
    <t>Lagos, PF (corresponding author), Univ Andres Bello, Fac Ecol &amp; Recursos Nat, Escuela Ciencias Mar, Ctr Invest Marina Quintay CIMARQ, Valparaiso, Chile.</t>
  </si>
  <si>
    <t>k.manriquezdiaz@uandresbello.edu</t>
  </si>
  <si>
    <t>Lagos, Paulo F/C-8879-2014</t>
  </si>
  <si>
    <t>Lagos, Paulo/0000-0002-1560-4718</t>
  </si>
  <si>
    <t>Chilean Antarctic Institute (INACH), Correos de Chile, Chilean Air Force [P_01_11]</t>
  </si>
  <si>
    <t>Chilean Antarctic Institute (INACH), Correos de Chile, Chilean Air Force</t>
  </si>
  <si>
    <t>Chilean Antarctic Institute (INACH) Project P_01_11, Correos de Chile, Chilean Air Force for logistical support. Marine Research Center CIMARQ and Mr. Pablo Bonati for his logistical support.</t>
  </si>
  <si>
    <t>UNIV VALPARAISO</t>
  </si>
  <si>
    <t>VINA DEL MAR</t>
  </si>
  <si>
    <t>FACULTAD CIENCIAS MAR RECURSOS NATURALES, CASILLA 5080 - RENACA, VINA DEL MAR, 00000, CHILE</t>
  </si>
  <si>
    <t>0717-3326</t>
  </si>
  <si>
    <t>0718-1957</t>
  </si>
  <si>
    <t>REV BIOL MAR OCEANOG</t>
  </si>
  <si>
    <t>Rev. Biol. Mar. Oceanogr.</t>
  </si>
  <si>
    <t>10.4067/S0718-19572014000300010</t>
  </si>
  <si>
    <t>AU6XX</t>
  </si>
  <si>
    <t>WOS:000345746000010</t>
  </si>
  <si>
    <t>Demezhko, DY; Gornostaeva, AA</t>
  </si>
  <si>
    <t>Demezhko, D. Yu.; Gornostaeva, A. A.</t>
  </si>
  <si>
    <t>Reconstructions of long-term ground surface heat flux changes from deep-borehole temperature data</t>
  </si>
  <si>
    <t>RUSSIAN GEOLOGY AND GEOPHYSICS</t>
  </si>
  <si>
    <t>geothermy; paleoclimatic reconstructions; heat flux; energy balance of the Earth's surface; Pleistocene; Holocene; Urals; Karelia</t>
  </si>
  <si>
    <t>CLIMATE-CHANGE; URALS</t>
  </si>
  <si>
    <t>Based on analysis of geothermal data from the Ural superdeep borehole (SG-4) and Onega parametric borehole, the first reconstructions of ground surface heat flux changes for the last 40 kyr have been made. The increase in heat flux during the Pleistocene-Holocene warming (20-10 ka) proceeded similar to 2 kyr earlier than the growth in surface temperature; reaching the maximum value of 0.08-0.13 W/m(2) at similar to 13 ka, the heat flux was reduced. The coordinated changes in heat flux and average annual insolation at 60 degrees N at 5-24 ka indicate that the orbital factors were the main cause of climatic changes in this period. The correlations between the changes in heat flux and CO2 content in the Antarctic ice cores and the temperature changes are analyzed. (C) 2014, V.S. Sobolev IGM, Siberian Branch of the RAS. Published by Elsevier B.V. All rights reserved.</t>
  </si>
  <si>
    <t>[Demezhko, D. Yu.; Gornostaeva, A. A.] Russian Acad Sci, Inst Geophys, Ural Branch, Ekaterinburg 620016, Russia</t>
  </si>
  <si>
    <t>Russian Academy of Sciences</t>
  </si>
  <si>
    <t>Demezhko, DY (corresponding author), Russian Acad Sci, Inst Geophys, Ural Branch, Ul Amundsena 100, Ekaterinburg 620016, Russia.</t>
  </si>
  <si>
    <t>ddem54@inbox.ru</t>
  </si>
  <si>
    <t>Gornostaeva, Anastasiia/AAD-6326-2022</t>
  </si>
  <si>
    <t>Russian Foundation for Basic Research [13-05-00724-a]</t>
  </si>
  <si>
    <t>This work was supported by grant 13-05-00724-a from the Russian Foundation for Basic Research.</t>
  </si>
  <si>
    <t>RUSSIAN ACAD SCIENCES, SIBERIAN BRANCH, VS SOBOLEV INST GEOL &amp; MINEROL</t>
  </si>
  <si>
    <t>NOVOSIBIRSK</t>
  </si>
  <si>
    <t>PR-KT AK. KOPTYUGA, 3, NOVOSIBIRSK, 630090, RUSSIA</t>
  </si>
  <si>
    <t>1068-7971</t>
  </si>
  <si>
    <t>1878-030X</t>
  </si>
  <si>
    <t>RUSS GEOL GEOPHYS+</t>
  </si>
  <si>
    <t>Russ. Geol. Geophys.</t>
  </si>
  <si>
    <t>10.1016/j.rgg.2014.11.011</t>
  </si>
  <si>
    <t>AU5QC</t>
  </si>
  <si>
    <t>WOS:000345660700011</t>
  </si>
  <si>
    <t>Dutra, LXC; Ellis, N; Perez, P; Dichmont, CM; de la Mare, W; Boschetti, F</t>
  </si>
  <si>
    <t>Dutra, Leo X. C.; Ellis, Nick; Perez, Pascal; Dichmont, Cathy M.; de la Mare, William; Boschetti, Fabio</t>
  </si>
  <si>
    <t>Drivers influencing adaptive management: a retrospective evaluation of water quality decisions in South East Queensland (Australia)</t>
  </si>
  <si>
    <t>AMBIO</t>
  </si>
  <si>
    <t>Water quality decisions; Decision attributes; Interview analysis; Information; Inductive/deductive method</t>
  </si>
  <si>
    <t>STRATEGY EVALUATION; INFORMATION; SCIENCE</t>
  </si>
  <si>
    <t>This article analyzes interviews with natural resource managers in South East Queensland (SEQ), Australia. The objectives of the research are (i) to apply and test deductive/inductive text analysis methods for constructing a conceptual model of water quality decision-making in SEQ, (ii) to understand the role of information in the decision-making process, and (iii) to understand how to improve adaptive management in SEQ. Our methodology provided the means to quickly and objectively explore interview data and also reduce potential subjective bias normally associated with deductive text analysis methods. At a more practical level, our methodology indicates potential intervention points if one is to influence the decision-making process in the region. Results indicate that relevant information is often ignored in SEQ, with significant consequences for adaptive management. Contextual factors (political, social, and environmental) together with effective communication or lobbying strategies often prevent evidence-based decisions. We propose that in addition to generating information to support decisions, adaptive management also requires an appraisal of the true character of the decision-making process, which includes how stakeholders interact, what information is relevant and salient to management, and how the available information should be communicated to stakeholders and decision-making bodies.</t>
  </si>
  <si>
    <t>[Dutra, Leo X. C.; Ellis, Nick; Dichmont, Cathy M.] CSIRO Marine &amp; Atmospher Res Wealth Oceans Flagsh, Ecosci Precinct, Dutton Park, Qld 4002, Australia; [Perez, Pascal] Univ Wollongong, SMART Infrastruct Facil, Wollongong, NSW 2522, Australia; [de la Mare, William] Australian Antarctic Div, Kingston, Tas 7050, Australia; [Boschetti, Fabio] CSIRO Marine &amp; Atmospher Res Wealth Oceans Flagsh, Floreat, WA 6014, Australia; [Boschetti, Fabio] Univ Western Australia, Sch Earth &amp; Geog Sci, Crawley, WA, Australia</t>
  </si>
  <si>
    <t>Commonwealth Scientific &amp; Industrial Research Organisation (CSIRO); University of Wollongong; Australian Antarctic Division; Commonwealth Scientific &amp; Industrial Research Organisation (CSIRO); University of Western Australia</t>
  </si>
  <si>
    <t>Dutra, LXC (corresponding author), CSIRO Marine &amp; Atmospher Res Wealth Oceans Flagsh, Ecosci Precinct, 41 Boggo Rd, Dutton Park, Qld 4002, Australia.</t>
  </si>
  <si>
    <t>leo.dutra@csiro.au</t>
  </si>
  <si>
    <t>Dichmont, Catherine M/A-9528-2008; Dutra, Leo/R-6256-2019; Boschetti, Fabio/A-1607-2015; Ellis, Nick/B-4310-2009</t>
  </si>
  <si>
    <t>Boschetti, Fabio/0000-0001-8999-6913; Ellis, Nick/0000-0001-8761-5128; Dutra, Leo/0000-0002-5781-3956</t>
  </si>
  <si>
    <t>CSIRO Wealth from Oceans Flagship; Healthy Waterways Partnership; CMAR Integrated Marine and Coastal Assessment and Management</t>
  </si>
  <si>
    <t>CSIRO Wealth from Oceans Flagship(Commonwealth Scientific &amp; Industrial Research Organisation (CSIRO)); Healthy Waterways Partnership; CMAR Integrated Marine and Coastal Assessment and Management</t>
  </si>
  <si>
    <t>This project was co-funded between CSIRO Wealth from Oceans Flagship, the Healthy Waterways Partnership, and the CMAR Integrated Marine and Coastal Assessment and Management. We would like to thank Eva Abal, Di Tarte, John Bennett, Mara Wolkenhauer, Andy Steven, and Campbell Davies for their support; and interviewees from across SEQ for their participation. We also thank Sharon Tickell, Toni Cannard, Ricardo Pascual, Peter Bayliss, Olivier Thebaud, and Chris Moeseneder for their valuable work on a parallel project that supported our research. Mac Exon-Taylor provided precious support with the use of Leximancer (TM), and Sol Rojas-Lizana (University of Queensland) offered valuable insights on text analysis. Peter Bayliss, Olivier Thebaud, and an anonymous referee reviewed the report in which this manuscript is based, and Ingrid van Putten provided valuable comments on an earlier version of the manuscript. We are grateful to two anonymous reviewers for providing insightful criticism that improved the first draft of this manuscript.</t>
  </si>
  <si>
    <t>0044-7447</t>
  </si>
  <si>
    <t>1654-7209</t>
  </si>
  <si>
    <t>Ambio</t>
  </si>
  <si>
    <t>10.1007/s13280-014-0537-4</t>
  </si>
  <si>
    <t>AT4OS</t>
  </si>
  <si>
    <t>WOS:000344920200008</t>
  </si>
  <si>
    <t>García-Descalzo, L; García-López, E; Alcázar, A; Baquero, F; Cid, C</t>
  </si>
  <si>
    <t>Garcia-Descalzo, Laura; Garcia-Lopez, Eva; Alcazar, Alberto; Baquero, Fernando; Cid, Cristina</t>
  </si>
  <si>
    <t>Proteomic analysis of the adaptation to warming Shewanella frigidimarina</t>
  </si>
  <si>
    <t>BIOCHIMICA ET BIOPHYSICA ACTA-PROTEINS AND PROTEOMICS</t>
  </si>
  <si>
    <t>Extremophile; Psychrophile; Shewanella; Antarctica; Thermal adaptation; Heat shock protein</t>
  </si>
  <si>
    <t>LOW-TEMPERATURE; ESCHERICHIA-COLI; OXIDATIVE STRESS; TRIGGER FACTOR; BACTERIUM; CHAPERONE; CYCLE; ACID; STRAIN</t>
  </si>
  <si>
    <t>Antarctica is subjected to extremely variable conditions, but the importance of the temperature increase in cold adapted bacteria is still unknown. To study the molecular adaptation to warming of Antarctic bacteria, cultures of Shewanella frigidimarina were incubated at temperatures ranging from 0 degrees C to 30 degrees C, emulating the most extreme conditions that this strain could tolerate. A proteomic approach was developed to identify the soluble proteins obtained from cells growing at 4 degrees C, 20 degrees C and 28 degrees C. The most drastic effect when bacteria were grown at 28 degrees C was the accumulation of heat shock proteins as well as other proteins related to stress, redox homeostasis or protein synthesis and degradation, and the decrease of enzymes and components of the cell envelope. Furthermore, two main responses in the adaptation to warm temperature were detected: the presence of diverse isoforms in some differentially expressed proteins, and the composition of chaperone interaction networks at the limits of growth temperature. The abundance changes of proteins suggest that warming induces a stress situation in S. frigidimarina forcing cells to reorganize their molecular networks as an adaptive response to these environmental conditions. (C) 2014 Elsevier B.V. All rights reserved.</t>
  </si>
  <si>
    <t>[Garcia-Descalzo, Laura; Garcia-Lopez, Eva; Baquero, Fernando; Cid, Cristina] CSIC INTA, Ctr Astrobiol, Torrejon De Ardoz 28850, Spain; [Alcazar, Alberto] Hosp Ramon &amp; Cajal, Dept Invest, E-28034 Madrid, Spain; [Baquero, Fernando] Hosp Ramon &amp; Cajal, Dept Microbiol, E-28034 Madrid, Spain</t>
  </si>
  <si>
    <t>Consejo Superior de Investigaciones Cientificas (CSIC); CSIC - Centro de Astrobiologia (INTA); Hospital Universitario Ramon y Cajal; Hospital Universitario Ramon y Cajal</t>
  </si>
  <si>
    <t>Cid, C (corresponding author), CSIC INTA, Ctr Astrobiol, Ctra Ajalvir Km 4, Madrid 28850, Spain.</t>
  </si>
  <si>
    <t>cidsc@inta.es</t>
  </si>
  <si>
    <t>Cid, Cristina/R-6821-2018; Lopez, Eva Garcia/AAC-4057-2021; García-Descalzo, Laura/S-2777-2018</t>
  </si>
  <si>
    <t>Cid, Cristina/0000-0001-5128-4558; Lopez, Eva Garcia/0000-0003-1086-3056; García-Descalzo, Laura/0000-0002-0083-6786</t>
  </si>
  <si>
    <t>Spanish Ministerio de Economia y Competitividad (MINECO) [CTM/2008-00304/ANT, CTM2010-12134-E/ANT, CTM2011-16003-E]; MINECO Fellowship (Programa Nacional de Contratacion e Incorporacion de RRHH, Spain)</t>
  </si>
  <si>
    <t>Spanish Ministerio de Economia y Competitividad (MINECO); MINECO Fellowship (Programa Nacional de Contratacion e Incorporacion de RRHH, Spain)</t>
  </si>
  <si>
    <t>This research was supported by grants CTM/2008-00304/ANT, CTM2010-12134-E/ANT and CTM2011-16003-E from the Spanish Ministerio de Economia y Competitividad (MINECO). E.G.L. is recipient of a MINECO Fellowship (Programa Nacional de Contratacion e Incorporacion de RRHH, Spain).</t>
  </si>
  <si>
    <t>1570-9639</t>
  </si>
  <si>
    <t>1878-1454</t>
  </si>
  <si>
    <t>BBA-PROTEINS PROTEOM</t>
  </si>
  <si>
    <t>BBA-Proteins Proteomics</t>
  </si>
  <si>
    <t>10.1016/j.bbapap.2014.08.006</t>
  </si>
  <si>
    <t>Biochemistry &amp; Molecular Biology; Biophysics</t>
  </si>
  <si>
    <t>AT8KR</t>
  </si>
  <si>
    <t>WOS:000345182800019</t>
  </si>
  <si>
    <t>Pretorius, WB; Das, S; Monteiro, PMS</t>
  </si>
  <si>
    <t>Pretorius, Wesley Byron; Das, Sonali; Monteiro, Pedro M. S.</t>
  </si>
  <si>
    <t>Investigating the complex relationship between in situ Southern Ocean pCO2 and its ocean physics and biogeochemical drivers using a nonparametric regression approach</t>
  </si>
  <si>
    <t>ENVIRONMENTAL AND ECOLOGICAL STATISTICS</t>
  </si>
  <si>
    <t>Carbon dioxide; Carbon flux; Non-parametric kernel regression; Prediction; SANAE; Southern Ocean</t>
  </si>
  <si>
    <t>NORTH-ATLANTIC; CARBON; VARIABILITY; FLUXES; CYCLE</t>
  </si>
  <si>
    <t>The objective in this paper is to investigate the use of a non-parametric approach to model the relationship between oceanic carbon dioxide (pCO(2)) and a range of ocean physics and biogeochemical in situ variables in the Southern Ocean, which influence its in situ variability. The need for this stems from the need to obtain reliable estimates of carbon dioxide concentrations in the Southern Ocean which plays an important role in the global carbon flux cycle. The main challenge involved in this objective is the spatial limitation and seasonal bias of the in situ data. Moreover, studies have also reported that the relationship between pCO(2) and its drivers is complex. As such, in this paper, we use the non-parametric kernel regression approach since it is able to accurately capture the complex relationships between the response and predictor variables. In this analysis we use the in situ data obtained from the SANAE49 return leg journey between Antarctic to Cape Town. To the best of our knowledge, this is the first time this data set has been subjected to such analysis. The model variants were `developed on a training data subset, and the 'goodness' of the models were assessed on an unseen test data subset. Results indicate that the nonparametric approach consistently captures the relationship more accurately in terms of mean square error, root mean square error and mean absolute error, over a standard parametric approach (multiple linear regression). These results provide a platform for using the developed nonparametric regression model based on in situ measurements to predict pCO(2) for a larger spatial region in the Southern Ocean based on satellite biogeochemical measurements of predictor variables, given that satellites do not measure pCO(2).</t>
  </si>
  <si>
    <t>[Pretorius, Wesley Byron] Univ Stellenbosch, Dept Stat &amp; Actuarial Sci, ZA-7600 Stellenbosch, South Africa; [Das, Sonali] CSIR Built Environm, ZA-0001 Pretoria, South Africa; [Monteiro, Pedro M. S.] CSIR CHPC, Ocean Syst &amp; Climate Grp, ZA-7700 Cape Town, South Africa</t>
  </si>
  <si>
    <t>Stellenbosch University; Council for Scientific &amp; Industrial Research (CSIR) - South Africa</t>
  </si>
  <si>
    <t>Pretorius, WB (corresponding author), Old Mutual Finance PTY Ltd RF, Credit Dept, H8-K3 Mutual Pk,Jan Smuts Dr, ZA-7405 Cape Town, South Africa.</t>
  </si>
  <si>
    <t>pretorius.wesley@gmail.com</t>
  </si>
  <si>
    <t>CSIR Parliamentary; Southern Ocean Carbon Climate Observatory (SOCCO) programme [TA_2010_035]</t>
  </si>
  <si>
    <t>CSIR Parliamentary(Council of Scientific &amp; Industrial Research (CSIR) - India); Southern Ocean Carbon Climate Observatory (SOCCO) programme</t>
  </si>
  <si>
    <t>This work was partially supported by the CSIR Parliamentary and the Strategic Research Panel Grants [TA_2010_035] in the ambit of the Southern Ocean Carbon Climate Observatory (SOCCO) programme. We would also like to thank Dr Nicolas Fauchereau for data facilitation. The authors declare that they have no conflict of interest.</t>
  </si>
  <si>
    <t>1352-8505</t>
  </si>
  <si>
    <t>1573-3009</t>
  </si>
  <si>
    <t>ENVIRON ECOL STAT</t>
  </si>
  <si>
    <t>Environ. Ecol. Stat.</t>
  </si>
  <si>
    <t>10.1007/s10651-014-0276-5</t>
  </si>
  <si>
    <t>Environmental Sciences; Mathematics, Interdisciplinary Applications; Statistics &amp; Probability</t>
  </si>
  <si>
    <t>Environmental Sciences &amp; Ecology; Mathematics</t>
  </si>
  <si>
    <t>AU0OI</t>
  </si>
  <si>
    <t>WOS:000345322300006</t>
  </si>
  <si>
    <t>Bak, YS; Yoo, KC; Yoon, HI</t>
  </si>
  <si>
    <t>Bak, Young-Suk; Yoo, Kyu-Cheul; Yoon, Ho Il</t>
  </si>
  <si>
    <t>Late quaternary climate changes around the elephant islands, Antarctic Peninsula</t>
  </si>
  <si>
    <t>GEOSCIENCES JOURNAL</t>
  </si>
  <si>
    <t>Antarctic Peninsula; Elephant Island; Quaternary; diatom assemblage; reworked species</t>
  </si>
  <si>
    <t>SOUTHERN-OCEAN SEDIMENTS; WATER-COLUMN ASSEMBLAGES; MAJOR DIATOM TAXA; WEDDELL SEA; BRANSFIELD STRAIT; SURFACE SEDIMENTS; ICE-EDGE; SHETLAND ISLANDS; ATLANTIC SECTOR; MCMURDO SOUND</t>
  </si>
  <si>
    <t>Sixty-seven species of diatoms of 28 genera were identified in Core GC03-C2 acquired from the north slope of Elephant Island, Antarctic Peninsula. The number of diatom valves per gram of dry sediment ranged from 0.2 similar to 17.3x10(7)g(-1), and these were dominated by Fragilariopsis kerguelensis (65.8%). Diatom assemblage analysis reconstructed the Quaternary paleoclimatic change the Elephant Islands. Four diatom assemblage zones were identified according to the frequency of critical taxa as follows: zone I, from 830 to 710 cm (Antarctic Cold Reversal); zone II, from 700 to 550 cm (Deglaciation zone); zone III, from 540 to 260 cm (warm period; Holocene); and zone IV, from 250 to 0 cm (cool period; Holocene). The high abundance of reworked species includes Actinocyclus ingens, Denticulopsis hustedtii, D. praedimorpha, and D. dimorpha appeared in Zone I by turbidity currents and ice rafting in the area during the glaciations-deglaciation event.</t>
  </si>
  <si>
    <t>[Bak, Young-Suk] Chonbuk Natl Univ, Earth &amp; Environm Syst Res Ctr, Jeonju 561856, South Korea; [Yoo, Kyu-Cheul; Yoon, Ho Il] Korea Polar Res Inst, Inchon 406840, South Korea</t>
  </si>
  <si>
    <t>Jeonbuk National University; Korea Institute of Ocean Science &amp; Technology (KIOST); Korea Polar Research Institute (KOPRI)</t>
  </si>
  <si>
    <t>Bak, YS (corresponding author), Chonbuk Natl Univ, Earth &amp; Environm Syst Res Ctr, Jeonju 561856, South Korea.</t>
  </si>
  <si>
    <t>sydin@jbnu.ac.kr</t>
  </si>
  <si>
    <t>Yoo, Kyu-Cheul/0000-0002-6186-7535</t>
  </si>
  <si>
    <t>Basic Science Research Program through the National Research Foundation of Korea - KOPRI Grant [NRF-2012R1A1A2003814, PP14010]</t>
  </si>
  <si>
    <t>Basic Science Research Program through the National Research Foundation of Korea - KOPRI Grant</t>
  </si>
  <si>
    <t>This research was supported by Basic Science Research Program through the National Research Foundation of Korea (NRF-2012R1A1A2003814), funded by KOPRI Grant PP14010. We thank two anonymous reviewers for critical comments of the manuscript.</t>
  </si>
  <si>
    <t>GEOLOGICAL SOCIETY KOREA</t>
  </si>
  <si>
    <t>SEOUL</t>
  </si>
  <si>
    <t>NEW BLD RM 813, 22, TEHERAN-RO 7-GIL, SEOUL, 06130, SOUTH KOREA</t>
  </si>
  <si>
    <t>1226-4806</t>
  </si>
  <si>
    <t>1598-7477</t>
  </si>
  <si>
    <t>GEOSCI J</t>
  </si>
  <si>
    <t>Geosci. J.</t>
  </si>
  <si>
    <t>10.1007/s12303-014-0011-0</t>
  </si>
  <si>
    <t>AT9YQ</t>
  </si>
  <si>
    <t>WOS:000345280300012</t>
  </si>
  <si>
    <t>Ikeda, T</t>
  </si>
  <si>
    <t>Ikeda, Tsutomu</t>
  </si>
  <si>
    <t>Respiration and ammonia excretion by marine metazooplankton taxa: synthesis toward a global-bathymetric model</t>
  </si>
  <si>
    <t>ANTARCTIC MICRONEKTONIC CRUSTACEA; CHEMICAL-COMPOSITION; METABOLIC-RATES; BODY-MASS; ELEMENTAL COMPOSITION; OXYGEN-CONSUMPTION; DEEP-SEA; GELATINOUS ZOOPLANKTON; BATHYPELAGIC COPEPODS; PHOSPHATE EXCRETION</t>
  </si>
  <si>
    <t>For thirteen representative taxa of metazooplankton from various depth horizons (&lt;4,200 m) of the world's oceans, respiration rate (681 datasets on 390 species) and ammonia excretion rate (266 datasets on 190 species) are compiled and analyzed as a function of body mass (dry mass, carbon or nitrogen), habitat temperature, habitat depth and taxon. Stepwise-regression analyses reveal that body mass is the most important parameter, followed by habitat temperature and habitat depth, whereas taxon is of lesser importance for both rates. The resultant multiple regression equations show that both respiration rate and ammonia excretion rate (per individual) increase with increase in body mass and habitat temperature, but decrease with habitat depth. Some taxa are characterized by significantly higher or lower rates of respiration or ammonia excretion than the others. Overall, the global-bathymetric models explain 93.4-94.2 % of the variance of respiration data and 80.8-89.7 % of the variance of ammonia excretion data. The atomic O:N ratios (respiration/ammonia excretion) are largely independent of body mass, habitat temperature, habitat depth and taxon, with a median of 17.8. The present results are discussed in light of the methodological constraints and the standing hypotheses for the relationship between metabolic rate and temperature. Perspectives for model improvement and possible application of it to plankton-imaging systems for rapid assessment of the role of metazooplankton in C or N cycles in the pelagic ecosystem are briefly discussed.</t>
  </si>
  <si>
    <t>ikeda.tutomu@sepia.plala.or.jp</t>
  </si>
  <si>
    <t>10.1007/s00227-014-2540-5</t>
  </si>
  <si>
    <t>AT6LS</t>
  </si>
  <si>
    <t>WOS:000345050800004</t>
  </si>
  <si>
    <t>Mendo, T; Moltschaniwskyj, N; Lyle, JM; Tracey, SR; Semmens, JM</t>
  </si>
  <si>
    <t>Mendo, T.; Moltschaniwskyj, N.; Lyle, J. M.; Tracey, S. R.; Semmens, J. M.</t>
  </si>
  <si>
    <t>Role of density in aggregation patterns and synchronization of spawning in the hermaphroditic scallop Pecten fumatus</t>
  </si>
  <si>
    <t>ABALONE HALIOTIS-LAEVIGATA; PORT-PHILLIP-BAY; PLACOPECTEN-MAGELLANICUS; FERTILIZATION SUCCESS; SELF-FERTILIZATION; CHLAMYS-ISLANDICA; SPERM LIMITATION; GIANT SCALLOP; ALBA TATE; REPRODUCTION</t>
  </si>
  <si>
    <t>In broadcast spawners, low densities and poor spawning synchronization can reduce fertilization success. In wild populations, individuals in close proximity tend to spawn more synchronously than those further apart, suggesting that low spawner densities may reduce gamete production by lessening the efficacy of pheromone signalling. This study assessed the role of adult density in aggregation patterns and spawning synchronization in a semi-sessile, hermaphroditic scallop, Pecten fumatus. The study was carried out in Great Bay, Tasmania, Australia (147.335 W, 43.220 S) in 2010-2012 by assessing (1) the relationship between density, small-scale aggregation patterns and nearest neighbour distance (NND), (2) the temporal pattern of spawning synchronization, and (3) the effect of site density and conspecific proximity on the probability of spawning. Densities observed in the field ranged from 1.455 to 0.021 ind m(-2). Sites with lower densities had less small-scale aggregation and greater NNDs. Patterns of small-scale aggregation and NNDs in P. fumatus were comparable to those observed in a gonochoristic species. Spawning synchronization was highly variable, ranging between 3.5 and 59.8 % of individuals spawning. P. fumatus was more likely to engage in spawning activity when at greater densities and at closer proximity to conspecifics. This strongly suggests that lower densities in this scallop reduce not only the number of individuals contributing to the production of gametes, but also reduces the synchronization of spawning.</t>
  </si>
  <si>
    <t>[Mendo, T.; Lyle, J. M.; Tracey, S. R.; Semmens, J. M.] Univ Tasmania, Inst Marine &amp; Antarctic Studies, Hobart, Tas 7001, Australia; [Moltschaniwskyj, N.] Univ Newcastle, Sch Environm &amp; Life Sci, Ourimbah, NSW 2260, Australia</t>
  </si>
  <si>
    <t>University of Tasmania; University of Newcastle</t>
  </si>
  <si>
    <t>Mendo, T (corresponding author), Univ Tasmania, Inst Marine &amp; Antarctic Studies, Private Bag 49, Hobart, Tas 7001, Australia.</t>
  </si>
  <si>
    <t>taniamendow@yahoo.com</t>
  </si>
  <si>
    <t>Mendo, Tania/AAH-7734-2020; Moltschaniwskyj, Natalie/AAB-7236-2019; Tracey, Sean/J-7446-2014; Lyle, Jeremy/J-7170-2014</t>
  </si>
  <si>
    <t>Mendo, Tania/0000-0003-4397-2064; Tracey, Sean/0000-0002-6735-5899; Semmens, Jayson/0000-0003-1742-6692; Lyle, Jeremy/0000-0001-9670-5854; Moltschaniwskyj, Natalie/0000-0001-9709-9876</t>
  </si>
  <si>
    <t>Australian Government's Fisheries Research Development Corporation [2008/022]; Tasmanian Department of Primary Industries, Parks, Water and Environment, Fishwise Community Grant</t>
  </si>
  <si>
    <t>Australian Government's Fisheries Research Development Corporation(Fisheries R&amp;D Corp); Tasmanian Department of Primary Industries, Parks, Water and Environment, Fishwise Community Grant</t>
  </si>
  <si>
    <t>We gratefully acknowledge the assistance in the field provided by Julian Harrington, Jaime McAllister, Sarah Pyke, Luisa Forbes, Dane Jones, Mike Porteus and Simon Talbot. We are also thankful to Alina Bermejo, Daniela Farias and Mana Inoue for their help with histology and Nick Jones for comments and valuable suggestions on early drafts of the manuscript. We would like to thank Prof. Kevin Stokesbury, Prof. Judy Grassle and an anonymous reviewer for their valuable comments and suggestions to improve the manuscript. Funding was provided to JMS by the Australian Government's Fisheries Research Development Corporation (Project No. 2008/022) and to JMS and TM by the Tasmanian Department of Primary Industries, Parks, Water and Environment, Fishwise Community Grant.</t>
  </si>
  <si>
    <t>10.1007/s00227-014-2551-2</t>
  </si>
  <si>
    <t>WOS:000345050800012</t>
  </si>
  <si>
    <t>Ji, Q; Pang, XP; Zhao, X</t>
  </si>
  <si>
    <t>Ji, Qing; Pang, Xiaoping; Zhao, Xi</t>
  </si>
  <si>
    <t>A bibliometric analysis of research on Antarctica during 1993-2012</t>
  </si>
  <si>
    <t>SCIENTOMETRICS</t>
  </si>
  <si>
    <t>Research trends; Quantitative analysis; Scientific outputs; Collaboration network; Keywords analysis</t>
  </si>
  <si>
    <t>8 GLACIAL CYCLES; CITATION ANALYSIS; RESEARCH TRENDS; ICE CORE; SEA-ICE; SCIENCE; PRODUCTIVITY; TEMPERATURE; PERFORMANCE; HISTORY</t>
  </si>
  <si>
    <t>A bibliometric analysis was applied in this work to evaluate Antarctic research from 1993 to 2012 based on the Science Citation Index database. According to samples of 30,024 articles related to Antarctica, this study reveals the evolution of the scientific outputs on Antarctic research from the aspects of subject categories, major journals, international collaboration, and temporal trends in keywords focus. Antarctic research has developed rapidly in the past two decades, with an increasing amount of article output, references and citations. Geosciences multidisciplinary, oceanography, ecology, meteorology and atmospheric sciences and geography physical were the most popular subject categories. Among the 20 major journals related to Antarctic research, Polar Biology, Geophysical Research Letters and Journal of Geophysical Research-Atmospheres ranked as the top three. With the largest quantity of articles and high citations, USA was the leading contributor to global Antarctic research and had a dominant position in collaborative networks. In addition, a keywords analysis determined that climate change, sea ice and krill were the topics that generated the most interest and concern. Because this paper reveals underlying patterns in scientific outputs, research subjects and academic collaboration, it may serve as a summary of global research history on Antarctica and a potential basis for future research.</t>
  </si>
  <si>
    <t>[Ji, Qing; Pang, Xiaoping; Zhao, Xi] Wuhan Univ, Chinese Antarctic Ctr Surveying &amp; Mapping, Wuhan, Hubei Province, Peoples R China</t>
  </si>
  <si>
    <t>Wuhan University</t>
  </si>
  <si>
    <t>Zhao, X (corresponding author), Wuhan Univ, Chinese Antarctic Ctr Surveying &amp; Mapping, 129 Luoyu Rd, Wuhan, Hubei Province, Peoples R China.</t>
  </si>
  <si>
    <t>xi.zhao@whu.edu.cn</t>
  </si>
  <si>
    <t>zhao, xi/HJY-6017-2023</t>
  </si>
  <si>
    <t>Zhao, Xi/0000-0003-2274-891X</t>
  </si>
  <si>
    <t>National Natural Science Foundation of China [41301463]; Specialized Research Fund for the Doctoral Program of Higher Education [20130141120009]; Fund of Key Laboratory of Global Change and Marine-Atmospheric Chemistry, SOA [GCMAC1305]</t>
  </si>
  <si>
    <t>National Natural Science Foundation of China(National Natural Science Foundation of China (NSFC)); Specialized Research Fund for the Doctoral Program of Higher Education(Specialized Research Fund for the Doctoral Program of Higher Education (SRFDP)); Fund of Key Laboratory of Global Change and Marine-Atmospheric Chemistry, SOA</t>
  </si>
  <si>
    <t>This work was partially supported by the National Natural Science Foundation of China (No: 41301463), Specialized Research Fund for the Doctoral Program of Higher Education (No: 20130141120009) and the Fund of Key Laboratory of Global Change and Marine-Atmospheric Chemistry, SOA, (GCMAC1305). The authors are thankful to Prof. Liqi Chen (Chinese Arctic and Antarctic Administration), Prof. Zeming Wang (Chinese Antarctic Center of Surveying and Mapping, Wuhan University, China) and Mr. Bolin Fu (Graduate University of the Chinese Academy of Sciences, China) for their assistance and discussions. Comments from the anonymous referees and the editor are also gratefully appreciated.</t>
  </si>
  <si>
    <t>0138-9130</t>
  </si>
  <si>
    <t>1588-2861</t>
  </si>
  <si>
    <t>Scientometrics</t>
  </si>
  <si>
    <t>10.1007/s11192-014-1332-5</t>
  </si>
  <si>
    <t>Computer Science, Interdisciplinary Applications; Information Science &amp; Library Science</t>
  </si>
  <si>
    <t>Computer Science; Information Science &amp; Library Science</t>
  </si>
  <si>
    <t>AT7RW</t>
  </si>
  <si>
    <t>WOS:000345136000018</t>
  </si>
  <si>
    <t>Denton, GH</t>
  </si>
  <si>
    <t>Denton, George H.</t>
  </si>
  <si>
    <t>Professor David E. Sugden - an appreciation</t>
  </si>
  <si>
    <t>ANTARCTIC SCIENCE</t>
  </si>
  <si>
    <t>Biographical-Item</t>
  </si>
  <si>
    <t>Univ Maine, Sch Earth &amp; Climate Sci, Orono, ME 04469 USA</t>
  </si>
  <si>
    <t>University of Maine System; University of Maine Orono</t>
  </si>
  <si>
    <t>Denton, GH (corresponding author), Univ Maine, Sch Earth &amp; Climate Sci, Orono, ME 04469 USA.</t>
  </si>
  <si>
    <t>gdenton@maine.edu</t>
  </si>
  <si>
    <t>0954-1020</t>
  </si>
  <si>
    <t>1365-2079</t>
  </si>
  <si>
    <t>ANTARCT SCI</t>
  </si>
  <si>
    <t>Antarct. Sci.</t>
  </si>
  <si>
    <t>10.1017/S0954102014000388</t>
  </si>
  <si>
    <t>Environmental Sciences; Geography, Physical; Geosciences, Multidisciplinary</t>
  </si>
  <si>
    <t>Environmental Sciences &amp; Ecology; Physical Geography; Geology</t>
  </si>
  <si>
    <t>AT2BO</t>
  </si>
  <si>
    <t>WOS:000344736100002</t>
  </si>
  <si>
    <t>Fukuda, T; Sugiyama, S; Sawagaki, T; Nakamura, K</t>
  </si>
  <si>
    <t>Fukuda, Takehiro; Sugiyama, Shin; Sawagaki, Takanobu; Nakamura, Kazuki</t>
  </si>
  <si>
    <t>Recent variations in the terminus position, ice velocity and surface elevation of Langhovde Glacier, East Antarctica</t>
  </si>
  <si>
    <t>calving; ice shelf; outlet glacier; satellite image; sea ice</t>
  </si>
  <si>
    <t>PINE ISLAND GLACIER; WEST ANTARCTICA; SOYA COAST; SHEET; STABILITY; PENINSULA; TERRAIN; RETREAT; DRIVEN; IMAGES</t>
  </si>
  <si>
    <t>To improve the understanding of the mechanism driving recent changes in outlet glaciers in East Antarctica, we measured changes in the terminus position, ice flow velocity and surface elevation of the Langhovde Glacier located on the Soya Coast. From satellite images from 2000-12 and field measurements taken in 2012 the glacier terminus position and flow velocity showed little change between 2003 and 2007. After this quiescent period, the glacier progressively advanced by 380m and the flow velocity increased near the calving front by 10m a(-1) from 2007-10. No significant change was observed in surface elevation during the study period. The changes in the terminus position and flow velocity imply a reduction in the calving rate from 93m a(-1) (2003-07) to 16m a(-1) (2007-10). This suggests that calving was inhibited by stable sea ice conditions in the ocean. Theses results indicate that the Langhovde Glacier was in a relatively stable condition during the study period, and its terminus position was controlled by the rate of calving under the influence of sea ice conditions.</t>
  </si>
  <si>
    <t>[Fukuda, Takehiro; Sugiyama, Shin] Hokkaido Univ, Inst Low Temp Sci, Sapporo, Hokkaido 0600819, Japan; [Fukuda, Takehiro] Hokkaido Univ, Grad Sch Environm Sci, Sapporo, Hokkaido 0600810, Japan; [Sawagaki, Takanobu] Hokkaido Univ, Fac Environm Earth Sci, Sapporo, Hokkaido 0600810, Japan; [Nakamura, Kazuki] Nihon Univ, Coll Engn, Koriyama, Fukushima 9631165, Japan</t>
  </si>
  <si>
    <t>Hokkaido University; Hokkaido University; Hokkaido University; Nihon University</t>
  </si>
  <si>
    <t>Sugiyama, S (corresponding author), Hokkaido Univ, Inst Low Temp Sci, Sapporo, Hokkaido 0600819, Japan.</t>
  </si>
  <si>
    <t>sugishin@lowtem.hokudai.ac.jp</t>
  </si>
  <si>
    <t>Sawagaki, Takanobu/C-7632-2012; Sugiyama, Shin/C-2511-2012</t>
  </si>
  <si>
    <t>National Institute of Polar Research; JSPS KAKENHI [23651002 (2011-14)]; Grants-in-Aid for Scientific Research [26550001, 23403006] Funding Source: KAKEN</t>
  </si>
  <si>
    <t>National Institute of Polar Research(National Institute of Polar Research (NIPR) - Japan);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</si>
  <si>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research was carried out as a part of the JARE53 programme. We thank the members of JARE53 and 52 for their help in the field. The field activity was financially supported by the National Institute of Polar Research, and the research project was funded by JSPS KAKENHI Grant Number 23651002 (2011-14). We used ASTER data beta processed by AIST GEO Grid, using ASTER data owned by METI and NASA. We thank D. White and C. Stokes for providing insightful comments, and the Scientific Editor R. Bingham for handling the paper.</t>
  </si>
  <si>
    <t>10.1017/S0954102014000364</t>
  </si>
  <si>
    <t>WOS:000344736100006</t>
  </si>
  <si>
    <t>Glasser, NF; Holt, T; Fleming, E; Stevenson, C</t>
  </si>
  <si>
    <t>Glasser, Neil F.; Holt, Tom; Fleming, Ed; Stevenson, Carl</t>
  </si>
  <si>
    <t>Ice shelf history determined from deformation styles in surface debris</t>
  </si>
  <si>
    <t>Antarctica; geomorphology; glaciology; Quaternary</t>
  </si>
  <si>
    <t>ANTARCTIC SEA-ICE; MCMURDO SOUND; PENINSULA; RETREAT; WATER; THICKNESS; SEDIMENT; COLLAPSE; BENEATH; ISLAND</t>
  </si>
  <si>
    <t>This paper presents InSAR-derived ice shelf velocities and observations of surface debris deformation on the McMurdo Ice Shelf (MIS). Ice shelf velocities show that the MIS has a low surface velocity, with debris-laden parts of the ice shelf in the area known as the 'swirls' averaging speeds of c. 3 m a(-1) increasing to c. 16 m a(-1) at the ice front. Analysis of the fold patterns within moraine ridges on the ice surface reveals a deformational history inconsistent with the present velocity measurements. Polyphase, isoclinal folding within moraine ridges at the surface are interpreted to have formed through intense deformation by past ice flow in a NNW orientation. The velocities and styles of deformation indicate that the majority of debris on the ice shelf was originally transported into the area by a large and dynamic ice sheet/ice shelf system entirely different to that of the present configuration. Although the age of this event is unknown, it is possible that this debris has been exposed on the surface of the ice shelf since the last glacial maximum.</t>
  </si>
  <si>
    <t>[Glasser, Neil F.; Holt, Tom] Aberystwyth Univ, Ctr Glaciol, Dept Geog &amp; Earth Sci, Aberystwyth SY23 3DB, Dyfed, Wales; [Fleming, Ed; Stevenson, Carl] Univ Birmingham, Sch Geog Earth &amp; Environm Sci, Birmingham B15 2TT, W Midlands, England</t>
  </si>
  <si>
    <t>Aberystwyth University; University of Birmingham</t>
  </si>
  <si>
    <t>Glasser, NF (corresponding author), Aberystwyth Univ, Ctr Glaciol, Dept Geog &amp; Earth Sci, Aberystwyth SY23 3DB, Dyfed, Wales.</t>
  </si>
  <si>
    <t>Stevenson, Carl T/I-2462-2013</t>
  </si>
  <si>
    <t>Glasser, Neil/0000-0002-8245-2670; Holt, Tom/0000-0001-8361-0688; Fleming, Edward/0000-0003-2581-322X</t>
  </si>
  <si>
    <t>10.1017/S0954102014000376</t>
  </si>
  <si>
    <t>WOS:000344736100008</t>
  </si>
  <si>
    <t>Fogwill, CJ; Turney, CSM; Golledge, NR; Rood, DH; Hippe, K; Wacker, L; Wieler, R; Rainsley, EB; Jones, RS</t>
  </si>
  <si>
    <t>Fogwill, C. J.; Turney, C. S. M.; Golledge, N. R.; Rood, D. H.; Hippe, K.; Wacker, L.; Wieler, R.; Rainsley, E. B.; Jones, R. S.</t>
  </si>
  <si>
    <t>Drivers of abrupt Holocene shifts in West Antarctic ice stream direction determined from combined ice sheet modelling and geologic signatures</t>
  </si>
  <si>
    <t>cosmogenic isotopes; ice stream dynamics; in situ C-14; marine ice sheet instability; Weddell Sea; West Antarctic Ice Sheet</t>
  </si>
  <si>
    <t>WEDDELL SEA EMBAYMENT; SITU COSMOGENIC C-14; IN-SITU; DEGLACIAL HISTORY; GROUNDING-LINE; HALF-LIFE; BE-10; FLOW; CONSTRAINTS; RETREAT</t>
  </si>
  <si>
    <t>Determining the millennial-scale behaviour of marine-based sectors of the West Antarctic Ice Sheet (WAIS) is critical to improve predictions of the future contribution of Antarctica to sea level rise. Here high-resolution ice sheet modelling was combined with new terrestrial geological constraints (in situ C-14 and Be-10 analysis) to reconstruct the evolution of two major ice streams entering the Weddell Sea over 20 000 years. The results demonstrate how marked differences in ice flux at the marine margin of the expanded Antarctic ice sheet led to a major reorganization of ice streams in the Weddell Sea during the last deglaciation, resulting in the eastward migration of the Institute Ice Stream, triggering a significant regional change in ice sheet mass balance during the early to mid Holocene. The findings highlight how spatial variability in ice flow can cause marked changes in the pattern, flux and flow direction of ice streams on millennial timescales in this marine ice sheet setting. Given that this sector of the WAIS is assumed to be sensitive to ocean-forced instability and may be influenced by predicted twenty-first century ocean warming, our ability to model and predict abrupt and extensive ice stream diversions is key to a realistic assessment of future ice sheet sensitivity.</t>
  </si>
  <si>
    <t>[Fogwill, C. J.; Turney, C. S. M.] Univ New S Wales, Climate Change Res Ctr, Sydney, NSW 2052, Australia; [Golledge, N. R.; Jones, R. S.] Victoria Univ Wellington, Antarctic Res Ctr, Wellington 6140, New Zealand; [Golledge, N. R.] GNS Sci, Lower Hutt 5011, New Zealand; [Rood, D. H.] Scottish Univ Environm Res Ctr, E Kilbride G75 0QF, Lanark, Scotland; [Hippe, K.; Wieler, R.] ETH, Inst Geochem &amp; Petrol, CH-8092 Zurich, Switzerland; [Hippe, K.; Wacker, L.] ETH, Inst Particle Phys, CH-8093 Zurich, Switzerland</t>
  </si>
  <si>
    <t>University of New South Wales Sydney; Victoria University Wellington; GNS Science - New Zealand; Scottish Universities Research &amp; Reactor Center; Swiss Federal Institutes of Technology Domain; ETH Zurich; Swiss Federal Institutes of Technology Domain; ETH Zurich</t>
  </si>
  <si>
    <t>Fogwill, CJ (corresponding author), Univ New S Wales, Climate Change Res Ctr, Sydney, NSW 2052, Australia.</t>
  </si>
  <si>
    <t>c.fogwill@unsw.edu.au</t>
  </si>
  <si>
    <t>Jones, Richard Selwyn/AAJ-3949-2021; Fogwill, Christopher/HPF-1150-2023; Fogwill, Chris/AAW-3502-2021; Turney, Chris/P-8701-2018</t>
  </si>
  <si>
    <t>Jones, Richard Selwyn/0000-0003-2988-0999; Fogwill, Chris/0000-0002-6471-1106; Golledge, Nicholas/0000-0001-7676-8970; Turney, Chris/0000-0001-6733-0993</t>
  </si>
  <si>
    <t>Australian Research Council [FL100100195, FT1201000004, LP120200724]; UK National Environmental Research Council [AFI 05/03]; Antarctic Logistics and Expeditions; British Antarctic Survey; Victoria University of Wellington; GNS Science; Australian Research Council [LP120200724] Funding Source: Australian Research Council</t>
  </si>
  <si>
    <t>Australian Research Council(Australian Research Council); UK National Environmental Research Council; Antarctic Logistics and Expeditions; British Antarctic Survey; Victoria University of Wellington; GNS Science; Australian Research Council(Australian Research Council)</t>
  </si>
  <si>
    <t>This research was supported by the Australian Research Council (FL100100195, FT1201000004 and LP120200724), and UK National Environmental Research Council (AFI 05/03). Fieldwork was supported by Antarctic Logistics and Expeditions and the British Antarctic Survey. NRG gratefully acknowledges support from Victoria University of Wellington and GNS Science. CJF wishes to thank Dr Neil Ross for helpful discussions, Prof David Sugden for instigating this work, and Dr Claus-Dieter Hillenbrand and two anonymous reviewers for their helpful comments.</t>
  </si>
  <si>
    <t>10.1017/S0954102014000613</t>
  </si>
  <si>
    <t>Green Accepted, Green Published, hybrid</t>
  </si>
  <si>
    <t>WOS:000344736100009</t>
  </si>
  <si>
    <t>Licht, KJ; Hennessy, AJ; Welke, BM</t>
  </si>
  <si>
    <t>Licht, Kathy J.; Hennessy, Andrea J.; Welke, Bethany M.</t>
  </si>
  <si>
    <t>The U-Pb detrital zircon signature of West Antarctic ice stream tills in the Ross embayment, with implications for Last Glacial Maximum ice flow reconstructions</t>
  </si>
  <si>
    <t>provenance; Siple Coast; WAIS; Whillans Ice Stream</t>
  </si>
  <si>
    <t>MARIE BYRD LAND; BYRD,MARIE LAND; NEW-ZEALAND; SHEET; SEA; MARGIN; GEOCHRONOLOGY; PROVENANCE; MOUNTAINS; SEDIMENTS</t>
  </si>
  <si>
    <t>Glacial till samples collected from beneath the Bindschadler and Kamb ice streams have a distinct U-Pb detrital zircon signature that allows them to be identified in Ross Sea tills. These two sites contain a population of Cretaceous grains 100-110 Ma that have not been found in East Antarctic tills. Additionally, Bindschadler and Kamb ice streams have an abundance of Ordovician grains (450-475 Ma) and a cluster of ages 330-370 Ma, which are much less common in the remainder of the sample set. These tracers of a West Antarctic provenance are also found east of 180 degrees longitude in eastern Ross Sea tills deposited during the last glacial maximum (LGM). Whillans Ice Stream (WIS), considered part of the West Antarctic Ice Sheet but partially originating in East Antarctica, lacks these distinctive signatures. Its U-Pb zircon age population is dominated by grains 500-550 Ma indicating derivation from Granite Harbour Intrusive rocks common along the Transantarctic Mountains, making it indistinguishable from East Antarctic tills. The U-Pb zircon age distribution found in WIS till is most similar to tills from the west-central Ross Sea. These data provide new specific targets for ice sheet models and can be applied to pre-LGM deposits in the Ross Sea.</t>
  </si>
  <si>
    <t>[Licht, Kathy J.; Hennessy, Andrea J.; Welke, Bethany M.] Indiana Univ Purdue Univ, Dept Earth Sci, Indianapolis, IN 46202 USA</t>
  </si>
  <si>
    <t>Indiana University System; Indiana University-Purdue University Indianapolis</t>
  </si>
  <si>
    <t>Licht, KJ (corresponding author), Indiana Univ Purdue Univ, Dept Earth Sci, 723 West Michigan St, Indianapolis, IN 46202 USA.</t>
  </si>
  <si>
    <t>klicht@iupui.edu</t>
  </si>
  <si>
    <t>Licht, Kathy/0000-0002-2233-2853</t>
  </si>
  <si>
    <t>NSF-OPP [0440885, 0944578, 1043572]; IUPUI's RSFG; [NSF-EAR 1032156]; Division Of Earth Sciences; Directorate For Geosciences [1338583] Funding Source: National Science Foundation; Office of Polar Programs (OPP); Directorate For Geosciences [0944578] Funding Source: National Science Foundation; Office of Polar Programs (OPP); Directorate For Geosciences [0440885, 1043572] Funding Source: National Science Foundation</t>
  </si>
  <si>
    <t>NSF-OPP(National Science Foundation (NSF)); IUPUI's RSFG; ; Division Of Earth Sciences;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</si>
  <si>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The work was supported by grants to Licht by NSF-OPP (0440885, 0944578, 1043572), to the University of Arizona LaserChron Center (NSF-EAR 1032156), and by IUPUI's RSFG. The following assisted with sample collection or provided material from independent sample collections: H. Engelhardt, N. Bader, A. Barth, P. Braddock, D. Brecke, J. Goodge, E. Hiatt, K. Kramer, E. Palmer, and pilots of Ken Borek Air, Ltd. We appreciate the field support provided by US Antarctic Program and Raytheon Polar Services. Helpful comments and suggestions were provided by M. Flowerdew and two anonymous reviewers.</t>
  </si>
  <si>
    <t>10.1017/S0954102014000315</t>
  </si>
  <si>
    <t>WOS:000344736100010</t>
  </si>
  <si>
    <t>Golledge, NR</t>
  </si>
  <si>
    <t>Golledge, Nicholas R.</t>
  </si>
  <si>
    <t>Selective erosion beneath the Antarctic Peninsula Ice Sheet during LGM retreat</t>
  </si>
  <si>
    <t>Antarctica; glacial geology; glaciology; ice sheet modelling</t>
  </si>
  <si>
    <t>LANDSCAPE EVOLUTION; ALEXANDER ISLAND; GLACIAL EROSION; FLOW DYNAMICS; STREAM; HISTORY; BED; PRESERVATION; STABILITY; CLIMATE</t>
  </si>
  <si>
    <t>In mountainous terrain, the relationship between ice sheet dynamics and basal topography is complex, with each component influencing the other. This paper investigates how the last glacial maximum Antarctic Peninsula Ice Sheet might have modified its bed both at maximum extent and during progressive grounding line retreat. Focussing on the Marguerite Trough Ice Stream we then examine the degree to which basal topographical conditions affected the rate of ocean-forced recession. Zones of peak subglacial erosion are preferentially located in areas of convergent flow and where horizontal strain rates are highest. During ice sheet retreat, potential erosion rates increase in these areas, but the foci remain fixed. This leads to selective and progressive deepening of subglacial basins. As grounding lines migrate landward, faster retreat tends to occur over subglacial basins, especially if flow is divergent, whereas slower retreat takes place on sloping beds and where the geometry of the outlet allows convergent flow and a non-negative flux balance. In conclusion the Antarctic Peninsula Ice Sheet selectively erodes its bed beneath linear outlets and, over successive glacial cycles, progressive deepening of subglacial basins may bring about non-linear retreat of the ice sheet margin.</t>
  </si>
  <si>
    <t>[Golledge, Nicholas R.] Victoria Univ Wellington, Antarctic Res Ctr, Wellington 6140, New Zealand; [Golledge, Nicholas R.] GNS Sci, Lower Hutt 5040, New Zealand</t>
  </si>
  <si>
    <t>Victoria University Wellington; GNS Science - New Zealand</t>
  </si>
  <si>
    <t>Golledge, NR (corresponding author), Victoria Univ Wellington, Antarctic Res Ctr, POB 600, Wellington 6140, New Zealand.</t>
  </si>
  <si>
    <t>nick.golledge@vuw.ac.nz</t>
  </si>
  <si>
    <t>Golledge, Nicholas/0000-0001-7676-8970</t>
  </si>
  <si>
    <t>Royal Society of New Zealand; VUW Foundation grant ARCCIM; GNS Science</t>
  </si>
  <si>
    <t>Royal Society of New Zealand(Royal Society of New Zealand); VUW Foundation grant ARCCIM; GNS Science</t>
  </si>
  <si>
    <t>NRG gratefully acknowledges the helpful suggestions of Bethan Davies, an anonymous reviewer and the Editor, as well as financial support from the Royal Society of New Zealand, VUW Foundation grant ARCCIM and GNS Science.</t>
  </si>
  <si>
    <t>10.1017/S0954102014000340</t>
  </si>
  <si>
    <t>WOS:000344736100011</t>
  </si>
  <si>
    <t>Balco, G; Stone, JOH; Sliwinski, MG; Todd, C</t>
  </si>
  <si>
    <t>Balco, Greg; Stone, John O. H.; Sliwinski, Maciej G.; Todd, Claire</t>
  </si>
  <si>
    <t>Features of the glacial history of the Transantarctic Mountains inferred from cosmogenic 26Al, 10Be and 21Ne concentrations in bedrock surfaces</t>
  </si>
  <si>
    <t>aluminium-26; Antarctic; beryllium-10; cosmogenic nuclide geochemistry; neon-21</t>
  </si>
  <si>
    <t>EROSION; ANTARCTICA; RADIONUCLIDES; INSITU; RANGE; RATES; MUONS; LAND; AREA</t>
  </si>
  <si>
    <t>This paper describes measurements of concentrations of cosmogenic Al-26, Be-10 and Ne-21 in quartz from bedrock surfaces in the Transantarctic Mountains where stratigraphic and geomorphic evidence shows that the surfaces were covered by ice in the past, but were not glacially eroded during periods of ice cover. It then explores to what extent this information can be used to learn about past ice sheet change. First, cosmogenic nuclide concentrations in sandstone bedrock surfaces at two sites in the McMurdo Dry Valleys near 77 degrees S are consistent with an equilibrium between nuclide production and loss by surface erosion and radioactive decay. They are most easily explained by a scenario in which: i) sites more than c. 100m above the present ice surface were almost never ice-covered and eroded steadily at 0.5-1.5m Ma(-1), and ii) sites near the present ice margin experienced similar erosion rates when ice-free, but have been covered by cold-based, non-erosive glacier ice as much as half of the time during the past several million years. Nuclide concentrations in granite bedrock at a site in the Quartz Hills near 85 degrees S, on the other hand, have not reached production-erosion equilibrium, thus retaining evidence of the time they were first exposed to the cosmic ray flux. Nuclide concentrations at these sites are most easily explained by 4-6 Ma exposure, extremely low erosion rates of 5-10 cm Ma(-1) during periods of exposure, and only very short periods of cold-based, non-erosive ice cover.</t>
  </si>
  <si>
    <t>[Balco, Greg] Berkeley Geochronol Ctr, Berkeley, CA 94709 USA; [Stone, John O. H.; Sliwinski, Maciej G.] Univ Washington, Seattle, WA 98195 USA; [Sliwinski, Maciej G.] Univ Wisconsin, Madison, WI 53706 USA; [Todd, Claire] Pacific Lutheran Univ, Tacoma, WA 98447 USA</t>
  </si>
  <si>
    <t>Berkeley Geochronolgy Center; University of Washington; University of Washington Seattle; University of Wisconsin System; University of Wisconsin Madison; Pacific Lutheran University</t>
  </si>
  <si>
    <t>Balco, G (corresponding author), Berkeley Geochronol Ctr, 2455 Ridge Rd, Berkeley, CA 94709 USA.</t>
  </si>
  <si>
    <t>balcs@bgc.org</t>
  </si>
  <si>
    <t>National Science Foundation [OPP-0838958, OPP-0443535, OPP-0229314, OPP-0636818]; Ann and Gordon Getty Foundation</t>
  </si>
  <si>
    <t>National Science Foundation(National Science Foundation (NSF)); Ann and Gordon Getty Foundation</t>
  </si>
  <si>
    <t>This work was supported by the National Science Foundation under grants OPP-0838958 (Balco), OPP-0443535 (Balco), OPP-0229314 (Stone), OPP-0636818 (Stone), and by the Ann and Gordon Getty Foundation. Jaakko Putkonen and Dan Morgan assisted with fieldwork and sample collection in the Dry Valleys. Brenda Hall, Gordon Bromley and Howard Conway assisted with fieldwork and mapping at Reedy Glacier. David Shuster and Tim Becker assisted with the 21Ne measurements. Bob Finkel and Dylan Rood assisted with AMS measurements at LLNL-CAMS. Two anonymous reviewers were extremely helpful in improving some aspects of the text.</t>
  </si>
  <si>
    <t>10.1017/S0954102014000261</t>
  </si>
  <si>
    <t>WOS:000344736100012</t>
  </si>
  <si>
    <t>Vargas-Chacoff, L; Ortíz, E; Oyarzún, R; Martínez, D; Saavedra, E; Sá, R; Olavarría, V; Nualart, D; Yáñez, A; Bertrán, C; Mancera, J</t>
  </si>
  <si>
    <t>Vargas-Chacoff, L.; Ortiz, E.; Oyarzun, R.; Martinez, D.; Saavedra, E.; Sa, R.; Olavarria, V.; Nualart, D.; Yanez, A.; Bertran, C.; Mancera, J. M.</t>
  </si>
  <si>
    <t>Stocking density and Piscirickettsia salmonis infection effect on Patagonian blennie (Eleginops maclovinus, Cuvier 1830) skeletal muscle intermediate metabolism</t>
  </si>
  <si>
    <t>FISH PHYSIOLOGY AND BIOCHEMISTRY</t>
  </si>
  <si>
    <t>E. maclovinus; Metabolism; P. salmonis; Skeletal muscle; Stress</t>
  </si>
  <si>
    <t>BREAM SPARUS-AURATUS; BASS DICENTRARCHUS-LABRAX; SMELT OSMERUS-MORDAX; RAINBOW-TROUT; CARBOHYDRATE-METABOLISM; OREOCHROMIS-MOSSAMBICUS; ONCORHYNCHUS-KISUTCH; ENERGY-METABOLISM; STRESS RESPONSES; CORTISOL</t>
  </si>
  <si>
    <t>The need to expand aquaculture production has led to other fish to be considered as potential species for culture, such as the sub-Antarctic notothenioid Eleginops maclovinus (Valenciennes, 1830). The aim of this study was to determine the cumulative effect of density and pathogen infection by protein extract of Piscirickettsia salmonis on skeletal muscle metabolism. In a first experiment, specimens were submitted to three different stocking densities: (1) 3.1 kg m(-3), (2) 15 kg m(-3) and (3) 60 kg m(-3), for a period of 10 days. In a second experiment, metabolic changes caused by an infection of P. salmonis protein extract (a single injection of 0.5 mu L P. salmonis protein extract g body weight(-1) was inoculated in the fish) and its combined effect with stocking density was assessed during a period of 10 days. This study concludes that stress caused by high stocking density led to the reorganization of some metabolic routes to fulfill skeletal muscle energy needs. Furthermore, infection response by pathogen P. salmonis differed when stocking density increased, suggesting an increase of energy needs with density in skeletal muscle of infected fish.</t>
  </si>
  <si>
    <t>[Vargas-Chacoff, L.; Ortiz, E.; Oyarzun, R.; Martinez, D.; Saavedra, E.; Bertran, C.] Univ Austral Chile, Inst Ciencias Marinas &amp; Limnol, Valdivia, Chile; [Sa, R.] Pontificia Univ Catolica Chile, Fac Agron &amp; Ingn Forestal, Dept Ciencias Anim, Macul 4860, Santiago De Chi, Chile; [Olavarria, V.; Nualart, D.; Yanez, A.] Univ Austral Chile, Inst Bioquim &amp; Microbiol, Interdisciplinary Ctr Aquaculture Res FONDAP INCA, Valdivia, Chile; [Mancera, J. M.] Univ Cadiz, Fac Ciencias Mar &amp; Ambientales, Dept Biol, Cadiz 11510, Spain</t>
  </si>
  <si>
    <t>Universidad Austral de Chile; Pontificia Universidad Catolica de Chile; Universidad Austral de Chile; Universidad de Cadiz</t>
  </si>
  <si>
    <t>Vargas-Chacoff, L (corresponding author), Univ Austral Chile, Inst Ciencias Marinas &amp; Limnol, Valdivia, Chile.</t>
  </si>
  <si>
    <t>luis.vargas@uach.cl</t>
  </si>
  <si>
    <t>Vargas-Chacoff, Luis LVCh/A-5855-2012; Oyarzún-Salazar, Ricardo/HGU-6035-2022; Mancera Romero, Juan Miguel/A-8132-2014</t>
  </si>
  <si>
    <t>Vargas-Chacoff, Luis/0000-0002-0497-2582; Mancera Romero, Juan Miguel/0000-0003-0751-5966; Oyarzun-Salazar, Ricardo/0000-0003-3177-399X; MARTINEZ GONZALEZ, DANIXA PAMELA/0000-0002-7363-419X</t>
  </si>
  <si>
    <t>FONDECYT [11080168, 1110235]; FONDAP-INCAR [15110027]</t>
  </si>
  <si>
    <t>FONDECYT(Comision Nacional de Investigacion Cientifica y Tecnologica (CONICYT)CONICYT FONDECYT); FONDAP-INCAR(Comision Nacional de Investigacion Cientifica y Tecnologica (CONICYT)CONICYT FONDAP)</t>
  </si>
  <si>
    <t>This study was carried out in the framework of FONDECYT Projects 11080168 and 1110235 and FONDAP-INCAR, No. 15110027. We thank Dr. Lafayette Eaton for his help checking this manuscript and the Direccion de Investigacion of the Universidad Austral de Chile (DID).</t>
  </si>
  <si>
    <t>0920-1742</t>
  </si>
  <si>
    <t>1573-5168</t>
  </si>
  <si>
    <t>FISH PHYSIOL BIOCHEM</t>
  </si>
  <si>
    <t>Fish Physiol. Biochem.</t>
  </si>
  <si>
    <t>10.1007/s10695-014-9959-y</t>
  </si>
  <si>
    <t>Biochemistry &amp; Molecular Biology; Fisheries; Physiology</t>
  </si>
  <si>
    <t>AT2GX</t>
  </si>
  <si>
    <t>WOS:000344752600005</t>
  </si>
  <si>
    <t>Bruneaux, M; Nikinmaa, M; Laine, VN; Lindström, K; Primmer, CR; Vasemägi, A</t>
  </si>
  <si>
    <t>Bruneaux, Matthieu; Nikinmaa, Mikko; Laine, Veronika N.; Lindstrom, Kai; Primmer, Craig R.; Vasemagi, Anti</t>
  </si>
  <si>
    <t>Differences in the Metabolic Response to Temperature Acclimation in Nine-Spined Stickleback (Pungitius pungitius) Populations From Contrasting Thermal Environments</t>
  </si>
  <si>
    <t>JOURNAL OF EXPERIMENTAL ZOOLOGY PART A-ECOLOGICAL AND INTEGRATIVE PHYSIOLOGY</t>
  </si>
  <si>
    <t>THREESPINE STICKLEBACK; GASTEROSTEUS-ACULEATUS; COLD ADAPTATION; OXYGEN-CONSUMPTION; NINESPINE STICKLEBACK; PHENOTYPIC PLASTICITY; LATITUDINAL VARIATION; ENERGY-METABOLISM; LOCAL ADAPTATION; ANTARCTIC FISH</t>
  </si>
  <si>
    <t>Metabolic responses to temperature changes are crucial for maintaining the energy balance of an individual under seasonal temperature fluctuations. To understand how such responses differ in recently isolated populations (&lt;11,000 years), we studied four Baltic populations of the nine-spined stickleback (Pungitius pungitius L.) from coastal locations (seasonal temperature range, 0-29 degrees C) and from colder, more thermally stable spring-fed ponds (1-19 degrees C). Salinity and predation pressure also differed between these locations. We acclimatized wild-caught fish to 6, 11, and 19 degrees C in common garden conditions for 4-6 months and determined their aerobic scope and hepatosomatic index (HSI). The freshwater fish from the colder (2-14 degrees C), predator-free pond population exhibited complete temperature compensation for their aerobic scope, whereas the coastal populations underwent metabolic rate reduction during the cold treatment. Coastal populations had higher HSI than the colder pond population at all temperatures, with cold acclimation accentuating this effect. The metabolic rates and HSI for freshwater fish from the pond with higher predation pressure were more similar to those of the coastal ones. Our results suggest that ontogenic effects and/or genetic differentiation are responsible for differential energy storage and metabolic responses between these populations. This work demonstrates the metabolic versatility of the nine-spined stickleback and the pertinence of an energetic framework to better understand potential local adaptations. It also demonstrates that instead of using a single acclimation temperature thermal reaction norms should be compared when studying individuals originating from different thermal environments in a common garden setting. J. Exp. Zool. 321A: 550-565, 2014. (c) 2014 Wiley Periodicals, Inc.</t>
  </si>
  <si>
    <t>[Bruneaux, Matthieu; Nikinmaa, Mikko; Laine, Veronika N.; Primmer, Craig R.; Vasemagi, Anti] Univ Turku, Div Genet &amp; Physiol, Dept Biol, FI-20014 Turku, Finland; [Lindstrom, Kai] Abo Akad Univ, Dept Biosci, Turku, Finland; [Vasemagi, Anti] Estonian Univ Life Sci, Inst Vet Med &amp; Anim Sci, Dept Aquaculture, Tartu, Estonia</t>
  </si>
  <si>
    <t>University of Turku; Abo Akademi University; Estonian University of Life Sciences</t>
  </si>
  <si>
    <t>Vasemägi, A (corresponding author), Univ Turku, Div Genet &amp; Physiol, Dept Biol, Itainen Pitkakatu 4, FI-20014 Turku, Finland.</t>
  </si>
  <si>
    <t>anti.vasemagi@utu.fi</t>
  </si>
  <si>
    <t>Lindström, Kai/ABG-4353-2020; Vasemägi, Anti/B-1964-2018; Laine, Veronika N/B-7869-2014; Lindström, Kai/B-5479-2008; Primmer, Craig R/B-8179-2008; Nikinmaa, Mikko/AAZ-2803-2021</t>
  </si>
  <si>
    <t>Lindström, Kai/0000-0002-8356-5538; Laine, Veronika N/0000-0002-4516-7002; Lindström, Kai/0000-0002-8356-5538; Bruneaux, Matthieu/0000-0001-6997-192X; Nikinmaa, Mikko/0000-0003-0593-1018; Vasemagi, Anti/0000-0002-2184-5534</t>
  </si>
  <si>
    <t>Finnish Academy [258078, 133875]; Estonian Science Foundation [8215]; Estonian Ministry of Education and Research [IUT8-2]; Academy of Finland (AKA) [133875] Funding Source: Academy of Finland (AKA)</t>
  </si>
  <si>
    <t>Finnish Academy(Research Council of Finland); Estonian Science Foundation; Estonian Ministry of Education and Research(Ministry of Education and Research, Estonia); Academy of Finland (AKA)(Research Council of Finland)</t>
  </si>
  <si>
    <t>Grant sponsor: Finnish Academy; grant numbers: 258078, 133875; grant sponsor: Estonian Science Foundation; grant number: 8215; grant sponsor: Estonian Ministry of Education and Research (Institutional Research Funding Project IUT8-2).</t>
  </si>
  <si>
    <t>2471-5638</t>
  </si>
  <si>
    <t>2471-5646</t>
  </si>
  <si>
    <t>J EXP ZOOL PART A</t>
  </si>
  <si>
    <t>J. Exp. Zool. Part A-Ecol. Integr. Physiol.</t>
  </si>
  <si>
    <t>10.1002/jez.1889</t>
  </si>
  <si>
    <t>AT3AP</t>
  </si>
  <si>
    <t>WOS:000344807100002</t>
  </si>
  <si>
    <t>Mase, K</t>
  </si>
  <si>
    <t>Mase, K.</t>
  </si>
  <si>
    <t>IceCube Collaboration</t>
  </si>
  <si>
    <t>The latest IceCube results</t>
  </si>
  <si>
    <t>NUCLEAR INSTRUMENTS &amp; METHODS IN PHYSICS RESEARCH SECTION A-ACCELERATORS SPECTROMETERS DETECTORS AND ASSOCIATED EQUIPMENT</t>
  </si>
  <si>
    <t>8th International Workshop on Ring Imaging Cherenkov Detectors (RICH)</t>
  </si>
  <si>
    <t>DEC 02-06, 2013</t>
  </si>
  <si>
    <t>Nagoya Univ, JAPAN</t>
  </si>
  <si>
    <t>Nagoya Univ</t>
  </si>
  <si>
    <t>IceCube; Neutrino astronomy; Cosmic ray physics</t>
  </si>
  <si>
    <t>GAMMA-RAY BURSTS; NEUTRINO TELESCOPE; COSMIC-RAYS; SYSTEM</t>
  </si>
  <si>
    <t>The IceCube detector is unique. It uses the Antarctic glacial ice as an interaction and detection medium. An array of optical sensors observes Cherenkov light from secondary charged particles resulting horn neutrino interactions. The high transparency of the ice enabled the realization of a 1 km(3) large detection volume in order to detect rarely interacting particles. Neutrinos are ideal probes of the deep universe because they rarely interact with matter and propagate in straight lines. Neutrinos are thought to be produced in hadronic processes at astronomical sources such as active galactic nuclei and gamma-ray bursts. IceCube aims to detect neutrinos horn such astronomical sources. IceCube recently found 28 events in an energy range approximately from 50 TeV to 1 PeV. These events are not easily explained by background derived from atmospheric origin, and therefore represent the first evidence for high energy neutrinos from an extraterrestrial origin. IceCube can also perform elementary particle physics by searching for neutrinos from SUSY particles such as neutralinos and measuring atmospheric neutrino oscillations. An overview of the latest IceCube results is provided in this paper including the 28 candidate observations and the corresponding implications. (C) 2014 Elsevier B.V. All rights reserved.</t>
  </si>
  <si>
    <t>[Mase, K.; IceCube Collaboration] Chiba Univ, Inage Ku, Chiba 2638522, Japan</t>
  </si>
  <si>
    <t>Chiba University</t>
  </si>
  <si>
    <t>Mase, K (corresponding author), Chiba Univ, Inage Ku, Yayoi Tyo1-33, Chiba 2638522, Japan.</t>
  </si>
  <si>
    <t>Sánchez, Juan Antonio Aguilar/H-4467-2015</t>
  </si>
  <si>
    <t>0168-9002</t>
  </si>
  <si>
    <t>1872-9576</t>
  </si>
  <si>
    <t>NUCL INSTRUM METH A</t>
  </si>
  <si>
    <t>Nucl. Instrum. Methods Phys. Res. Sect. A-Accel. Spectrom. Dect. Assoc. Equip.</t>
  </si>
  <si>
    <t>10.1016/j.nima.2014.05.015</t>
  </si>
  <si>
    <t>Instruments &amp; Instrumentation; Nuclear Science &amp; Technology; Physics, Nuclear; Physics, Particles &amp; Fields</t>
  </si>
  <si>
    <t>Instruments &amp; Instrumentation; Nuclear Science &amp; Technology; Physics</t>
  </si>
  <si>
    <t>AT0JI</t>
  </si>
  <si>
    <t>WOS:000344622200011</t>
  </si>
  <si>
    <t>Cantero, ALP</t>
  </si>
  <si>
    <t>Pena Cantero, A. L.</t>
  </si>
  <si>
    <t>Benthic hydroids (Cnidaria, Hydrozoa) from the continental shelf and slope off Queen Mary Coast (East Antarctica)</t>
  </si>
  <si>
    <t>POLAR BIOLOGY</t>
  </si>
  <si>
    <t>Southern Ocean; Biodiversity; Deep-water; New records; New species</t>
  </si>
  <si>
    <t>SYMPLECTOSCYPHUS MARKTANNER-TURNERETSCHER; BRANSFIELD STRAIT ANTARCTICA; ISLAND SOUTHERN-OCEAN; OSWALDELLA STECHOW; STAUROTHECA ALLMAN; R.V. POLARSTERN; RV POLARSTERN; EXPEDITIONS; SERTULARIIDAE; US</t>
  </si>
  <si>
    <t>Hydrozoans are one of the main, and more characteristic, zoological groups in Antarctic benthic communities, yet there are still vast Antarctic areas where the hydrozoan fauna is scarcely known, or even completely unknown, particularly in East Antarctica. The main goal of this study is to contribute to fill that gap of knowledge by studying the benthic hydroids present in the material collected at depths between 404 and 1,156 m off Queen Mary Coast (East Antarctica) during an Australian Antarctic expedition in 2009-2010. A total of 44 species, including Acryptolaria frigida sp. nov. and Halisiphonia prolifica sp. nov., has been found, belonging to the orders Anthoathecata and Leptothecata. The hydrozoan fauna of the studied area is composed of typical representatives of the Antarctic benthic hydroid fauna, with a good representation of some of the most characteristic Antarctic genera, such as Oswaldella and Staurotheca, but with scant representation of others, such as Schizotricha. The dominant species in terms of relative abundance are Symplectoscyphus glacialis with nine records (60 %), Abietinella operculata and Halecium antarcticum with seven records (47 %) and Acryptolaria frigida sp. nov. and Staurotheca nonscripta with six (40 %). A few species were found at a single station, being particularly remarkable the typical Antarctic genus Oswaldella, represented by three species, each present at a single station. Twenty-six species (65 %) are endemic to the Antarctic Region, 22 of them having a circum-Antarctic distribution and four being endemic to East Antarctica. Most of the species studied (93 %) are restricted to Antarctic or Antarctic/sub-Antarctic waters in their distribution.</t>
  </si>
  <si>
    <t>Univ Valencia, Dept Zool, Inst Cavanilles Biodiversidad &amp; Biol Evolut, Valencia 46071, Spain</t>
  </si>
  <si>
    <t>University of Valencia</t>
  </si>
  <si>
    <t>Cantero, ALP (corresponding author), Univ Valencia, Dept Zool, Inst Cavanilles Biodiversidad &amp; Biol Evolut, Apdo Correos 22085, Valencia 46071, Spain.</t>
  </si>
  <si>
    <t>alvaro.l.pena@uv.es</t>
  </si>
  <si>
    <t>Cantero, Álvaro Luis Peña/F-7888-2016</t>
  </si>
  <si>
    <t>Pena Cantero, Alvaro/0000-0003-3056-6673</t>
  </si>
  <si>
    <t>Ministerio de Ciencia e Innovacion of Spain [CTM2009-11128ANT]; Fondo Europeo de Desarrollo Regional (FEDER)</t>
  </si>
  <si>
    <t>Ministerio de Ciencia e Innovacion of Spain(Spanish Government); Fondo Europeo de Desarrollo Regional (FEDER)(European Union (EU)Spanish Government)</t>
  </si>
  <si>
    <t>The author wishes to thank the Australian Antarctic Division, in particular Ty Hibberd, for the loan of the hydroid collection and for his help in the elaboration of Fig. 1. This study was developed thanks to a research project (Ref. CTM2009-11128ANT) funded by the Ministerio de Ciencia e Innovacion of Spain and the Fondo Europeo de Desarrollo Regional (FEDER).</t>
  </si>
  <si>
    <t>0722-4060</t>
  </si>
  <si>
    <t>1432-2056</t>
  </si>
  <si>
    <t>POLAR BIOL</t>
  </si>
  <si>
    <t>Polar Biol.</t>
  </si>
  <si>
    <t>10.1007/s00300-014-1556-0</t>
  </si>
  <si>
    <t>AT1ZC</t>
  </si>
  <si>
    <t>WOS:000344728400001</t>
  </si>
  <si>
    <t>Cantero, ALP; Manjón-Cabeza, ME</t>
  </si>
  <si>
    <t>Pena Cantero, Alvaro L.; Eugenia Manjon-Cabeza, M.</t>
  </si>
  <si>
    <t>Hydroid assemblages from the Bellingshausen Sea (Antarctica): environmental factors behind their spatial distribution</t>
  </si>
  <si>
    <t>Cnidaria hydrozoa; Abiotic factors; Antarctic; Bellingshausen Sea; Benthos; Diversity</t>
  </si>
  <si>
    <t>SOUTH-SHETLAND ISLANDS; QUANTITATIVE-ANALYSIS; COMMUNITY STRUCTURE; CNIDARIA HYDROZOA; BENTHIC HYDROIDS; AMUNDSEN SEAS; BIODIVERSITY; CIRCULATION; CRUSTACEA; DECAPODA</t>
  </si>
  <si>
    <t>Although scientific knowledge about the biodiversity of Antarctic benthic hydrozoans has considerably increased in recent years, little is known about their spatial distribution and underpinning factors. Trying to contribute to filling this gap, benthic hydroid spatial distribution in the Bellingshausen Sea (Southern Ocean) was studied. Samples were collected at 32 stations at depths between 86 and 3,304 m during Spanish Antarctic expeditions in 2003 and 2006. Sediments and bottom water properties were analyzed using an USNEL-type box corer and a Neil Brown Instrument System Mark III CTD, respectively. Forty species were reported (Acryptolaria sp., Stegopoma plicatile, Staurotheca dichotoma having the highest percentages of occurrence), representing ca. 19 % of the species richness of the known benthic hydroid fauna of the Southern Ocean. Three well-defined assemblages (shallow, deep and transitional) were established based on significant differences in species occurrence. Benthic hydroid spatial distribution in the Bellingshausen Sea seems to be controlled mainly by depth and substrate (most hydrozoan species are epibiotic), by species dispersal abilities and by species resilience to changing hydrodynamic conditions. The level of species richness found in the present study, compared with other Antarctic areas, gives support to arguments stated by authors against the idea that the Bellingshausen Sea is abenthos desert'' controlled by oligotrophic conditions and intense iceberg traffic.</t>
  </si>
  <si>
    <t>[Pena Cantero, Alvaro L.] Univ Valencia, Inst Cavanilles Biodiversidad &amp; Biol Evolut ICBiB, Dept Zool, Valencia 46071, Spain; [Eugenia Manjon-Cabeza, M.] Univ Malaga, Fac Sci, Dept Anim Biol, E-29071 Malaga, Spain</t>
  </si>
  <si>
    <t>University of Valencia; Universidad de Malaga</t>
  </si>
  <si>
    <t>Manjón-Cabeza, ME (corresponding author), Univ Malaga, Fac Sci, Dept Anim Biol, Campus Teatinos S-N, E-29071 Malaga, Spain.</t>
  </si>
  <si>
    <t>mecloute@uma.es</t>
  </si>
  <si>
    <t>Manjón-Cabeza, M. Eugenia/L-1761-2014; Cantero, Álvaro Luis Peña/F-7888-2016</t>
  </si>
  <si>
    <t>Manjón-Cabeza, M. Eugenia/0000-0002-4014-6763; Pena Cantero, Alvaro/0000-0003-3056-6673</t>
  </si>
  <si>
    <t>Spanish MCYT funds [REN2003-01881/ANT]; Antarctic Program of the Spanish Government [CGL2004-21066-E]; Spanish MEC; Spanish MCYT; Spanish MCI; European Regional Development Fund (ERDF) [REN2003-01881/ANT, REN2001-1074/ANT, GLC2004-01856/ANT, CGL2004-04684/ANT, CTM2009-11128ANT]</t>
  </si>
  <si>
    <t>Spanish MCYT funds(Spanish Government); Antarctic Program of the Spanish Government; Spanish MEC(Spanish Government); Spanish MCYT(Spanish Government); Spanish MCI(Spanish Government); European Regional Development Fund (ERDF)(European Union (EU))</t>
  </si>
  <si>
    <t>The 'BENTART-03' cruise was included within the Project REN2003-01881/ANT supported by the Spanish MCYT funds. The 'BENTART-06' cruise was funded by the Antarctic Program CGL2004-21066-E of the Spanish Government. The faunal studies were supported by the Spanish MEC, MCYT and MCI and the European Regional Development Fund (ERDF) funds coming from the projects: REN2001-1074/ANT, REN2003-01881/ANT, GLC2004-01856/ANT, CGL2004-04684/ANT and CTM2009-11128ANT. We would like to express our thanks to the crew and UTM technicians of the RV 'Hesperides' for their help in collecting samples, to Dr. Calder for his proposals and help with the English language, and Sanjay Giany, native English teacher, for the revision of the manuscript.</t>
  </si>
  <si>
    <t>10.1007/s00300-014-1557-z</t>
  </si>
  <si>
    <t>WOS:000344728400002</t>
  </si>
  <si>
    <t>Hinke, JT; Trivelpiece, SG; Trivelpiece, WZ</t>
  </si>
  <si>
    <t>Hinke, Jefferson T.; Trivelpiece, Susan G.; Trivelpiece, Wayne Z.</t>
  </si>
  <si>
    <t>Adelie penguin (Pygoscelis adeliae) survival rates and their relationship to environmental indices in the South Shetland Islands, Antarctica</t>
  </si>
  <si>
    <t>Demography; Life history; Seabird; Markrecapture</t>
  </si>
  <si>
    <t>SEA-ICE; CLIMATE-CHANGE; FLIPPER-BANDS; REPRODUCTIVE SUCCESS; POPULATION-DYNAMICS; EMPEROR PENGUIN; ADULT SURVIVAL; VARIABILITY; PENINSULA; RESPONSES</t>
  </si>
  <si>
    <t>Seabird life history is typified by low fecundity, high adult survival rates, and relatively long lives. Such traits act as buffers, enabling persistence of populations under variable environmental conditions. Numerous studies, however, have suggested strong sensitivity of seabirds to environmental variability. In the Antarctic Peninsula region, for example, Adelie penguin (Pygoscelis adeliae) populations have declined during the last three decades, attributed largely to rapid changes in environmental conditions and food availability. We use 30 years of markrecapture data from known-age individuals in the South Shetland Islands and capture-mark-recapture models to estimate survival rates with respect to such environmental variation. We investigated specifically whether negative trends in survival rates were evident and whether indices of global, regional, and local environmental conditions considered important for Adelie penguin survival explained the variability in survival rates. Overall, negative trends in juvenile survival were evident, but adult survival rates exhibited high interannual variability. Indices of sea ice extent had the strongest correlations with survival rates, particularly Weddell Sea ice extent during spring among adults (r = 0.62) and during winter for juveniles (r = 0.46). An analysis of deviance, however, suggested that single environmental covariates explained &lt;30 % of the observed variation in the full mark-recapture models. Despite positive effects of sea ice extent on survival rates of Adelie penguins, limited explanatory power of several environmental conditions previously identified as important for Adelie penguin survival underscores the difficulty of predicting future population responses in this region of rapid environmental change.</t>
  </si>
  <si>
    <t>[Hinke, Jefferson T.; Trivelpiece, Susan G.; Trivelpiece, Wayne Z.] NOAA, Antarctic Ecosyst Res Div, Southwest Fisheries Sci Ctr, Natl Marine Fisheries Serv, La Jolla, CA 92037 USA</t>
  </si>
  <si>
    <t>National Oceanic Atmospheric Admin (NOAA) - USA</t>
  </si>
  <si>
    <t>Hinke, JT (corresponding author), NOAA, Antarctic Ecosyst Res Div, Southwest Fisheries Sci Ctr, Natl Marine Fisheries Serv, 8901 La Jolla Shores Dr, La Jolla, CA 92037 USA.</t>
  </si>
  <si>
    <t>Jefferson.Hinke@noaa.gov</t>
  </si>
  <si>
    <t>, Jefferson/AAG-1702-2021</t>
  </si>
  <si>
    <t>, Jefferson/0000-0002-3600-1414</t>
  </si>
  <si>
    <t>National Science Foundation; SGT; Lenfest Oceans Program at the Pew Charitable Trusts</t>
  </si>
  <si>
    <t>National Science Foundation(National Science Foundation (NSF)); SGT; Lenfest Oceans Program at the Pew Charitable Trusts</t>
  </si>
  <si>
    <t>Many thanks to numerous field biologists whose commitment to long-term observations in the Antarctic made this study possible. Financial support was generously provided by numerous National Science Foundation grants to W.Z.T. and SGT between 1980 and 2010 and J.T.H. was supported by the Lenfest Oceans Program at the Pew Charitable Trusts. All studies were conducted with under approved UCSD Institutional Animal Care and Use Committee permits to W.Z.T. Comments by G. Kooyman, J. Laake, and M. Goebel and three anonymous reviewers improved this manuscript.</t>
  </si>
  <si>
    <t>10.1007/s00300-014-1562-2</t>
  </si>
  <si>
    <t>WOS:000344728400007</t>
  </si>
  <si>
    <t>Bansode, MA; Eastman, JT; Aronson, RB</t>
  </si>
  <si>
    <t>Bansode, Mugdha A.; Eastman, Joseph T.; Aronson, Richard B.</t>
  </si>
  <si>
    <t>Feeding biomechanics of five demersal Antarctic fishes</t>
  </si>
  <si>
    <t>Ecomorphology; Durophagy; Tooth attachment mode; Notothenioidea; Zoarcidae; Liparidae</t>
  </si>
  <si>
    <t>TERRA-NOVA BAY; NOTOTHENIID FISH; CLIMATE-CHANGE; TREMATOMUS-BERNACCHII; ZOARCIDAE TELEOSTEI; TROPHIC ECOLOGY; ROSS SEA; FOOD-WEB; PREY USE; MORPHOLOGY</t>
  </si>
  <si>
    <t>There is scant information available on the ecomorphology of Antarctic fishes, and especially on their feeding capabilities. We measured interspecific variation in mechanical advantage (MA), force-producing capability, and suction index for the jaws of the five dominant taxa of high-Antarctic fishes: the nototheniid Trematomus bernacchii; the zoarcids Pachycara brachycephalum, Lycodichthys dearborni, and Ophthalmolycus amberensis; and the liparid Paraliparis devriesi. Analysis of variance indicated significant differences in jaw metrics, and ordinations of morphological traits identified three loosely defined groups reflecting their family-level taxonomy. Principal component analyses showed distinct segregation between the nototheniid and the liparid, indicating that they are at the extremes of the feeding performance continuum. The zoarcids fell in the middle, suggesting that they utilize a combination of feeding modes to capture prey. The liparid had the lowest MA and bite force, but a large epaxialis implied a ram-suction-feeding mode. The large adductor mandibulae in the zoarcids P. brachycephalum and L. dearborni suggest that they are capable of grasping mobile prey and manipulating sedentary, hard-shelled macroinvertebrates. The zoarcids had a smaller epaxialis than the liparid and may not be as efficient as suction-feeders. Values for mechanical advantage ratios and suction indices in Antarctic fishes were within the range known for non-Antarctic fishes. The five Antarctic species do not possess dentition specialized for durophagous feeding; however, the high mechanical advantage ratio in the nototheniid and, to a lesser extent, in the zoarcids, suggests that durophagy may be possible.</t>
  </si>
  <si>
    <t>[Bansode, Mugdha A.; Aronson, Richard B.] Florida Inst Technol, Dept Biol Sci, Melbourne, FL 32901 USA; [Eastman, Joseph T.] Ohio Univ, Dept Biomed Sci, Athens, OH 45701 USA</t>
  </si>
  <si>
    <t>Florida Institute of Technology; University System of Ohio; Ohio University</t>
  </si>
  <si>
    <t>Eastman, JT (corresponding author), Ohio Univ, Dept Biomed Sci, Athens, OH 45701 USA.</t>
  </si>
  <si>
    <t>mbansode2006@my.fit.edu; eastman@ohiou.edu; raronson@fit.edu</t>
  </si>
  <si>
    <t>Eastman, Joseph T./O-6150-2019</t>
  </si>
  <si>
    <t>Eastman, Joseph T./0000-0003-3868-261X; Aronson, Richard/0000-0003-0383-3844</t>
  </si>
  <si>
    <t>U.S. National Science Foundation [ANT-9416870, ANT-0436190, ANT-0838846, ANT-1141877]; Office of Polar Programs (OPP); Directorate For Geosciences [1141877] Funding Source: National Science Foundation</t>
  </si>
  <si>
    <t>U.S. National Science Foundation(National Science Foundation (NSF)); Office of Polar Programs (OPP); Directorate For Geosciences(National Science Foundation (NSF)NSF - Directorate for Geosciences (GEO))</t>
  </si>
  <si>
    <t>We thank K. E. Smith, S. Thatje, L. T. Toth, and especially R. G. Turingan for helpful advice and discussion. This research was supported by grants from the U.S. National Science Foundation: ANT-9416870 and ANT-0436190 to J.T.E., and ANT-0838846 and ANT-1141877 to R. B. A. We are also grateful to Danette Pratt for assembling the figures and to John Sattler for photography. This is contribution 125 from the Institute for Research on Global Climate Change at the Florida Institute of Technology.</t>
  </si>
  <si>
    <t>10.1007/s00300-014-1565-z</t>
  </si>
  <si>
    <t>WOS:000344728400010</t>
  </si>
  <si>
    <t>Cappello, S; Mancini, G; Pistone, A; Azzaro, M; Bottino, F; Genovese, L; Iannazzo, D; Luciano, A; Mamo, A; Neri, G; Galvagno, S; Santisi, S; Visco, A; Yakimov, MM</t>
  </si>
  <si>
    <t>Cappello, Simone; Mancini, Giuseppe; Pistone, Alessandro; Azzaro, Maurizio; Bottino, Francesco; Genovese, Lucrezia; Iannazzo, Daniela; Luciano, Antonella; Mamo, Antonino; Neri, Giovanni; Galvagno, Signorino; Santisi, Santina; Visco, Annamaria; Yakimov, Michail M.</t>
  </si>
  <si>
    <t>STRANgE, integrated physical-biological-mechanical system for recovery in of the oil spill in Antarctic environment</t>
  </si>
  <si>
    <t>REVIEWS IN ENVIRONMENTAL SCIENCE AND BIO-TECHNOLOGY</t>
  </si>
  <si>
    <t>Oil spill remediation; Oil sorbent; Nanostructured fillers; Biological active carbon (CAB); Biofilm-membrane bioreactor (BF-MBR); Hydrocarbonoclastic bacteria (HCB)</t>
  </si>
  <si>
    <t>WALLED CARBON NANOTUBES; SORBENT MATERIALS; SEA-WATER; FUNCTIONALIZATION; CLEANUP; SOIL</t>
  </si>
  <si>
    <t>Throughout the last century the increasing human activities in Antarctic region, particularly research expeditions, fishing, and tourism amplified the risk of oils spills at these high latitudes of the meridional hemisphere. A number of studies have been focused on chronic hydrocarbon contamination near Antarctic research stations revealing the presence and persistence of these human-derived contaminants. Marine ship-source oil spills in Antarctic region can have significant impacts on the marine environment. The key factors to effectively fight oil spills are a careful selection and proper use of the equipment and materials best suited to the critical local conditions. Despite the significant advances in the field of environmental recovery after an oil spill episode, research has recently shown that the usual techniques are often less effective than expected. This issue become much more relevant in the Antarctic case, not only for the incomparable environmental value of the Antarctic region but also for the extreme environmental conditions and the great distances from properly equipped centers, that make unfeasible sending naval vessels. Scope of the STRANgE Project is the preliminary design of a prototype floating platform, parachutable by plane, able to intervene as quickly as possible for the containment, removal and treatment/storage of the oil slick. New sorbent nanostructured materials and specialized Antarctic bacteria applications constitute the main innovations of this Project.</t>
  </si>
  <si>
    <t>[Cappello, Simone; Azzaro, Maurizio; Genovese, Lucrezia; Santisi, Santina; Yakimov, Michail M.] CNR, Inst Coastal Marine Environm IAMC, I-98121 Messina, Italy; [Mancini, Giuseppe; Bottino, Francesco; Mamo, Antonino] Univ Catania, Dept Ind Engn, Catania, Italy; [Pistone, Alessandro; Iannazzo, Daniela; Neri, Giovanni; Galvagno, Signorino; Visco, Annamaria] Univ Messina, Dept Elect Engn Ind Chem &amp; Engn DIECII, Messina, Italy; [Luciano, Antonella] Italian Natl Agcy New Technol Energy &amp; Sustainabl, Antarctic Tech Unit UTA, Bologna, Italy</t>
  </si>
  <si>
    <t>Consiglio Nazionale delle Ricerche (CNR); L'Istituto per l'Ambiente Marino Costiero (IAMC-CNR); University of Catania; University of Messina; Italian National Agency New Technical Energy &amp; Sustainable Economics Development</t>
  </si>
  <si>
    <t>Cappello, S (corresponding author), CNR, Inst Coastal Marine Environm IAMC, Spianata San Raineri 86, I-98121 Messina, Italy.</t>
  </si>
  <si>
    <t>simone.cappello@iamc.cnr.it</t>
  </si>
  <si>
    <t>visco, annamaria/I-2290-2019; azzaro, Maurizio/AAE-6784-2019; Luciano, Antonella/C-4466-2015; Genovese, Lucrezia/AAX-5001-2020; azzaro, maurizio/A-9559-2017; Mancini, Giuseppe/C-4544-2015; Yakimov, Michail/H-1829-2016</t>
  </si>
  <si>
    <t>visco, annamaria/0000-0003-1602-9361; azzaro, Maurizio/0000-0001-7885-2340; Luciano, Antonella/0000-0002-1450-8425; azzaro, maurizio/0000-0001-7885-2340; Galvagno, Signorino/0000-0003-3281-7042; Mancini, Giuseppe/0000-0002-0953-7934; Yakimov, Michail/0000-0003-1418-363X; Bottino, Francesco/0000-0002-6744-981X; PISTONE, Alessandro/0000-0001-9298-944X</t>
  </si>
  <si>
    <t>1569-1705</t>
  </si>
  <si>
    <t>1572-9826</t>
  </si>
  <si>
    <t>REV ENVIRON SCI BIO</t>
  </si>
  <si>
    <t>Rev. Environ. Sci. Bio-Technol.</t>
  </si>
  <si>
    <t>10.1007/s11157-014-9346-2</t>
  </si>
  <si>
    <t>Biotechnology &amp; Applied Microbiology; Environmental Sciences</t>
  </si>
  <si>
    <t>Biotechnology &amp; Applied Microbiology; Environmental Sciences &amp; Ecology</t>
  </si>
  <si>
    <t>AT0EK</t>
  </si>
  <si>
    <t>WOS:000344609800001</t>
  </si>
  <si>
    <t>Anilkumar, N; Chacko, R; Sabu, P; Pillai, HUK; George, JV; Achuthankutty, CT</t>
  </si>
  <si>
    <t>Anilkumar, N.; Chacko, Racheal; Sabu, P.; Pillai, Honey U. K.; George, Jenson V.; Achuthankutty, C. T.</t>
  </si>
  <si>
    <t>Biological response to physical processes in the Indian Ocean sector of the Southern Ocean: a case study in the coastal and oceanic waters</t>
  </si>
  <si>
    <t>ENVIRONMENTAL MONITORING AND ASSESSMENT</t>
  </si>
  <si>
    <t>Wind; Melt water; Chlorophyll a; Mesozooplankton; Southern Ocean</t>
  </si>
  <si>
    <t>ANTARCTIC CIRCUMPOLAR CURRENT; PHYTOPLANKTON COMMUNITY STRUCTURE; HPLC PIGMENT SIGNATURES; AUSTRAL SUMMER 2004; JANUARY-MARCH 1996; BROKE-WEST; EAST ANTARCTICA; DISTRIBUTION PATTERNS; PRIMARY PRODUCTIVITY; SURFACE CHLOROPHYLL</t>
  </si>
  <si>
    <t>The spatial variation of chlorophyll a (Chl a) and factors influencing the high Chl a were studied during austral summer based on the physical and biogeochemical parameters collected near the coastal waters of Antarctica in 2010 and a zonal section along 60A degrees S in 2011. In the coastal waters, high Chl a (&gt; 3 mg m(-3)) was observed near the upper layers (similar to 15 m) between 53A degrees 30'E and 54A degrees 30'E. A comparatively higher mesozooplankton biomass (53.33 ml 100 m(-3)) was also observed concordant with the elevated Chl a. Low saline water formed by melting of glacial ice and snow, as well as deep mixed-layer depth (60 m) due to strong wind (&gt; 11 ms(-1)) could be the dominant factors for this biological response. In the open ocean, moderately high surface Chl a was observed (&gt; 0.6 mg m(-3)) between 47A degrees E and 50A degrees E along with a Deep Chlorophyll Maximum of similar to 1 mg m(-3) present at 30-40 m depth. Melt water advected from the Antarctic continent could be the prime reason for this high Chl a. The mesozooplankton biomass (22.76 ml 100 m(-3)) observed in the open ocean was comparatively lower than that in the coastal waters. Physical factors such as melting, advection of melt water from Antarctic continent, water masses and wind-induced vertical mixing may be the possible reasons that led to the increase in phytoplankton biomass (Chl a).</t>
  </si>
  <si>
    <t>[Anilkumar, N.; Chacko, Racheal; Sabu, P.; Pillai, Honey U. K.; George, Jenson V.; Achuthankutty, C. T.] Natl Ctr Antarctic &amp; Ocean Res, Minist Earth Sci, Vasco Da gama 403804, Goa, India</t>
  </si>
  <si>
    <t>Chacko, R (corresponding author), Natl Ctr Antarctic &amp; Ocean Res, Minist Earth Sci, Vasco Da gama 403804, Goa, India.</t>
  </si>
  <si>
    <t>racheal@ncaor.gov.in</t>
  </si>
  <si>
    <t>Chacko, Racheal/0000-0002-0205-776X</t>
  </si>
  <si>
    <t>This work was supported by the Ministry of Earth Sciences, Government of India. We are thankful to Director, NCAOR, for his constant support and encouragement. We are indebted to Ms. Usha Parameshwaran and Dr. Abdul Jaleel, CMLRE, Kochi, for the statistical analysis. The authors acknowledge the contribution towards data collection and analysis carried out by Dr. Sini Pavithran, Dr. Mandar Nanajkar, Dr. Deepti Dessai and Ms. Sharon B. Noronha. Help rendered in the implementation and completion of this study by cruise participants and staff at NCAOR is acknowledged. The authors are grateful to the anonymous reviewer for the valuable suggestions. This is NCAOR contribution no 18/2014.</t>
  </si>
  <si>
    <t>0167-6369</t>
  </si>
  <si>
    <t>1573-2959</t>
  </si>
  <si>
    <t>ENVIRON MONIT ASSESS</t>
  </si>
  <si>
    <t>Environ. Monit. Assess.</t>
  </si>
  <si>
    <t>10.1007/s10661-014-3990-4</t>
  </si>
  <si>
    <t>AS6BF</t>
  </si>
  <si>
    <t>WOS:000344349200005</t>
  </si>
  <si>
    <t>Zverina, O; Láska, K; Cervenka, R; Kuta, J; Coufalík, P; Komárek, J</t>
  </si>
  <si>
    <t>Zverina, Ondrej; Laska, Kamil; Cervenka, Rostislav; Kuta, Jan; Coufalik, Pavel; Komarek, Josef</t>
  </si>
  <si>
    <t>Analysis of mercury and other heavy metals accumulated in lichen Usnea antarctica from James Ross Island, Antarctica</t>
  </si>
  <si>
    <t>Antarctica; Heavy metal; Mercury; Lichen</t>
  </si>
  <si>
    <t>ECOSYSTEMS; SPECIATION; PENINSULA</t>
  </si>
  <si>
    <t>The study was designed to investigate the content and distribution of selected heavy metals (As, Cd, Co, Cr, Cu, Hg, Mn, Ni, Fe, Pb and Zn) in samples of fruticose macrolichen Usnea antarctica from James Ross Island. A special emphasis was devoted to mercury and its species (elemental mercury and methylmercury). It was found that mercury contents were relatively high (up to 2.73 mg kg(-1) dry weight) compared to other parts of the Antarctic Peninsula region, while the concentrations of most other elements were within reported ranges. Mercury contents in lichens originating from the interior were higher than those from the coast, which is probably the result of local microclimate conditions. Similar trends were observed for Hg-0 and MeHg+, whose contents were up to 0.14 and 0.098 mg kg(-1) dry weight, respectively. While mercury did not show a significant correlation with any other element, the mutual correlation of some litophile elements probably refers to the influence on thalli of resuspended weathered material. The influence of habitat and environmental conditions could play an essential role in the bioaccumulation of contaminants rather than just the simple presence of sources. Thus, the study of the thalli of this species can bring a new perspective on the interpretation of contaminant accumulation in lichens of the polar region.</t>
  </si>
  <si>
    <t>[Zverina, Ondrej; Coufalik, Pavel; Komarek, Josef] Masaryk Univ, Fac Sci, Dept Chem, CS-61137 Brno, Czech Republic; [Zverina, Ondrej] Masaryk Univ, Fac Med, Dept Publ Hlth, Brno 62500, Czech Republic; [Laska, Kamil] Masaryk Univ, Fac Sci, Dept Geog, CS-61137 Brno, Czech Republic; [Cervenka, Rostislav; Kuta, Jan] Masaryk Univ, Fac Sci, Res Ctr Tox Cpds Environm RECETOX, Brno 62500, Czech Republic; [Coufalik, Pavel] Acad Sci Czech Republ, Inst Analyt Chem, Vvi, Brno 60200, Czech Republic</t>
  </si>
  <si>
    <t>Masaryk University Brno; Masaryk University Brno; Masaryk University Brno; Masaryk University Brno; Czech Academy of Sciences; Institute of Analytical Chemistry of the Czech Academy of Sciences</t>
  </si>
  <si>
    <t>Komárek, J (corresponding author), Masaryk Univ, Fac Sci, Dept Chem, Kotlarska 2, CS-61137 Brno, Czech Republic.</t>
  </si>
  <si>
    <t>komarek@chemi.muni.cz</t>
  </si>
  <si>
    <t>Laska, Kamil/L-7875-2013; Zvěřina, Ondřej/AAA-2400-2022; Cervenka, Rostislav/AAX-4624-2021; Zvěřina, Ondřej/AAE-5507-2019; Coufalik, Pavel/G-9819-2014</t>
  </si>
  <si>
    <t>Laska, Kamil/0000-0002-5199-9737; Zvěřina, Ondřej/0000-0003-0035-6851; Zvěřina, Ondřej/0000-0003-0035-6851; Cervenka, Rostislav/0000-0002-4542-0717; Coufalik, Pavel/0000-0001-6332-9020; Kuta, Jan/0000-0002-5776-9596</t>
  </si>
  <si>
    <t>Grant Agency of the Czech Republic [P503/12/0682]; Masaryk University [MUNI/A/0902/2012]; European Social Fund; state budget of the Czech Republic</t>
  </si>
  <si>
    <t>Grant Agency of the Czech Republic(Grant Agency of the Czech RepublicNorwegian Agency for Development Cooperation - NORAD); Masaryk University; European Social Fund(European Social Fund (ESF)); state budget of the Czech Republic</t>
  </si>
  <si>
    <t>The authors are grateful to the CzechPolar project for the provision of infrastructure (Johann Gregor Mendel Station) and for financial support from the Grant Agency of the Czech Republic, project P503/12/0682. The work of K. Laska was supported by the Masaryk University project MUNI/A/0902/2012 Global environmental changes and their impacts (GlobE). The research has been co-funded from the European Social Fund and the state budget of the Czech Republic.</t>
  </si>
  <si>
    <t>10.1007/s10661-014-4068-z</t>
  </si>
  <si>
    <t>WOS:000344349200076</t>
  </si>
  <si>
    <t>Wu, ZQ; Wang, JR; Shang, XM; Yang, ZQ; Jiang, GL</t>
  </si>
  <si>
    <t>Wu, Zhiqiang; Wang, Junren; Shang, Xianming; Yang, Zhaoqing; Jiang, Guoliang</t>
  </si>
  <si>
    <t>Purification and Characterization of Cold Adapted Trypsins from Antarctic krill (Euphausia superba)</t>
  </si>
  <si>
    <t>INTERNATIONAL JOURNAL OF PEPTIDE RESEARCH AND THERAPEUTICS</t>
  </si>
  <si>
    <t>Euphausia superba; Trypsin; Cold adaption; Stability; Catalytic efficiency</t>
  </si>
  <si>
    <t>PYLORIC CECA; ISOFORMS; TEMPERATURE; ENZYMES; VISCERA; SPLEEN</t>
  </si>
  <si>
    <t>Three trypsins (TRY-ES) were purified from Antarctic krill (Euphausia superba) by ammonium sulfate precipitation, ion-exchange and gel-filtration chromatography, with relative molecular mass of 28.7, 28.8 and 29.2 kDa respectively. The TRY-ES was inhibited by specific trypsin inhibitors (benzamidine, STI, CHOM and TLCK), with optimum temperature at 40 (Trypsin I), 45 (Trypsin II) and 40 A degrees C (Trypsin III) repetitively. The TRY-ES was stabled between 5 and 40 A degrees C, which was consistent with the red shift in fluorescence intensity peak at 40 A degrees C (Trypsin I) and 45 A degrees C (Trypsin II and Trypsin III) and blue shift at 40 A degrees C (Trypsin II and Trypsin III). The K (cat)/K (m) values of the TRY-ES was 14.28, 9.46 and 5.93 mM(-1)s(-1) respectively, 1.1-10.2 folds higher than trypsins from other crustacean and mammal, which was supported by the differences in thermodynamics parameters, the free energy, enthalpy, and entropy of benzamidine and the TRY-ES system.</t>
  </si>
  <si>
    <t>[Wu, Zhiqiang; Wang, Junren; Shang, Xianming; Yang, Zhaoqing; Jiang, Guoliang] Ocean Univ China, Coll Marine Life Sci, Qingdao 266003, Peoples R China</t>
  </si>
  <si>
    <t>Ocean University of China</t>
  </si>
  <si>
    <t>Jiang, GL (corresponding author), Ocean Univ China, Coll Marine Life Sci, Qingdao 266003, Peoples R China.</t>
  </si>
  <si>
    <t>gljiang@ouc.edu.cn</t>
  </si>
  <si>
    <t>Jiang, Guo/ISR-9858-2023; li, jixiang/JXN-7599-2024; Liu, Jiahe/JPL-6372-2023; wu, zhi/GXH-3041-2022; Liu, Kai/IST-6808-2023; Wang, zijun/JNS-5435-2023</t>
  </si>
  <si>
    <t>National Natural Science Foundation of China [31101876]; Shandong Provincial Natural Science Foundation, China [ZR2010DQ012, ZR2010DM010]; Fundamental Research Funds for the Central Universities [201013001]</t>
  </si>
  <si>
    <t>National Natural Science Foundation of China(National Natural Science Foundation of China (NSFC)); Shandong Provincial Natural Science Foundation, China(Natural Science Foundation of Shandong Province); Fundamental Research Funds for the Central Universities(Fundamental Research Funds for the Central Universities)</t>
  </si>
  <si>
    <t>This work was supported by National Natural Science Foundation of China (No. 31101876), Shandong Provincial Natural Science Foundation, China (No. ZR2010DQ012 and ZR2010DM010) and the Fundamental Research Funds for the Central Universities (No. 201013001).</t>
  </si>
  <si>
    <t>1573-3149</t>
  </si>
  <si>
    <t>1573-3904</t>
  </si>
  <si>
    <t>INT J PEPT RES THER</t>
  </si>
  <si>
    <t>Int. J. Pept. Res. Ther.</t>
  </si>
  <si>
    <t>10.1007/s10989-014-9415-y</t>
  </si>
  <si>
    <t>AS6BM</t>
  </si>
  <si>
    <t>WOS:000344349900016</t>
  </si>
  <si>
    <t>Rodrigues, CR; Rodrigues, BF</t>
  </si>
  <si>
    <t>Rodrigues, Cassie R.; Rodrigues, Bernard F.</t>
  </si>
  <si>
    <t>Enhancement of seed germination in Macaranga peltata for use in tropical forest restoration</t>
  </si>
  <si>
    <t>JOURNAL OF FORESTRY RESEARCH</t>
  </si>
  <si>
    <t>dormancy; gibberellic acid (GA); mechanical scarification; restoration; seed coat</t>
  </si>
  <si>
    <t>PLANT; INDIA; PATTERNS; DORMANCY; RELEASE</t>
  </si>
  <si>
    <t>We used pre-sowing treatments viz., soaking seeds in concentrated sulphuric acid (CSA), gibberellic acid (GA), combined treatment of CSA + GA and mechanical scarification to overcome seed dormancy and enhance synchronous germination of Macaranga peltata seeds. We analysed percent seed germination data by logistic regression and confirmed that except in GA treatment, time and acid concentration together were crucial for enhancing germination. The combination treatment of CSA and GA resulted in higher percent germination (up to 74%) than either treatment used separately, but produced defective seedlings (26%). Mechanical scarification of seed coat had the greatest impact in enhancing germination (78%) and reducing imbibition time (6 days) against the control (0%). Germination studies and SEM analysis confirmed that seed germination in M peltata was inhibited by seed coat dormancy.</t>
  </si>
  <si>
    <t>[Rodrigues, Cassie R.; Rodrigues, Bernard F.] Goa Univ, Dept Bot, Bambolim 403206, Goa, India</t>
  </si>
  <si>
    <t>Goa University</t>
  </si>
  <si>
    <t>Rodrigues, CR (corresponding author), Goa Univ, Dept Bot, Bambolim 403206, Goa, India.</t>
  </si>
  <si>
    <t>cassierodrigues@gmail.com</t>
  </si>
  <si>
    <t>Ministry of Minority Affairs - UGC, New Delhi, India</t>
  </si>
  <si>
    <t>We thank the Ministry of Minority Affairs - UGC, New Delhi, India for providing financial assistance (MANF). We also thank the National Centre for Antarctic Ocean Research (NCAOR), Goa for assisting with SEM imaging. Special thanks to Dr. Uromi Goodale, Xishuangbanna Tropical Botanical Gardens, Chinese Academy of Sciences, for critically reviewing the manuscript and for her valuable suggestions.</t>
  </si>
  <si>
    <t>NORTHEAST FORESTRY UNIV</t>
  </si>
  <si>
    <t>HARBIN</t>
  </si>
  <si>
    <t>NO 26 HEXING RD, XIANGFANG DISTRICT, HARBIN, 150040, PEOPLES R CHINA</t>
  </si>
  <si>
    <t>1007-662X</t>
  </si>
  <si>
    <t>1993-0607</t>
  </si>
  <si>
    <t>J FORESTRY RES</t>
  </si>
  <si>
    <t>J. For. Res.</t>
  </si>
  <si>
    <t>10.1007/s11676-014-0536-0</t>
  </si>
  <si>
    <t>Forestry</t>
  </si>
  <si>
    <t>AS7PP</t>
  </si>
  <si>
    <t>WOS:000344447900020</t>
  </si>
  <si>
    <t>Kooyman, RM; Wilf, P; Barreda, VD; Carpenter, RJ; Jordan, GJ; Sniderman, JMK; Allen, A; Brodribb, TJ; Crayn, D; Feild, TS; Laffan, SW; Lusk, CH; Rossetto, M; Weston, PH</t>
  </si>
  <si>
    <t>Kooyman, Robert M.; Wilf, Peter; Barreda, Viviana D.; Carpenter, Raymond J.; Jordan, Gregory J.; Sniderman, J. M. Kale; Allen, Andrew; Brodribb, Timothy J.; Crayn, Darren; Feild, Taylor S.; Laffan, Shawn W.; Lusk, Christopher H.; Rossetto, Maurizio; Weston, Peter H.</t>
  </si>
  <si>
    <t>PALEO-ANTARCTIC RAINFOREST INTO THE MODERN OLD WORLD TROPICS: THE RICH PAST AND THREATENED FUTURE OF THE SOUTHERN WET FOREST SURVIVORS</t>
  </si>
  <si>
    <t>AMERICAN JOURNAL OF BOTANY</t>
  </si>
  <si>
    <t>Antarctica; assemblage; Australia; biogeography; Gondwana; New Zealand; Old World tropics; paleobotany; Patagonia; rainforest</t>
  </si>
  <si>
    <t>ARAUCARIACEAE MACROFOSSILS; AGATHIS ARAUCARIACEAE; HAINAN ISLAND; LEAF FOSSILS; EOCENE; PATAGONIA; EVOLUTION; POLLEN; RECORD; PROTEACEAE</t>
  </si>
  <si>
    <t>Premise of study: Have Gondwanan rainforest floral associations survived? Where do they occur today? Have they survived continuously in particular locations? How significant is their living floristic signal? We revisit these classic questions in light of significant recent increases in relevant paleobotanical data. Methods: We traced the extinction and persistence of lineages and associations through the past across four now separated regions-Australia, New Zealand, Patagonia, and Antarctica-using fossil occurrence data from 63 well-dated Gondwanan rainforest sites and 396 constituent taxa. Fossil sites were allocated to four age groups: Cretaceous, Paleocene-Eocene, Neogene plus Oligocene, and Pleistocene. We compared the modern and ancient distributions of lineages represented in the fossil record to see if dissimilarity increased with time. We quantified similarity-dissimilarity of composition and taxonomic structure among fossil assemblages, and between fossil and modern assemblages. Key results: Strong similarities between ancient Patagonia and Australia confirmed shared Gondwanan rainforest history, but more of the lineages persisted in Australia. Samples of ancient Australia grouped with the extant floras of Australia, New Guinea, New Caledonia, Fiji, and Mt. Kinabalu. Decreasing similarity through time among the regional floras of Antarctica, Patagonia, New Zealand, and southern Australia reflects multiple extinction events. Conclusions: Gondwanan rainforest lineages contribute significantly to modern rainforest community assembly and often co-occur in widely separated assemblages far from their early fossil records. Understanding how and where lineages from ancient Gondwanan assemblages co-occur today has implications for the conservation of global rainforest vegetation, including in the Old World tropics.</t>
  </si>
  <si>
    <t>[Kooyman, Robert M.; Allen, Andrew] Macquarie Univ, Dept Biol Sci, Sydney, NSW 2113, Australia; [Kooyman, Robert M.; Rossetto, Maurizio; Weston, Peter H.] Royal Bot Gardens &amp; Domain Trust, Natl Herbarium NSW, Sydney, NSW 2000, Australia; [Wilf, Peter] Penn State Univ, Dept Geosci, University Pk, PA 16802 USA; [Barreda, Viviana D.] Consejo Nacl Invest Cient &amp; Tecn, Museo Argentino Ciencias Nat, Div Paleobot, RA-1033 Buenos Aires, DF, Argentina; [Carpenter, Raymond J.] Univ Adelaide, Sch Earth &amp; Environm Sci, Adelaide, SA 5005, Australia; [Jordan, Gregory J.; Brodribb, Timothy J.] Univ Tasmania, Sch Biol Sci, Hobart, Tas 7001, Australia; [Sniderman, J. M. Kale] Univ Melbourne, Sch Earth Sci, Melbourne, Vic 3010, Australia; [Crayn, Darren; Feild, Taylor S.] James Cook Univ, Sch Marine &amp; Trop Biol, Australian Trop Herbarium, Cairns, Australia; [Laffan, Shawn W.] Univ New S Wales, Sch Biol Earth &amp; Environm Sci, Ctr Ecosyst Sci, Sydney, NSW 2052, Australia; [Lusk, Christopher H.] Univ Waikato, Sch Sci, Hamilton, New Zealand</t>
  </si>
  <si>
    <t>Macquarie University; Pennsylvania Commonwealth System of Higher Education (PCSHE); Pennsylvania State University; Pennsylvania State University - University Park; Museo Argentino de Ciencias Naturales Bernardino Rivadavia (MACN); Consejo Nacional de Investigaciones Cientificas y Tecnicas (CONICET); University of Adelaide; University of Tasmania; University of Melbourne; Melbourne Bioinformatics; James Cook University; University of New South Wales Sydney; University of Waikato</t>
  </si>
  <si>
    <t>Kooyman, RM (corresponding author), Macquarie Univ, Dept Biol Sci, Sydney, NSW 2113, Australia.</t>
  </si>
  <si>
    <t>robert.kooyman@mq.edu.au</t>
  </si>
  <si>
    <t>Brodribb, Timothy John/C-6797-2013; Jordan, Gregory/B-3932-2013; Laffan, Shawn William/A-3761-2008; Allen, Andrew/B-8045-2011; Kooyman, Robert M/JCE-5169-2023; Kooyman, Robert M/H-3347-2017; Crayn, Darren/A-7386-2011</t>
  </si>
  <si>
    <t>Brodribb, Timothy John/0000-0002-4964-6107; Jordan, Gregory/0000-0002-6033-2766; Laffan, Shawn William/0000-0002-5996-0570; Kooyman, Robert M/0000-0003-1985-9547; Kooyman, Robert M/0000-0003-1985-9547; Barreda, Viviana Dora/0000-0002-1560-1277; Crayn, Darren/0000-0001-6614-4216; Allen, Andrew/0000-0003-0304-7544; Weston, Peter/0000-0001-8920-5376; Sniderman, Kale/0000-0002-3963-4049; Lusk, Christopher/0000-0002-9037-7957</t>
  </si>
  <si>
    <t>ARC-NZ Vegetation Network (Macquarie University); National Science Foundation [DEB 0919071]; David and Lucile Packard Foundation; Direct For Biological Sciences; Division Of Environmental Biology [0919071] Funding Source: National Science Foundation</t>
  </si>
  <si>
    <t>ARC-NZ Vegetation Network (Macquarie University)(Australian Research Council); National Science Foundation(National Science Foundation (NSF)); David and Lucile Packard Foundation(The David &amp; Lucile Packard Foundation); Direct For Biological Sciences; Division Of Environmental Biology(National Science Foundation (NSF)NSF - Directorate for Biological Sciences (BIO))</t>
  </si>
  <si>
    <t>The authors thank the ARC-NZ Vegetation Network (Macquarie University) and particularly M. Westoby for project support and funding for the initial gathering of the authors in Sydney, Australia, in August 2010 as Working Group 69. Additional support was provided to R.M.K. and P.W. through National Science Foundation grant DEB 0919071 and the David and Lucile Packard Foundation. M. McGlone provided helpful details of the extant New Zealand rainforest flora.</t>
  </si>
  <si>
    <t>0002-9122</t>
  </si>
  <si>
    <t>1537-2197</t>
  </si>
  <si>
    <t>AM J BOT</t>
  </si>
  <si>
    <t>Am. J. Bot.</t>
  </si>
  <si>
    <t>10.3732/ajb.1400340</t>
  </si>
  <si>
    <t>AW1TE</t>
  </si>
  <si>
    <t>WOS:000346072000012</t>
  </si>
  <si>
    <t>Lopes, RP; Dillenburg, SR; Schultz, CL; Ferigolo, J; Ribeiro, AM; Pereira, JC; Holanda, EC; Pitana, VG; Kerber, L</t>
  </si>
  <si>
    <t>Lopes, Renato P.; Dillenburg, Sergio R.; Schultz, Cesar L.; Ferigolo, Jorge; Ribeiro, Ana Maria; Pereira, Jamil C.; Holanda, Elizete C.; Pitana, Vanessa G.; Kerber, Leonardo</t>
  </si>
  <si>
    <t>The sea-level highstand correlated to marine isotope stage (MIS) 7 in the coastal plain of the state of Rio Grande do Sul, Brazil</t>
  </si>
  <si>
    <t>ANAIS DA ACADEMIA BRASILEIRA DE CIENCIAS</t>
  </si>
  <si>
    <t>Barrier II; Chui Creek; MIS 7; Pleistocene; Paleoceanography</t>
  </si>
  <si>
    <t>SOUTH ATLANTIC SECTOR; CORAL-REEF TERRACES; VOSTOK ICE CORE; MOLLUSCAN ASSEMBLAGES; ANTARCTIC ZONE; PELOTAS BASIN; ANNUAL CYCLE; U-SERIES; PLEISTOCENE; HOLOCENE</t>
  </si>
  <si>
    <t>The coastal plain of the state of Rio Grande do Sul, in southern Brazil, includes four barrier-lagoon depositional systems formed by successive Quaternary sea-level highstands that were correlated to marine isotope stages (MIS) 11, 9, 5 and 1, despite the scarcity of absolute ages. This study describes a sea-level highstand older than MIS 5, based on the stratigraphy, ages and fossils of the shallow marine facies found in coastal barrier (Barrier II). This facies outcrops along the banks of Chui Creek, it is composed of fine, well-sorted quartz sand and contains ichnofossils Ophiomorpha nodosa and Rosselia sp., and molluscan shells. The sedimentary record indicates coastal aggradation followed by sea-level fall and progradation of the coastline. Thermoluminescence (TL) and electron spin resonance (ESR) ages from sediments and fossil shells point to an age of similar to 220 ka for the end of this marine transgression, thus correlating it to MIS 7 (substage 7e). Altimetric data point to a maximum amplitude of about 10 meters above present-day mean sea-level, but tectonic processes may be involved. Paleoceanographic conditions at the time of the highstand and correlations with other deposits in the Brazilian coasts are also discussed.</t>
  </si>
  <si>
    <t>[Lopes, Renato P.; Dillenburg, Sergio R.; Schultz, Cesar L.; Ferigolo, Jorge; Ribeiro, Ana Maria; Pereira, Jamil C.; Pitana, Vanessa G.; Kerber, Leonardo] Univ Fed Rio Grande do Sul, Programa Posgrad Geociencias, BR-91540000 Porto Alegre, RS, Brazil; [Ferigolo, Jorge; Ribeiro, Ana Maria] Fundacao Zoobot Rio Grande Sul, Museu Ciencias Nat, Secao Paleontol, BR-90690000 Porto Alegre, RS, Brazil; [Pereira, Jamil C.] Museu Coronel Tancredo Fernandes de Mello, BR-96230000 Santa Vitoria Do Palmar, RS, Brazil; [Holanda, Elizete C.] Univ Fed Roraima, Inst Geociencias, Dept Geol, BR-69304000 Boa Vista, RR, Brazil</t>
  </si>
  <si>
    <t>Universidade Federal do Rio Grande do Sul; Universidade Federal de Roraima</t>
  </si>
  <si>
    <t>Lopes, RP (corresponding author), Univ Fed Rio Grande do Sul, Programa Posgrad Geociencias, Av Bento Goncalves 9500, BR-91540000 Porto Alegre, RS, Brazil.</t>
  </si>
  <si>
    <t>paleonto_furg@yahoo.com.br</t>
  </si>
  <si>
    <t>Ferigolo, Jorge/AAV-2684-2021; Ribeiro, Ana Maria/O-3345-2017; Lopes, Renato Pereira/AFQ-4934-2022; Ribeiro, Ana Maria/JCE-0744-2023; Kerber, Leonardo/M-3969-2019; Schultz, Cesar/I-4127-2013; Dillenburg, Sergio/C-4027-2013</t>
  </si>
  <si>
    <t>Ferigolo, Jorge/0000-0001-7985-6466; Ribeiro, Ana Maria/0000-0003-4167-8558; Lopes, Renato Pereira/0000-0002-4865-6426; Ribeiro, Ana Maria/0000-0003-4167-8558; Kerber, Leonardo/0000-0001-8139-1493; Schultz, Cesar/0000-0001-7121-0409; Dillenburg, Sergio/0000-0003-0072-7018; Holanda, Elizete/0000-0003-0704-6338</t>
  </si>
  <si>
    <t>Conselho Nacional de Desenvolvimento Cientifico e Tecnologico (CNPq) [474485/2008-0]</t>
  </si>
  <si>
    <t>Conselho Nacional de Desenvolvimento Cientifico e Tecnologico (CNPq)(Conselho Nacional de Desenvolvimento Cientifico e Tecnologico (CNPQ))</t>
  </si>
  <si>
    <t>The authors would like to thank Drs. Mauricio M. Mata and Leonir A. Colling (Instituto de Oceanografia-FURG) for their comments and reviews, and Eolicas do Sul for the permission to present results from the drillings. This research was made possible by financial support from Conselho Nacional de Desenvolvimento Cientifico e Tecnologico (CNPq) (Doctorship grant to the senior author and research grant 474485/2008-0 to J. Ferigolo).</t>
  </si>
  <si>
    <t>ACAD BRASILEIRA DE CIENCIAS</t>
  </si>
  <si>
    <t>RIO JANEIRO</t>
  </si>
  <si>
    <t>RUA ANFILOFIO DE CARVALHO, 29, 3 ANDAR, 20030-060 RIO JANEIRO, BRAZIL</t>
  </si>
  <si>
    <t>0001-3765</t>
  </si>
  <si>
    <t>1678-2690</t>
  </si>
  <si>
    <t>AN ACAD BRAS CIENC</t>
  </si>
  <si>
    <t>An. Acad. Bras. Cienc.</t>
  </si>
  <si>
    <t>10.1590/0001-3765201420130274</t>
  </si>
  <si>
    <t>AY4CQ</t>
  </si>
  <si>
    <t>WOS:000347526200004</t>
  </si>
  <si>
    <t>Fogwill, C; Bingham, R; Mackintosh, A; Marchant, D</t>
  </si>
  <si>
    <t>Fogwill, Chris; Bingham, Robert; Mackintosh, Andrew; Marchant, David</t>
  </si>
  <si>
    <t>Standing on the shoulders of giants</t>
  </si>
  <si>
    <t>Fogwill, Chris/AAW-3502-2021; Bingham, Robert G/G-3576-2017</t>
  </si>
  <si>
    <t>Fogwill, Chris/0000-0002-6471-1106; Bingham, Robert G/0000-0002-0630-2021; Mackintosh, Andrew/0000-0002-6430-4711</t>
  </si>
  <si>
    <t>10.1017/S095410201400073X</t>
  </si>
  <si>
    <t>WOS:000344736100001</t>
  </si>
  <si>
    <t>Sugden, DE</t>
  </si>
  <si>
    <t>Sugden, David E.</t>
  </si>
  <si>
    <t>James Croll (1821-1890): ice, ice ages and the Antarctic connection</t>
  </si>
  <si>
    <t>Antarctic ice sheet; glacier flow</t>
  </si>
  <si>
    <t>The thrust of this paper is that James Croll should be more generously lauded for his remarkable contribution to the study of ice ages, glacier flow and the nature of the Antarctic ice sheet. Croll was the first to calculate the link between fluctuations of the Earth's orbit and glacial/interglacial cycles, and to identify the crucial role of positive feedback processes necessary to transform minor insolation changes into major climatic changes. He studied the mechanisms of glacier flow and explained flow over horizontal land surfaces at a continental scale, including the excavation of rock basins. Croll relied on a quantitatively based deductive approach. One of hismost remarkable achievements was his study of the thickness, thermal regime and dynamics of the Antarctic ice sheet (1879). This contains important insights, which are relevant today, and yet the paper was published before anyone had landed on the continent!</t>
  </si>
  <si>
    <t>Univ Edinburgh, Sch Geosci, Edinburgh EH8 9XP, Midlothian, Scotland</t>
  </si>
  <si>
    <t>University of Edinburgh</t>
  </si>
  <si>
    <t>Sugden, DE (corresponding author), Univ Edinburgh, Sch Geosci, Edinburgh EH8 9XP, Midlothian, Scotland.</t>
  </si>
  <si>
    <t>david.sugden@ed.ac.uk</t>
  </si>
  <si>
    <t>UK Natural Environment Research Council; British Antarctic Survey; National Science Foundation Office of Polar Programs; NERC [NE/E018254/1, NE/F014252/1, NE/I025840/1] Funding Source: UKRI; Natural Environment Research Council [NE/F014252/1, NE/E018254/1, NE/I025840/1] Funding Source: researchfish</t>
  </si>
  <si>
    <t>UK Natural Environment Research Council(UK Research &amp; Innovation (UKRI)Natural Environment Research Council (NERC)); British Antarctic Survey; National Science Foundation Office of Polar Programs(National Science Foundation (NSF)NSF - Directorate for Geosciences (GEO)); NERC(UK Research &amp; Innovation (UKRI)Natural Environment Research Council (NERC)); Natural Environment Research Council(UK Research &amp; Innovation (UKRI)Natural Environment Research Council (NERC))</t>
  </si>
  <si>
    <t>I am humbled but enormously grateful to those who have taken the trouble to contribute to and edit this volume. Also, it has been a privilege to work with many students, postdoctoral researchers and colleagues on fifteen research visits to Antarctica. Research support from the UK Natural Environment Research Council, British Antarctic Survey, and the National Science Foundation Office of Polar Programs have been fundamentally important. I thank the staff of Special Collections in the University of Edinburgh's library who so kindly guided an innocent in the world of historical documents.</t>
  </si>
  <si>
    <t>10.1017/S095410201400008X</t>
  </si>
  <si>
    <t>WOS:000344736100003</t>
  </si>
  <si>
    <t>Cook, AJ; Vaughan, DG; Luckman, AJ; Murray, T</t>
  </si>
  <si>
    <t>Cook, A. J.; Vaughan, D. G.; Luckman, A. J.; Murray, T.</t>
  </si>
  <si>
    <t>A new Antarctic Peninsula glacier basin inventory and observed area changes since the 1940s</t>
  </si>
  <si>
    <t>glacier basin outlines; glacier characteristics; frontal change</t>
  </si>
  <si>
    <t>ICE-SHELF; SURFACE; CLIMATE; SHEET; ELEVATION; LARSEN</t>
  </si>
  <si>
    <t>Glaciers on the Antarctic Peninsula have recently shown changes in extent, velocity and thickness, yet there is little quantification of change in the mass balance of individual glaciers or the processes controlling changes in extent. Here a high-resolution digital elevation model and a semi-automated drainage basin delineation method have been used to define glacier systems between 63 degrees S-70 degrees S on the mainland and surrounding islands, resulting in an inventory of 1590 glacier basins. Of these, 860 are marine-terminating glaciers whose ice fronts can be defined at specific epochs since the 1940s. These ice front positions were digitized up to 2010 and the areas for all individual glacier basins were calculated. Glaciological characteristics, such as geometry, slope and altitudes, were attributed to each glacier, thus providing a new resource for glacier morphological analyses. Our results indicate that 90% of the 860 glaciers have reduced in area since the earliest recorded date. A north-south gradient of increasing ice loss is clear, as is distinct behaviour on the east and west coasts. The area lost varies considerably between glacier types, with correlations apparent with glacier shape, slope and frontal-type. Temporal trends indicate a uniform retreat since the 1970s, with a period of small re-advance in the late 1990s.</t>
  </si>
  <si>
    <t>[Cook, A. J.; Luckman, A. J.; Murray, T.] Swansea Univ, Dept Geog, Swansea SA2 8PP, W Glam, Wales; [Vaughan, D. G.] British Antarctic Survey, NERC, Cambridge CB3 0ET, England</t>
  </si>
  <si>
    <t>Swansea University; UK Research &amp; Innovation (UKRI); Natural Environment Research Council (NERC); NERC British Antarctic Survey</t>
  </si>
  <si>
    <t>Cook, AJ (corresponding author), Swansea Univ, Dept Geog, Swansea SA2 8PP, W Glam, Wales.</t>
  </si>
  <si>
    <t>577453@swansea.ac.uk</t>
  </si>
  <si>
    <t>Luckman, Adrian/GVS-1716-2022; Vaughan, David/C-8348-2011</t>
  </si>
  <si>
    <t>Murray, Tavi/0000-0001-6714-6512; Vaughan, David/0000-0002-9065-0570; Luckman, Adrian/0000-0002-9618-5905</t>
  </si>
  <si>
    <t>AXA (global investment and insurance group) Research Fund Fellowship; NERC [bas0100027] Funding Source: UKRI; Natural Environment Research Council [bas0100027] Funding Source: researchfish</t>
  </si>
  <si>
    <t>AXA (global investment and insurance group) Research Fund Fellowship; NERC(UK Research &amp; Innovation (UKRI)Natural Environment Research Council (NERC)); Natural Environment Research Council(UK Research &amp; Innovation (UKRI)Natural Environment Research Council (NERC))</t>
  </si>
  <si>
    <t>This work was largely supported through an AXA (global investment and insurance group) Research Fund Fellowship. We are grateful to Christian Kienholz at the University of Fairbanks for providing a test version of his GIS algorithm to produce the initial glacier centreline data. We would like to thank A. Hughes, E. Steig and the anonymous reviewer for their very helpful and constructive comments to improve the manuscript.</t>
  </si>
  <si>
    <t>10.1017/S0954102014000200</t>
  </si>
  <si>
    <t>WOS:000344736100004</t>
  </si>
  <si>
    <t>Luckman, A; Elvidge, A; Jansen, D; Kulessa, B; Munneke, PK; King, J; Barrand, NE</t>
  </si>
  <si>
    <t>Luckman, Adrian; Elvidge, Andrew; Jansen, Daniela; Kulessa, Bernd; Munneke, Peter Kuipers; King, John; Barrand, Nicholas E.</t>
  </si>
  <si>
    <t>Surface melt and ponding on Larsen C Ice Shelf and the impact of fohn winds</t>
  </si>
  <si>
    <t>Antarctica; Envisat ASAR; hydrofracture; ice shelf stability; melt ponds; orographic flows</t>
  </si>
  <si>
    <t>ANTARCTIC PENINSULA; SHEET; CLIMATE; COLLAPSE; TRENDS; DISINTEGRATION; TEMPERATURE; VARIABILITY; DRIVEN</t>
  </si>
  <si>
    <t>A common precursor to ice shelf disintegration, most notably that of Larsen B Ice Shelf, is unusually intense or prolonged surface melt and the presence of surface standing water. However, there has been little research into detailed patterns of melt on ice shelves or the nature of summer melt ponds. We investigated surface melt on Larsen C Ice Shelf at high resolution using Envisat advanced synthetic aperture radar (ASAR) data and explored melt ponds in a range of satellite images. The improved spatial resolution of SAR over alternative approaches revealed anomalously long melt duration in western inlets. Meteorological modelling explained this pattern by fohn winds which were common in this region. Melt ponds are difficult to detect using optical imagery because cloud-free conditions are rare in this region and ponds quickly freeze over, but can be monitored using SAR in all weather conditions. Melt ponds up to tens of kilometres in length were common in Cabinet Inlet, where melt duration was most prolonged. The pattern of melt explains the previously observed distribution of ice shelf densification, which in parts had reached levels that preceded the collapse of Larsen B Ice Shelf, suggesting a potential role for fohn winds in promoting unstable conditions on ice shelves.</t>
  </si>
  <si>
    <t>[Luckman, Adrian; Kulessa, Bernd] Swansea Univ, Dept Geog, Swansea SA2 8PP, W Glam, Wales; [Elvidge, Andrew] Univ E Anglia, Sch Environm Sci, Norwich NR4 7TJ, Norfolk, England; [Jansen, Daniela] Alfred Wegener Inst, Helmholtz Ctr Polar &amp; Marine Res, D-27568 Bremerhaven, Germany; [Munneke, Peter Kuipers] Univ Utrecht, Inst Marine &amp; Atmospher Res Utrecht, NL-3508 TC Utrecht, Netherlands; [King, John] British Antarctic Survey, NERC, Cambridge CB3 0ET, England; [Barrand, Nicholas E.] Univ Birmingham, Sch Geog Earth &amp; Environm Sci, Birmingham B15 2TT, W Midlands, England</t>
  </si>
  <si>
    <t>Swansea University; University of East Anglia; Helmholtz Association; Alfred Wegener Institute, Helmholtz Centre for Polar &amp; Marine Research; Utrecht University; UK Research &amp; Innovation (UKRI); Natural Environment Research Council (NERC); NERC British Antarctic Survey; University of Birmingham</t>
  </si>
  <si>
    <t>Luckman, A (corresponding author), Swansea Univ, Dept Geog, Swansea SA2 8PP, W Glam, Wales.</t>
  </si>
  <si>
    <t>a.luckman@swansea.ac.uk</t>
  </si>
  <si>
    <t>Luckman, Adrian/GVS-1716-2022; Jansen, Daniela/AAG-2773-2019</t>
  </si>
  <si>
    <t>Barrand, Nicholas/0000-0003-4428-1863; Kulessa, Bernd/0000-0002-4830-4949; Elvidge, Andrew/0000-0002-7099-902X; Jansen, Daniela/0000-0002-4412-5820; Luckman, Adrian/0000-0002-9618-5905; Kuipers Munneke, Peter/0000-0001-5555-3831</t>
  </si>
  <si>
    <t>NERC [NE/E012914/1, NE/I016678/1, NE/G014124/1]; Natural Environment Research Council [NE/E012914/1, NE/I016678/1, nceo020007, NE/G014124/1, NE/E013414/1] Funding Source: researchfish; NERC [nceo020007, NE/E013414/1, NE/G014124/1, NE/I016678/1, NE/E012914/1]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</si>
  <si>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</si>
  <si>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Envisat SAR data was kindly provided by the European Space Agency (ESA Project AOCRY-2676) and collected in part by the Natural Environment Research Council (NERC) Earth Observation Data Acquisition and Analysis Service (NEODAAS). This work was carried out within the Climate Change Consortium of Wales (C3W), in conjunction with NERC grants NE/E012914/1 and NE/I016678/1 which also supported DJ. AE and JK were supported under NERC grant NE/G014124/1. The authors would like to thank the reviewers for their valuable comments.</t>
  </si>
  <si>
    <t>10.1017/S0954102014000339</t>
  </si>
  <si>
    <t>WOS:000344736100005</t>
  </si>
  <si>
    <t>Holt, TO; Glasser, NF; Fricker, HA; Padman, L; Luckman, A; King, O; Quincey, DJ; Siegfried, MR</t>
  </si>
  <si>
    <t>Holt, T. O.; Glasser, N. F.; Fricker, H. A.; Padman, L.; Luckman, A.; King, O.; Quincey, D. J.; Siegfried, M. R.</t>
  </si>
  <si>
    <t>The structural and dynamic responses of Stange Ice Shelf to recent environmental change</t>
  </si>
  <si>
    <t>Antarctic Peninsula; Landsat; radar altimetry; remote sensing; Synthetic Aperture Radar</t>
  </si>
  <si>
    <t>ANTARCTIC PENINSULA; GEORGE VI; BREAK-UP; DISINTEGRATION; COLLAPSE; TEMPERATURE; VARIABILITY; STABILITY; RETREAT; SHEET</t>
  </si>
  <si>
    <t>Stange Ice Shelf is the most south-westerly ice shelf on the Antarctic Peninsula, a region where positive trends in atmospheric and oceanic temperatures have been recently documented. In this paper, we use a range of remotely sensed datasets to evaluate the structural and dynamic responses of Stange Ice Shelf to these environmental changes. Ice shelf extent and surface structures were examined at regular intervals from optical and radar satellite imagery between 1973 and 2011. Surface speeds were estimated in 1989, 2004 and 2010 by tracking surface features in successive satellite images. Surface elevation change was estimated using radar altimetry data acquired between 1992 and 2008 by the European Remote Sensing Satellite (ERS) -1, -2 and Envisat. The mean number of surface melt days was estimated using the intensity of backscatter from Envisat's Advanced Synthetic Aperture Radar instrument between 2006 and 2012. These results show significant shear fracturing in the southern portion of the ice shelf linked to enhanced flow speed as a consequence of measured thinning. However, we conclude that, despite the observed changes, Stange Ice Shelf is currently stable.</t>
  </si>
  <si>
    <t>[Holt, T. O.; Glasser, N. F.] Aberystwyth Univ, Ctr Glaciol, Dept Geog &amp; Earth Sci, Aberystwyth SY23 3DB, Dyfed, Wales; [Fricker, H. A.; Siegfried, M. R.] Univ Calif San Diego, Scripps Inst Oceanog, La Jolla, CA 92093 USA; [Luckman, A.] Swansea Univ, Dept Geog, Swansea SA2 8PP, W Glam, Wales; [King, O.] British Antarctic Survey, NERC, Cambridge CB3 0ET, England; [Quincey, D. J.] Univ Leeds, Sch Geog, Leeds LS2 9JT, W Yorkshire, England</t>
  </si>
  <si>
    <t>Aberystwyth University; University of California System; University of California San Diego; Scripps Institution of Oceanography; Swansea University; UK Research &amp; Innovation (UKRI); Natural Environment Research Council (NERC); NERC British Antarctic Survey; University of Leeds</t>
  </si>
  <si>
    <t>Holt, TO (corresponding author), Aberystwyth Univ, Ctr Glaciol, Dept Geog &amp; Earth Sci, Aberystwyth SY23 3DB, Dyfed, Wales.</t>
  </si>
  <si>
    <t>toh08@aber.ac.uk</t>
  </si>
  <si>
    <t>Padman, Laurence/AAH-3808-2021; Luckman, Adrian/GVS-1716-2022</t>
  </si>
  <si>
    <t>Luckman, Adrian/0000-0002-9618-5905; Glasser, Neil/0000-0002-8245-2670; Quincey, Duncan/0000-0002-7602-7926; Padman, Laurence/0000-0003-2010-642X; Holt, Tom/0000-0001-8361-0688; Fricker, Helen Amanda/0000-0002-0921-1432</t>
  </si>
  <si>
    <t>NASA [NNX10AG19G, NNX13AP60G]; Natural Environment Research Council [bas0100026] Funding Source: researchfish; NASA [134135, NNX10AG19G, NNX13AP60G, 466837] Funding Source: Federal RePORTER; NERC [bas0100026] Funding Source: UKRI</t>
  </si>
  <si>
    <t>NASA(National Aeronautics &amp; Space Administration (NASA)); Natural Environment Research Council(UK Research &amp; Innovation (UKRI)Natural Environment Research Council (NERC)); NASA(National Aeronautics &amp; Space Administration (NASA)); NERC(UK Research &amp; Innovation (UKRI)Natural Environment Research Council (NERC))</t>
  </si>
  <si>
    <t>We thank Jay Zwally's Ice Altimetry group at the NASA Goddard Space Flight Center for processing, archiving and distributing their RA datasets for all satellite radar altimeter missions (see http://icesat4.gsfc.nasa.gov). HAF and LP were supported by two awards from NASA (NNX10AG19G and NNX13AP60G). The authors thank the editors and the two anonymous reviewers for their comments that greatly improved the manuscript.</t>
  </si>
  <si>
    <t>10.1017/S095410201400039X</t>
  </si>
  <si>
    <t>WOS:000344736100007</t>
  </si>
  <si>
    <t>Jamieson, SSR; Stokes, CR; Ross, N; Rippin, DM; Bingham, RG; Wilson, DS; Margold, M; Bentley, MJ</t>
  </si>
  <si>
    <t>Jamieson, Stewart S. R.; Stokes, Chris R.; Ross, Neil; Rippin, David M.; Bingham, Robert G.; Wilson, Douglas S.; Margold, Martin; Bentley, Michael J.</t>
  </si>
  <si>
    <t>The glacial geomorphology of the Antarctic ice sheet bed</t>
  </si>
  <si>
    <t>Antarctica; Cenozoic; glacial erosion; ice sheet history; landscape evolution; morphometry</t>
  </si>
  <si>
    <t>DRONNING-MAUD LAND; FISSION-TRACK THERMOCHRONOLOGY; CENOZOIC LANDSCAPE EVOLUTION; NORTHERN VICTORIA LAND; PINE ISLAND GLACIER; TRANSANTARCTIC-MOUNTAINS; SUBGLACIAL TOPOGRAPHY; EAST ANTARCTICA; EROSION; DYNAMICS</t>
  </si>
  <si>
    <t>In 1976, David Sugden and Brian John developed a classification for Antarctic landscapes of glacial erosion based upon exposed and eroded coastal topography, providing insight into the past glacial dynamics of the Antarctic ice sheets. We extend this classification to cover the continental interior of Antarctica by analysing the hypsometry of the subglacial landscape using a recently released dataset of bed topography (BEDMAP2). We used the existing classification as a basis for first developing a low-resolution description of landscape evolution under the ice sheet before building a more detailed classification of patterns of glacial erosion. Our key finding is that a more widespread distribution of ancient, preserved alpine landscapes may survive beneath the Antarctic ice sheets than has been previously recognized. Furthermore, the findings suggest that landscapes of selective erosion exist further inland than might be expected, and may reflect the presence of thinner, less extensive ice in the past. Much of the selective nature of erosion may be controlled by pre-glacial topography, and especially by the large-scale tectonic structure and fluvial valley network. The hypotheses of landscape evolution presented here can be tested by future surveys of the Antarctic ice sheet bed.</t>
  </si>
  <si>
    <t>[Jamieson, Stewart S. R.; Stokes, Chris R.; Margold, Martin; Bentley, Michael J.] Univ Durham, Dept Geog, Durham DH1 3LE, England; [Ross, Neil] Newcastle Univ, Dept Geog, Newcastle Upon Tyne NE1 7RU, Tyne &amp; Wear, England; [Rippin, David M.] Univ York, Dept Environm, York YO10 5DD, N Yorkshire, England; [Bingham, Robert G.] Univ Edinburgh, Sch Geosci, Edinburgh EH8 9XP, Midlothian, Scotland; [Wilson, Douglas S.] Univ Calif Santa Barbara, Dept Earth Sci, Santa Barbara, CA 93106 USA; [Wilson, Douglas S.] Univ Calif Santa Barbara, Inst Marine Sci, Santa Barbara, CA 93106 USA</t>
  </si>
  <si>
    <t>Durham University; Newcastle University - UK; University of York - UK; University of Edinburgh; University of California System; University of California Santa Barbara; University of California System; University of California Santa Barbara</t>
  </si>
  <si>
    <t>Jamieson, SSR (corresponding author), Univ Durham, Dept Geog, S Rd, Durham DH1 3LE, England.</t>
  </si>
  <si>
    <t>stewart.jamieson@durham.ac.uk</t>
  </si>
  <si>
    <t>Bentley, Michael J/F-7386-2011; Rippin, David Manish/AAW-5063-2021; Jamieson, Stewart S.R./B-8330-2013; Bingham, Robert G/G-3576-2017; Margold, Martin/V-4634-2018; Stokes, Chris/A-1957-2011</t>
  </si>
  <si>
    <t>Bentley, Michael J/0000-0002-2048-0019; Rippin, David Manish/0000-0001-7757-9880; Jamieson, Stewart S.R./0000-0002-9036-2317; Bingham, Robert G/0000-0002-0630-2021; Margold, Martin/0000-0001-5834-850X; Stokes, Chris/0000-0003-3355-1573</t>
  </si>
  <si>
    <t>Natural Environmental Research Council (NERC) UK [NE/J018333/1]; NERC [NE/F014260/1, NE/K003674/1, NE/J005665/2, NE/J018333/1] Funding Source: UKRI; Natural Environment Research Council [NE/K003674/1, NE/F014260/1, NE/J018333/1, NE/J005665/2] Funding Source: researchfish</t>
  </si>
  <si>
    <t>Natural Environmental Research Council (NERC) UK(UK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</si>
  <si>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a Natural Environmental Research Council (NERC) UK Fellowship grant NE/J018333/1 awarded to Jamieson and a Philip Leverhulme Prize awarded to Stokes. We thank Martin Siegert and an anonymous reviewer whose thoughtful suggestions encouraged us to 'boost' the manuscript in a few key areas.</t>
  </si>
  <si>
    <t>10.1017/S0954102014000212</t>
  </si>
  <si>
    <t>Green Published, Green Accepted, hybrid</t>
  </si>
  <si>
    <t>WOS:000344736100013</t>
  </si>
  <si>
    <t>Pritchard, HD</t>
  </si>
  <si>
    <t>Pritchard, Hamish D.</t>
  </si>
  <si>
    <t>Bedgap: where next for Antarctic subglacial mapping?</t>
  </si>
  <si>
    <t>geology; glaciology; hydrology; oceanography; topography</t>
  </si>
  <si>
    <t>GROUNDING LINE; ICE FLOW; BENEATH; DRIVEN; ISLAND</t>
  </si>
  <si>
    <t>The recently published Bedmap2 datasets mark the culmination of several decades of subice and subocean Antarctic topographic surveying by many nations, but maps of the topographic data distribution show that in the global context, the Antarctic bed remains very poorly sampled. Most of the remaining large unmapped areas on Earth lie under Antarctic ice and polar surveying continues to be difficult and expensive, thus it is important to identify where future efforts should be concentrated. A survey of 75 experts in various aspects of polar science shows that a lack of adequate topographic data is an important constraint in several themes, but the data gaps and the data needs do not tend to coincide. There is strong demand for higher resolution surveying in previously visited areas, particularly in the most dynamic and most rapidly changing regions as identified by glaciologists, oceanographers, hydrologists, biologists and geomorphologists, while geologists and ice core scientists focus on the most important areas for understanding Antarctica over deeper time. The data requirements identified here could be addressed for most areas given sufficient time and funding, but the technology needed to survey the interiors of the large ice shelf cavities has only just been developed.</t>
  </si>
  <si>
    <t>British Antarctic Survey, NERC, Cambridge CB3 0ET, England</t>
  </si>
  <si>
    <t>Pritchard, HD (corresponding author), British Antarctic Survey, NERC, High Cross,Madingley Rd, Cambridge CB3 0ET, England.</t>
  </si>
  <si>
    <t>hprit@bas.ac.uk</t>
  </si>
  <si>
    <t>Pritchard, Hamish Daniel/AAU-4696-2021</t>
  </si>
  <si>
    <t>NERC [bas0100027] Funding Source: UKRI; Natural Environment Research Council [bas0100027] Funding Source: researchfish</t>
  </si>
  <si>
    <t>10.1017/S095410201400025X</t>
  </si>
  <si>
    <t>WOS:000344736100014</t>
  </si>
  <si>
    <t>Ashmore, DW; Bingham, RG</t>
  </si>
  <si>
    <t>Ashmore, David W.; Bingham, Robert G.</t>
  </si>
  <si>
    <t>Antarctic subglacial hydrology: current knowledge and future challenges</t>
  </si>
  <si>
    <t>Antarctic ice sheet; geophysics; glaciology; ice penetrating radar; radio-echo sounding; subglacial lakes</t>
  </si>
  <si>
    <t>KAMB ICE STREAM; ACTIVE RESERVOIR BENEATH; HAUT GLACIER DAROLLA; PINE ISLAND GLACIER; RADAR-SOUNDING DATA; WEST ANTARCTICA; DRAINAGE SYSTEM; BASAL CONDITIONS; EAST ANTARCTICA; LAKE VOSTOK</t>
  </si>
  <si>
    <t>Flood-carved landforms across the deglaciated terrain of Victoria Land, East Antarctica, provide convincing geomorphological evidence for the existence of subglacial drainage networks beneath the Antarctic ice sheet, and motivate research into the inaccessible environment beneath the contemporary ice sheet. Through this research, our understanding of Antarctic subglacial hydrology is steadily building, and this paper presents an overview of the current state of knowledge. The conceptualization of subglacial hydrological behaviour was developed at temperate and Arctic glaciers, and is thus less mature in the Antarctic. Geophysical and remote sensing observations have demonstrated that many subglacial lakes form part of a highly dynamic network of subglacial drainage beneath the Antarctic ice sheet. Recent research into subglacial water flows, other than those directly concerned with lakes, has discovered potentially significant impacts on ice stream dynamics, ice sheet mass balance, and supplies of water to the ocean potentially affecting circulation and nutrient productivity. Despite considerable advances in understanding there remain a number of grand challenges that must be overcome in order to improve our knowledge of these subglacial hydrological processes.</t>
  </si>
  <si>
    <t>[Ashmore, David W.] Univ Aberdeen, Sch Geosci, Aberdeen AB24 3UF, Scotland; [Bingham, Robert G.] Univ Edinburgh, Sch Geosci, Edinburgh EH8 9XP, Midlothian, Scotland</t>
  </si>
  <si>
    <t>University of Aberdeen; University of Edinburgh</t>
  </si>
  <si>
    <t>Bingham, RG (corresponding author), Univ Edinburgh, Sch Geosci, Drummond St, Edinburgh EH8 9XP, Midlothian, Scotland.</t>
  </si>
  <si>
    <t>r.bingham@ed.ac.uk</t>
  </si>
  <si>
    <t>; Bingham, Robert G/G-3576-2017</t>
  </si>
  <si>
    <t>Ashmore, David/0000-0003-4829-7854; Bingham, Robert G/0000-0002-0630-2021</t>
  </si>
  <si>
    <t>University of Aberdeen College of Physical Sciences; Scottish Alliance for Geoscience, Environment and Society; Royal Astronomical Society</t>
  </si>
  <si>
    <t>DWA and RGB wish to thank the University of Aberdeen College of Physical Sciences, the Scottish Alliance for Geoscience, Environment and Society, and the Royal Astronomical Society for financial support towards the production of this paper. We also thank David Rippin, an anonymous reviewer, and the scientific editor Andrew Mackintosh for thorough reviews that benefitted the final manuscript.</t>
  </si>
  <si>
    <t>10.1017/S0954102014000546</t>
  </si>
  <si>
    <t>WOS:000344736100015</t>
  </si>
  <si>
    <t>Head, JW; Marchant, DR</t>
  </si>
  <si>
    <t>Head, James W.; Marchant, David R.</t>
  </si>
  <si>
    <t>The climate history of early Mars: insights from the Antarctic McMurdo Dry Valleys hydrologic system</t>
  </si>
  <si>
    <t>cryosphere; hyperarid; hypothermal; Noachian; permafrost</t>
  </si>
  <si>
    <t>SOUTHERN VICTORIA LAND; POLAR ICE-SHEET; TAYLOR VALLEY; BEACON VALLEY; GLACIER ICE; MELTWATER; WATER; LAKES; OBLIQUITY; EVOLUTION</t>
  </si>
  <si>
    <t>The early climate of Mars (Noachian Period, the first similar to 20% of its history) is thought to differ significantly from that of its more recent history (Amazonian Period, the last similar to 66%) which is characterized by hyperarid, hypothermal conditions that result in mean annual air temperatures (MAAT) well below 0 degrees C, a global cryosphere, minimal melting on the ground surface, and a horizontally stratified hydrologic system. We explore the nature of the fluvial and lacustrine environments in the Mars-like hyperarid, hypothermal McMurdo Dry Valleys (MDV), where the MAAT is well below 0 degrees C (similar to-14 to -30 degrees C) in order to assess whether the Late Noachian geologic record can be explained by a climate characterized by cold and icy conditions. We find that the MDV hydrological system and cycle provide important insights into the potential configuration of a cold and icy early Mars climate in which MDV-like ephemeral streams and rivers, and both closed-basin and open-basin lakes could form. We review a series of MDV fluvial and lacustrine features to guide investigators in the analysis of the geomorphology of early Mars and we outline a new model for the nature and evolution of a cold and icy Late Noachian climate based on these observations. We conclude that a cold and icy Late Noachian Mars with MAAT below freezing, but peak seasonal and peak daily temperatures above 0 degrees C, could plausibly account for the array of Noachian-aged fluvial and lacustrine features observed on Mars. Our assessment also provides insight into the potential effects of punctuated warming on a cold and icy early Mars, in which impact crater formation or massive volcanic eruptions cause temperatures in the melting range for decadal to centennial timescales. We outline a set of outstanding questions and tests concerning the nature and evolution of these features on Mars.</t>
  </si>
  <si>
    <t>[Head, James W.] Brown Univ, Dept Earth Environm &amp; Planetary Sci, Providence, RI 02912 USA; [Marchant, David R.] Boston Univ, Dept Earth &amp; Environm, Boston, MA 02215 USA</t>
  </si>
  <si>
    <t>Brown University; Boston University</t>
  </si>
  <si>
    <t>Head, JW (corresponding author), Brown Univ, Dept Earth Environm &amp; Planetary Sci, Providence, RI 02912 USA.</t>
  </si>
  <si>
    <t>James_head@brown.edu</t>
  </si>
  <si>
    <t>National Science Foundation, Office of Polar Programs [PLR-0944702]; National Aeronautics and Space Administration (NASA) [NNX11AI81G]; [ANT-0739702]</t>
  </si>
  <si>
    <t>National Science Foundation, Office of Polar Programs(National Science Foundation (NSF)); National Aeronautics and Space Administration (NASA)(National Aeronautics &amp; Space Administration (NASA));</t>
  </si>
  <si>
    <t>We gratefully acknowledge financial support from the National Science Foundation, Office of Polar Programs, Grant PLR-0944702 (Quantifying Surface Processes above Buried Ice in Antarctica: Implications for Terrestrial Climate Change and Glaciation on Mars), D.R. Marchant, and Grant ANT-0739702 (Orbital Spectral Mapping of Surface Compositions in the Antarctic Dry Valleys: Regional Distributions of Secondary Mineral-Phases as Climate Indicators), J.W. Head. Logistical support for this project in Antarctica was provided by the US National Science Foundation through the US Antarctic Program. We thank the National Aeronautics and Space Administration (NASA) for financial assistance to support this work through a Mars Data Analysis Program Grant (NNX11AI81G) to J.W. Head. Thanks are extended to James Dickson, Joseph Levy, Doug Kowalewski, and Kate Swanger for their assistance in the field and for extensive and fruitful science discussions and contributions. We thank Anne Cote for her dedicated help in figure and manuscript preparation. The authors would also like to thank the reviewers for their valuable comments.</t>
  </si>
  <si>
    <t>10.1017/S0954102014000686</t>
  </si>
  <si>
    <t>WOS:000344736100016</t>
  </si>
  <si>
    <t>Lee, SB; Ahn, JB</t>
  </si>
  <si>
    <t>Lee, Su-Bong; Ahn, Joong-Bae</t>
  </si>
  <si>
    <t>Sensitivity Study of Simulated Sea-Ice Concentrationand Thickness Using a Global Sea-Ice Model (CICE)</t>
  </si>
  <si>
    <t>ATMOSPHERE-KOREA</t>
  </si>
  <si>
    <t>Korean</t>
  </si>
  <si>
    <t>CICE; sea ice modeling; sensitivity test</t>
  </si>
  <si>
    <t>The impacts of dynamic and thermodynamic schemes used in the Community Ice CodE (CICE), the Los Alamos sea ice model, on sea ice concentration, extent and thickness over the Arctic and Antarctic regions are evaluated. Using the six dynamic and thermodynamic schemes such as sea ice strength scheme, conductivity scheme, albedo type, advection scheme, shortwave radiation method, and sea ice thickness distribution approximation, the sensitivity experiments are conducted. It is compared with a control experiment, which is based on the fixed atmospheric and oceanic forcing. For sea ice concentration and extent, it is found that there are remarkable differences between each sensitivity experiment and the control run over the Arctic and Antarctic especially in summer. In contrast, there are little seasonal variations between the experiments for sea ice thickness. In summer, the change of the albedo type has the biggest influence on the Arctic sea ice concentration, and the Antarctic sea ice concentration has a greater sensitivity to not only the albedo type but also advection scheme. The Arctic sea ice thickness is significantly affected by the albedo type and shortwave radiation method, while the Antarctic sea ice thickness is more sensitive to sea ice strength scheme and advection scheme.</t>
  </si>
  <si>
    <t>[Lee, Su-Bong; Ahn, Joong-Bae] Pusan Natl Univ, Div Earth Environm Syst, Busandaehak Ro 63beon Gil, Busan, South Korea</t>
  </si>
  <si>
    <t>Pusan National University</t>
  </si>
  <si>
    <t>Ahn, JB (corresponding author), Pusan Natl Univ, Div Earth Environm Syst, Busandaehak Ro 63beon Gil, Busan, South Korea.</t>
  </si>
  <si>
    <t>jbahn@pusan.ac.kr</t>
  </si>
  <si>
    <t>KOREAN METEOROLOGICAL SOC</t>
  </si>
  <si>
    <t>SHINKIL-DONG 508, SIWON BLDG 704, YONGDUNGPO-GU, SEOUL, 150-050, SOUTH KOREA</t>
  </si>
  <si>
    <t>1598-3560</t>
  </si>
  <si>
    <t>2288-3266</t>
  </si>
  <si>
    <t>ATMOS-KOREA</t>
  </si>
  <si>
    <t>Atmos.-Korea</t>
  </si>
  <si>
    <t>10.14191/Atmos.2014.24.4.555</t>
  </si>
  <si>
    <t>V9W1Q</t>
  </si>
  <si>
    <t>WOS:000422578900010</t>
  </si>
  <si>
    <t>Choi, JI; Yoon, M; Joe, M; Park, H; Lee, SG; Han, SJ; Lee, PC</t>
  </si>
  <si>
    <t>Choi, Jong-il; Yoon, Minchul; Joe, Minho; Park, Hyun; Lee, Sung Gu; Han, Se Jong; Lee, Pyung Cheon</t>
  </si>
  <si>
    <t>Development of microalga Scenedesmus dimorphus mutant with higher lipid content by radiation breeding</t>
  </si>
  <si>
    <t>BIOPROCESS AND BIOSYSTEMS ENGINEERING</t>
  </si>
  <si>
    <t>Scenedesmus dimorphus; Radiation breeding; Lipid content; 2-Dimensional electrophoresis</t>
  </si>
  <si>
    <t>BIOFUEL PRODUCTION; FATTY-ACID; BIOTECHNOLOGY; PURIFICATION; EXTRACTION; CROPS; RAPD</t>
  </si>
  <si>
    <t>In this study, a high lipid-accumulating mutant strain of the microalgae Scenedesmus dimorphus was developed via radiation breeding. To induce mutant strain, S. dimorphus was gamma-irradiated at doses from 100 to 800 Gy, and then a mutant (Sd-Pm210) with 25 % increased lipid content was selected using Nile red staining methodology. Sd-Pm210 showed morphological changes and had higher growth rate compared to the wild type. From random amplified polymorphic DNA analysis, partial genetic modifications were also observed in Sd-Pm210. In comparisons of lipid content between wild type and Sd-Pm210 using thin-layer chromatography, the content of triacylglycerol was markedly higher in the Sd-Pm210 strain. The total peak area of fatty acid methyl ester was shown to have about 1.4-fold increase in Sd-Pm210, and major fatty acids were identified as palmitic acid, oleic acid, linoleic acid, and linolenic acid. To define the metabolic changes in the mutant strain, 2-dimensional electrophoresis was conducted. Several proteins related to lipid synthesis and energy metabolisms were overexpressed in the mutant strain. These results showed that radiation breeding can be utilized for the development of efficient microalgae strains for biofuel production.</t>
  </si>
  <si>
    <t>[Choi, Jong-il] Chonnam Natl Univ, Dept Biotechnol &amp; Bioengn, Kwangju 500757, South Korea; [Yoon, Minchul; Joe, Minho] Korea Atom Energy Res Inst, Adv Radiat Technol Inst, Jeongeup 580185, South Korea; [Park, Hyun; Lee, Sung Gu; Han, Se Jong] Korea Polar Res Inst, Div Life Sci, Inchon 406840, South Korea; [Park, Hyun; Lee, Sung Gu; Han, Se Jong] Korea Univ Sci &amp; Technol, Dept Polar Sci, Inchon 406840, South Korea; [Lee, Pyung Cheon] Ajou Univ, Dept Mol Sci &amp; Technol, Suwon 441749, South Korea; [Lee, Pyung Cheon] Ajou Univ, Dept Appl Chem &amp; Biol Engn, Suwon 441749, South Korea</t>
  </si>
  <si>
    <t>Chonnam National University; Korea Atomic Energy Research Institute (KAERI); Korea Polar Research Institute (KOPRI); Korea Institute of Ocean Science &amp; Technology (KIOST); Ajou University; Ajou University</t>
  </si>
  <si>
    <t>Lee, Pyung Cheon/AAR-1021-2021; Choi, Jong-Il/P-7476-2018</t>
  </si>
  <si>
    <t>Lee, Pyung Cheon/0000-0003-2014-6587; Park, Hyun/0000-0002-8055-2010; HAN, Se Jong/0000-0001-9576-2179</t>
  </si>
  <si>
    <t>Golden Seed Project, Ministry of Agriculture, Food and Rural Affairs(MAFRA); Ministry of Oceans and Fisheries(MOF); Rural Development Administration(RDA); Korea Forest Service(KFS); Chonnam National University; Antarctic organisms: Cold-Adaptation Mechanisms and application grant - Korea Polar Research Institute [PE14070]</t>
  </si>
  <si>
    <t>Golden Seed Project, Ministry of Agriculture, Food and Rural Affairs(MAFRA); Ministry of Oceans and Fisheries(MOF); Rural Development Administration(RDA)(Rural Development Administration (RDA), Republic of Korea); Korea Forest Service(KFS); Chonnam National University; Antarctic organisms: Cold-Adaptation Mechanisms and application grant - Korea Polar Research Institute</t>
  </si>
  <si>
    <t>This research was supported by Golden Seed Project, Ministry of Agriculture, Food and Rural Affairs(MAFRA), Ministry of Oceans and Fisheries(MOF), Rural Development Administration(RDA), and Korea Forest Service(KFS), by the research supporting program by Chonnam National University 2013, and by the Antarctic organisms: Cold-Adaptation Mechanisms and its application grant (PE14070) funded by the Korea Polar Research Institute.</t>
  </si>
  <si>
    <t>1615-7591</t>
  </si>
  <si>
    <t>1615-7605</t>
  </si>
  <si>
    <t>BIOPROC BIOSYST ENG</t>
  </si>
  <si>
    <t>Bioprocess. Biosyst. Eng.</t>
  </si>
  <si>
    <t>10.1007/s00449-014-1220-7</t>
  </si>
  <si>
    <t>Biotechnology &amp; Applied Microbiology; Engineering, Chemical</t>
  </si>
  <si>
    <t>Biotechnology &amp; Applied Microbiology; Engineering</t>
  </si>
  <si>
    <t>AT2NU</t>
  </si>
  <si>
    <t>WOS:000344772200006</t>
  </si>
  <si>
    <t>Fraiman, R; Justel, A; Liu, R; Llop, P</t>
  </si>
  <si>
    <t>Fraiman, Ricardo; Justel, Ana; Liu, Regina; Llop, Pamela</t>
  </si>
  <si>
    <t>Detecting trends in time series of functional data: A study of Antarctic climate change</t>
  </si>
  <si>
    <t>CANADIAN JOURNAL OF STATISTICS-REVUE CANADIENNE DE STATISTIQUE</t>
  </si>
  <si>
    <t>Antarctica; Functional data; global warming; nonparametric test for functional data; trends in functional data; trends in time series</t>
  </si>
  <si>
    <t>PENINSULA; SURFACE</t>
  </si>
  <si>
    <t>The Spanish Antarctic Station Juan Carlos I has been registering surface air temperatures with the frequency of one reading per 10min since the austral summer 1987-1988. Although this data set contains valuable information about the climate patterns in and around Antarctica, it has not been utilized in any existing climate studies thus far because of the concern of its substantial missing data caused by the difficulty in collecting data in the extreme winter weather conditions there. Such data sets do not fit the standard setting covered by the existing times series techniques. However, by treating the temperature readings for each summer as a function, the temperature data can be viewed as a time series of functional data. We introduce new notions of increasing trends for general time series of functional data based on the so-called record functions, and also develop useful nonparametric tests for such trends. Following our analysis, the data collected from Juan Carlos I Station exhibit an increasing trend in the Antarctic temperature. The Canadian Journal of Statistics 42: 597-609; 2014 (c) 2014 Statistical Society of Canada Resume La station espagnole Juan Carlos I enregistre la temperature de l'air en surface a raison d'une lecture toutes les dix minutes depuis l'ete austral 1987-1988. Malgre la pertinence de l'information contenue dans ce jeu de donnees pour comprendre les regimes climatiques dans la region de l'Antarctique, aucune etude portant sur le climat n'a encore utilise ces donnees a cause du nombre substantiel de valeurs manquantes en raison de la difficulte a prendre des mesures dans ces conditions climatiques hivernales extremes. Les techniques existantes pour l'analyse de series chronologiques ne peuvent accommoder de telles donnees. Cependant, il est possible de les considerer comme des series chronologiques de donnees fonctionnelles en traitant les mesures de temperature de chaque ete comme des fonctions. Les auteurs presentent la notion de tendances croissantes pour les series chronologiques de donnees fonctionnelles basees sur les fonctions de records. Ils developpent egalement des tests non parametriques pour de telles tendances. Selon leur analyse, les donnees enregistrees a la station Juan Carlos I revelent que la temperature en Antarctique montre une tendance croissante. La revue canadienne de statistique xx: 1-13; 2014 (c) 2014 Societe statistique du Canada</t>
  </si>
  <si>
    <t>[Fraiman, Ricardo] Univ Republica, Fac Ciencias, Ctr Matemat, Montevideo, Uruguay; [Justel, Ana] Univ Autonoma Madrid, Dept Matemat, Madrid, Spain; [Liu, Regina] Rutgers State Univ, Dept Stat, New Brunswick, NJ 08903 USA; [Llop, Pamela] UNL, Fac Ingn Quim, Santa Fe, Argentina; [Llop, Pamela] UNL, CONICET, Inst Matemat Aplicada Litoral, Santa Fe, Argentina</t>
  </si>
  <si>
    <t>Universidad de la Republica, Uruguay; Autonomous University of Madrid; Rutgers University System; Rutgers University New Brunswick; National University of the Littoral; Consejo Nacional de Investigaciones Cientificas y Tecnicas (CONICET); National University of the Littoral</t>
  </si>
  <si>
    <t>Llop, P (corresponding author), UNL, Fac Ingn Quim, Santa Fe, Argentina.</t>
  </si>
  <si>
    <t>pllop@santafe-conicet.gov.ar</t>
  </si>
  <si>
    <t>Justel, Ana/A-3955-2010; Fraiman, Ricardo/AFH-1190-2022</t>
  </si>
  <si>
    <t>Justel, Ana/0000-0003-3335-0579; Fraiman, Ricardo/0000-0002-0468-4767</t>
  </si>
  <si>
    <t>Ministerio de Ciencia e Innovacion (Spain) [MTM2007-66632]; Ministerio de Economia e Innovacion (Spain) [CTM2011-28736/ANT]; National Science Foundation [1007683]; Division Of Mathematical Sciences; Direct For Mathematical &amp; Physical Scien [1007683] Funding Source: National Science Foundation</t>
  </si>
  <si>
    <t>Ministerio de Ciencia e Innovacion (Spain)(Spanish Government); Ministerio de Economia e Innovacion (Spain)(Spanish Government); National Science Foundation(National Science Foundation (NSF)); Division Of Mathematical Sciences; Direct For Mathematical &amp; Physical Scien(National Science Foundation (NSF)NSF - Directorate for Mathematical &amp; Physical Sciences (MPS))</t>
  </si>
  <si>
    <t>The authors would like to thank Manuel Banon of the Agencia Espanola de Meteorologia for sharing the Juan Carlos I Station data and his expert knowledge of Antarctica meteorology. Ricardo Fraiman is supported by the Ministerio de Ciencia e Innovacion (Spain), grant MTM2007-66632. Ana Justel is supported by Ministerio de Economia e Innovacion (Spain), grant CTM2011-28736/ANT. Regina Liu is supported by the National Science Foundation, grant DMS #1007683.</t>
  </si>
  <si>
    <t>0319-5724</t>
  </si>
  <si>
    <t>1708-945X</t>
  </si>
  <si>
    <t>CAN J STAT</t>
  </si>
  <si>
    <t>Can. J. Stat.-Rev. Can. Stat.</t>
  </si>
  <si>
    <t>10.1002/cjs.11231</t>
  </si>
  <si>
    <t>Statistics &amp; Probability</t>
  </si>
  <si>
    <t>AT2ZU</t>
  </si>
  <si>
    <t>WOS:000344804400006</t>
  </si>
  <si>
    <t>Crutzen, PJ; Waclawek, S</t>
  </si>
  <si>
    <t>Crutzen, Paul J.; Waclawek, Stanislaw</t>
  </si>
  <si>
    <t>ATMOSPHERIC CHEMISTRY AND CLIMATE IN THE ANTHROPOCENE</t>
  </si>
  <si>
    <t>CHEMISTRY-DIDACTICS-ECOLOGY-METROLOGY</t>
  </si>
  <si>
    <t>greenhouse gases; greenhouse effect; climate changes; ozone hole; Anthropocene</t>
  </si>
  <si>
    <t>HUMANS; CARBON</t>
  </si>
  <si>
    <t>Humankind actions are exerting increasing effect on the environment on all scales, in a lot of ways overcoming natural processes. During the last 100 years human population went up from little more than one to six billion and economic activity increased nearly ten times between 1950 and the present time. In the last few decades of the twentieth century, anthropogenic chlorofluorocarbon release have led to a dramatic decrease in levels of stratospheric ozone, creating ozone hole over the Antarctic, as a result UV-B radiation from the sun increased, leading for example to enhanced risk of skin cancer. Releasing more of a greenhouse gases by mankind, such as CO2, CH4, NOx to the atmosphere increases the greenhouse effect. Even if emission increase has held back, atmospheric greenhouse gas concentrations would continue to raise and remain high for hundreds of years, thus warming Earth's climate. Warming temperatures contribute to sea level growth by melting mountain glaciers and ice caps, because of these portions of the Greenland and Antarctic ice sheets melt or flow into the ocean. Ice loss from the Greenland and Antarctic ice sheets could contribute an additional 19-58 centimeters of sea level rise, hinge on how the ice sheets react. Taking into account these and many other major and still growing footprints of human activities on earth and atmosphere without any doubt we can conclude that we are living in new geological epoch named by P. Crutzen and E. Stoermer in 2000 - Anthropocene. For the benefit of our children and their future, we must do more to struggle climate changes that have had occurred gradually over the last century.</t>
  </si>
  <si>
    <t>[Crutzen, Paul J.] Max Planck Inst Chem, Mainz, Germany; [Waclawek, Stanislaw] Tech Univ Liberec, Liberec, Czech Republic</t>
  </si>
  <si>
    <t>Max Planck Society; Technical University Liberec</t>
  </si>
  <si>
    <t>Crutzen, PJ (corresponding author), Max Planck Inst Chem, Mainz, Germany.</t>
  </si>
  <si>
    <t>paul.crutzen@mpic.de</t>
  </si>
  <si>
    <t>Wacławek, Stanisław/K-2323-2016; Crutzen, Paul J/F-6044-2012</t>
  </si>
  <si>
    <t>Wacławek, Stanisław/0000-0002-8430-8269;</t>
  </si>
  <si>
    <t>SCIENDO</t>
  </si>
  <si>
    <t>WARSAW</t>
  </si>
  <si>
    <t>BOGUMILA ZUGA 32A, WARSAW, MAZOVIA, POLAND</t>
  </si>
  <si>
    <t>1640-9019</t>
  </si>
  <si>
    <t>2084-4506</t>
  </si>
  <si>
    <t>CHEM-DIDACT-ECOL-MET</t>
  </si>
  <si>
    <t>Chem.-Didact.-Ecol.-Metrol.</t>
  </si>
  <si>
    <t>10.1515/cdem-2014-0001</t>
  </si>
  <si>
    <t>VF0LU</t>
  </si>
  <si>
    <t>WOS:000441777500001</t>
  </si>
  <si>
    <t>Pecl, GT; Ward, TM; Doubleday, ZA; Clarke, S; Day, J; Dixon, C; Frusher, S; Gibbs, P; Hobday, AJ; Hutchinson, N; Jennings, S; Jones, K; Li, XX; Spooner, D; Stoklosa, R</t>
  </si>
  <si>
    <t>Pecl, Gretta T.; Ward, Tim M.; Doubleday, Zoe A.; Clarke, Steven; Day, Jemery; Dixon, Cameron; Frusher, Stewart; Gibbs, Philip; Hobday, Alistair J.; Hutchinson, Neil; Jennings, Sarah; Jones, Keith; Li, Xiaoxu; Spooner, Daniel; Stoklosa, Richard</t>
  </si>
  <si>
    <t>Rapid assessment of fisheries species sensitivity to climate change</t>
  </si>
  <si>
    <t>CLIMATIC CHANGE</t>
  </si>
  <si>
    <t>AUSTRALIAN MARINE; FRESH-WATER; RISK; SHIFTS; ACIDIFICATION; ADAPTATION; RESILIENCE; SHARKS; SYSTEM; IMPACT</t>
  </si>
  <si>
    <t>Climate change driven alterations in the distribution and abundance of marine species, and the timing of their life history events (phenology), are being reported around the globe. However, we have limited capacity to detect and predict these responses, even for comparatively well studied commercial fishery species. Fisheries provide significant socio-economic benefits for many coastal communities, and early warning of potential changes to fish stocks will provide managers and other stakeholders with the best opportunity to adapt to these impacts. Rapid assessment methods that can estimate the sensitivity of species to climate change in a wide range of contexts are needed. This study establishes an objective, flexible and cost effective framework for prioritising future ecological research and subsequent investment in adaptation responses in the face of resource constraints. We build on an ecological risk assessment framework to assess relative sensitivities of commercial species to climate change drivers, specifically in relation to their distribution, abundance and phenology, and demonstrate our approach using key species within the fast warming region of south-eastern Australia. Our approach has enabled fisheries managers to understand likely changes to fisheries under a range of climate change scenarios, highlighted critical research gaps and priorities, and assisted marine industries to identify adaptation strategies that maximise positive outcomes.</t>
  </si>
  <si>
    <t>[Pecl, Gretta T.; Frusher, Stewart] Univ Tasmania, Inst Marine &amp; Antarctic Studies IMAS, Hobart, Tas 7001, Australia; [Ward, Tim M.; Clarke, Steven; Jones, Keith; Li, Xiaoxu] South Australian Res &amp; Dev Inst SARDI Aquat Sci, Adelaide, SA, Australia; [Ward, Tim M.; Clarke, Steven; Jones, Keith; Li, Xiaoxu] Dept Primary Ind &amp; Resources South Australia PIRS, Adelaide, SA, Australia; [Doubleday, Zoe A.] Univ Adelaide, Sch Earth &amp; Environm Sci, Adelaide, SA 5005, Australia; [Day, Jemery; Hobday, Alistair J.] CSIRO Marine &amp; Atmospher Res CMAR, Climate Adaptat Flagship, Hobart, Tas 7000, Australia; [Dixon, Cameron] World Wildlife Fund Australia, Brisbane, Qld 4000, Australia; [Gibbs, Philip] Ind &amp; Investment New South Wales, Primary Ind Div, Sydney, NSW, Australia; [Hutchinson, Neil] James Cook Univ, TropWATER Ctr Trop Water &amp; Aquat Ecosyst Res, JCU Singapore, Singapore 574421, Singapore; [Jennings, Sarah] Univ Tasmania, Tasmanian Sch Business &amp; Econ, Hobart, Tas 7000, Australia; [Spooner, Daniel] Nearshore Marine Sci Pty Ltd, Tannum Sands, Qld 4680, Australia; [Stoklosa, Richard] E Syst Pty Ltd, Hobart, Tas 7000, Australia</t>
  </si>
  <si>
    <t>University of Tasmania; University of Adelaide; Commonwealth Scientific &amp; Industrial Research Organisation (CSIRO); NSW Department of Primary Industries; James Cook University; University of Tasmania</t>
  </si>
  <si>
    <t>Pecl, GT (corresponding author), Univ Tasmania, Inst Marine &amp; Antarctic Studies IMAS, Hobart, Tas 7001, Australia.</t>
  </si>
  <si>
    <t>Gretta.Pecl@utas.edu.au</t>
  </si>
  <si>
    <t>Pecl, Gretta/D-7267-2011; Hobday, Alistair/A-1460-2012; Doubleday, Zoe/N-9955-2013; Doubleday, Zoe/AAU-6278-2020; WARD, Timothy Mark/KDN-7596-2024; Hutchinson, Neil/I-2306-2012; Jennings, Sarah/J-7888-2014</t>
  </si>
  <si>
    <t>Pecl, Gretta/0000-0003-0192-4339; Doubleday, Zoe/0000-0003-0045-6377; WARD, Timothy Mark/0000-0002-9003-2772; Hutchinson, Neil/0000-0002-8782-3493; Li, Xiaoxu/0000-0001-8510-624X; Jennings, Sarah/0000-0002-5760-4193</t>
  </si>
  <si>
    <t>El Nemo-South Eastern Australia Program - VDPI [2009-070]; PIRSA; Industry Investment NSW; Tasmanian DPIPWE; AFMA; FRDC; CSIRO; SARDI; IMAS; Commonwealth DAFF; Australian Government's Climate Change Research Program</t>
  </si>
  <si>
    <t>El Nemo-South Eastern Australia Program - VDPI; PIRSA; Industry Investment NSW; Tasmanian DPIPWE; AFMA; FRDC; CSIRO(Commonwealth Scientific &amp; Industrial Research Organisation (CSIRO)); SARDI; IMAS; Commonwealth DAFF; Australian Government's Climate Change Research Program(Australian Government)</t>
  </si>
  <si>
    <t>We thank Elsa Gartner, Luisa Forbes, Fiona Brodribb, Jemina Stuart-Smith and Ben Chuwen for assisting with this work. State agency and Commonwealth resource managers provided jurisdictional priority species rankings. This study was undertaken under the guidance of the El-nemo SEAP Program Management Committee with Ingrid Holliday and Dallas D'Silva coordinating the program. The authors thank the individuals who contributed to, edited or reviewed the species assessments and/or provided expertise for the sensitivity assessment process. This was FRDC project 2009-070 with funding provided through the El Nemo-South Eastern Australia Program, supported by the VDPI, PIRSA, Industry &amp; Investment NSW, Tasmanian DPIPWE, AFMA, FRDC, CSIRO, SARDI, IMAS, Commonwealth DAFF and was also supported through funding from the Australian Government's Climate Change Research Program.</t>
  </si>
  <si>
    <t>0165-0009</t>
  </si>
  <si>
    <t>1573-1480</t>
  </si>
  <si>
    <t>Clim. Change</t>
  </si>
  <si>
    <t>3-4</t>
  </si>
  <si>
    <t>10.1007/s10584-014-1284-z</t>
  </si>
  <si>
    <t>AU1HP</t>
  </si>
  <si>
    <t>WOS:000345372000010</t>
  </si>
  <si>
    <t>Larue, MA; Knight, J</t>
  </si>
  <si>
    <t>Larue, Michelle A.; Knight, Joseph</t>
  </si>
  <si>
    <t>Applications of Very High-Resolution Imagery in the Study and Conservation of Large Predators in the Southern Ocean</t>
  </si>
  <si>
    <t>CONSERVATION BIOLOGY</t>
  </si>
  <si>
    <t>ecosystem management; polar regions; satellite imagery; imagenes satelitales; manejo de ecosistemas; regiones polares</t>
  </si>
  <si>
    <t>ROSS SEA; ANTARCTIC PENINSULA; ABUNDANCE; PENGUINS</t>
  </si>
  <si>
    <t>The Southern Ocean is one of the most rapidly changing ecosystems on the planet due to the effects of climate change and commercial fishing for ecologically important krill and fish. Because sea ice loss is expected to be accompanied by declines in krill and fish predators, decoupling the effects of climate and anthropogenic changes on these predator populations is crucial for ecosystem-based management of the Southern Ocean. We reviewed research published from 2007 to 2014 that incorporated very high-resolution satellite imagery to assess distribution, abundance, and effects of climate and other anthropogenic changes on populations of predators in polar regions. Very high-resolution imagery has been used to study 7 species of polar animals in 13 papers, many of which provide methods through which further research can be conducted. Use of very high-resolution imagery in the Southern Ocean can provide a broader understanding of climate and anthropogenic forces on populations and inform management and conservation recommendations. We recommend that conservation biologists continue to integrate high-resolution remote sensing into broad-scale biodiversity and population studies in remote areas, where it can provide much needed detail. Aplicaciones de Imagenes de Muy Alta Resolucion en el Estudio y Conservacion de Grandes Depredadores en el Oceano Antartico Resumen El Oceano Antartico es uno de los ecosistemas con rapidos cambios en el planeta debido a los efectos del cambio climatico y la pesca comercial de peces y kril ecologicamente importantes. Ya que se espera que la perdida de hielo este acompanada por declinaciones de depredadores de peces y kril, desacoplar los efectos de los cambios climaticos y antropogenicos de estas poblaciones de depredadores es crucial para el manejo basado en ecosistemas del Oceano Antartico. Revisamos investigaciones publicadas desde 2007 hasta 2014, las cuales incorporaron imagenes satelitales de muy alta resolucion para evaluar la distribucion, abundancia y efectos del clima y otros cambios antropogenicos sobre las poblaciones de depredadores en las regiones polares. Las imagenes de muy alta resolucion se han utilizado para estudiar siete especies de animales polares en 13 articulos, muchos de los cuales proporcionan metodos mediante los cuales se pueden llevar a cabo mas investigaciones. El uso de imagenes de muy alta resolucion en el Oceano Antartico puede proporcionar un entendimiento mas amplio de las fuerzas climaticas y antropogenicas que actuan sobre las poblaciones e informar a las recomendaciones de manejo y conservacion. Recomendamos que los biologos de la conservacion integren sensores remotos de alta resolucion en los estudios poblacionales y de biodiversidad a gran escala en areas remotas, donde puede proporcionar detalles muy necesitados.</t>
  </si>
  <si>
    <t>[Larue, Michelle A.] Univ Minnesota, Dept Earth Sci, Minneapolis, MN 55455 USA; [Knight, Joseph] Univ Minnesota, Dept Forest Resources, St Paul, MN 55108 USA</t>
  </si>
  <si>
    <t>University of Minnesota System; University of Minnesota Twin Cities; University of Minnesota System; University of Minnesota Twin Cities</t>
  </si>
  <si>
    <t>Larue, MA (corresponding author), Univ Minnesota, Dept Earth Sci, 310 Pillsbury Hall, Minneapolis, MN 55455 USA.</t>
  </si>
  <si>
    <t>larue010@umn.edu</t>
  </si>
  <si>
    <t>Knight, Joseph/0000-0001-5846-9416</t>
  </si>
  <si>
    <t>0888-8892</t>
  </si>
  <si>
    <t>1523-1739</t>
  </si>
  <si>
    <t>CONSERV BIOL</t>
  </si>
  <si>
    <t>Conserv. Biol.</t>
  </si>
  <si>
    <t>10.1111/cobi.12367</t>
  </si>
  <si>
    <t>Biodiversity Conservation; Ecology; Environmental Sciences</t>
  </si>
  <si>
    <t>AT2WF</t>
  </si>
  <si>
    <t>WOS:000344794200030</t>
  </si>
  <si>
    <t>Cannon, JT; Kocot, KM; Waits, DS; Weese, DA; Swalla, BJ; Santos, SR; Halanych, KM</t>
  </si>
  <si>
    <t>Cannon, Johanna T.; Kocot, Kevin M.; Waits, Damien S.; Weese, David A.; Swalla, Billie J.; Santos, Scott R.; Halanych, Kenneth M.</t>
  </si>
  <si>
    <t>Phylogenomic Resolution of the Hemichordate and Echinoderm Clade</t>
  </si>
  <si>
    <t>CURRENT BIOLOGY</t>
  </si>
  <si>
    <t>DEUTEROSTOME PHYLOGENY; MOLECULAR PHYLOGENY; REVEALS; EVOLUTION; ENTEROPNEUSTA; INSIGHTS; SELECTION; MODEL</t>
  </si>
  <si>
    <t>Ambulacraria, comprising Hemichordata and Echinodermata [1], is closely related to Chordata, making it integral to understanding chordate origins and polarizing chordate molecular and morphological characters [2-4]. Unfortunately, relationships within Hemichordata and Echinodermata have remained unresolved [1, 5-10], compromising our ability to extrapolate findings from the most closely related molecular and developmental models outside of Chordata (e.g., the acorn worms Saccoglossus kowalevskii and Ptychodera flava and the sea urchin Strongylocentrotus purpuratus). To resolve long-standing phylogenetic issues within Ambulacraria, we sequenced transcriptomes for 14 hemichordates as well as 8 echinoderms and complemented these with existing data for a total of 33 ambulacrarian operational taxonomic unit's (OTUs). Examination of leaf stability values revealed rhabdopleurid pterobranchs and the enteropneust Stereobalanus canadensis were unstable in placement; therefore, analyses were also run without these taxa. Analyses of 185 genes resulted in reciprocal monophyly of Enteropneusta and Pterobranchia, placed the deep-sea family Torquaratoridae within Ptychoderidae, and confirmed the position of ophiuroid brittle stars as sister to asteroid sea stars (the Asterozoa hypothesis). These results are consistent with earlier perspectives concerning plesiomorphies of Ambulacraria, including pharyngeal gill slits, a single axocoel, and paired hydrocoels and somatocoels [1, 4, 11]. The resolved ambulacrarian phylogeny will help clarify the early evolution of chordate characteristics and has implications for our understanding of major fossil groups, including graptolites and somasteroideans.</t>
  </si>
  <si>
    <t>[Cannon, Johanna T.; Kocot, Kevin M.; Waits, Damien S.; Weese, David A.; Santos, Scott R.; Halanych, Kenneth M.] Auburn Univ, Dept Biol Sci, Auburn, AL 36849 USA; [Cannon, Johanna T.; Kocot, Kevin M.; Waits, Damien S.; Weese, David A.; Santos, Scott R.; Halanych, Kenneth M.] Auburn Univ, Molette Biol Lab Environm &amp; Climate Change Studie, Auburn, AL 36849 USA; [Cannon, Johanna T.] Nat Hist Riksmuseet, Dept Zool, S-10405 Stockholm, Sweden; [Kocot, Kevin M.] Univ Queensland, Sch Biol Sci, Brisbane, Qld 4072, Australia; [Weese, David A.] Georgia Coll &amp; State Univ, Dept Biol &amp; Environm Sci, Milledgeville, GA 31061 USA; [Cannon, Johanna T.; Kocot, Kevin M.; Swalla, Billie J.; Halanych, Kenneth M.] Univ Washington, Friday Harbor Labs, Friday Harbor, WA 98250 USA</t>
  </si>
  <si>
    <t>Auburn University System; Auburn University; Auburn University System; Auburn University; University of Queensland; University System of Georgia; Georgia College &amp; State University; University of Washington</t>
  </si>
  <si>
    <t>Cannon, JT (corresponding author), Auburn Univ, Dept Biol Sci, Auburn, AL 36849 USA.</t>
  </si>
  <si>
    <t>joie.cannon@gmail.com; ken@auburn.edu</t>
  </si>
  <si>
    <t>Santos, Scott R/A-7472-2009; Weese, David A/A-6879-2012; Cannon, Johanna/V-3842-2019; Kocot, Kevin/K-9087-2016; Halanych, Ken M/A-9480-2009</t>
  </si>
  <si>
    <t>Cannon, Johanna/0000-0002-3920-7741; Waits, Damien/0000-0003-0973-8629</t>
  </si>
  <si>
    <t>NSF [DEB-0816892, OPP9910164, OPP0338218, ANT1043745]; ACHE-GRSP (NSF) [EPS-0447675]; Bermuda Institute of Ocean Sciences; Friday Harbor Laboratories Patricia L. Dudley Fellowship; Div Of Biological Infrastructure; Direct For Biological Sciences [1306538] Funding Source: National Science Foundation</t>
  </si>
  <si>
    <t>NSF(National Science Foundation (NSF)); ACHE-GRSP (NSF); Bermuda Institute of Ocean Sciences; Friday Harbor Laboratories Patricia L. Dudley Fellowship; Div Of Biological Infrastructure; Direct For Biological Sciences(National Science Foundation (NSF)NSF - Directorate for Biological Sciences (BIO))</t>
  </si>
  <si>
    <t>This work was supported by NSF grant DEB-0816892 to K.M.H. and B.J.S. Antarctic collections were supported by NSF grants OPP9910164 and OPP0338218 to K.M.H. and R.S. Scheltema, and NSF grant ANT1043745 to K.M.H., A.R. Mahon, and S.R.S. J.T.C. was supported by the ACHE-GRSP (NSF grant EPS-0447675), the Bermuda Institute of Ocean Sciences Grant-in-Aid program, and a Friday Harbor Laboratories Patricia L. Dudley Fellowship. Saskia Brix, the IceAGE Project research team, and the Senckenberg am Meer German Center for Marine Biodiversity Research (DZMB) supported collection of Icelandic hemichordates. We are grateful to the staff and crew of RN Meteor, R/V N.B. Palmer, R/V L.M. Gould, R/V Kit Jones, R/V Hakon Mosby, and R/V Aurelia for assistance with obtaining specimens. Christoffer Schander and Christiane Todt aided in Norwegian enteropneust collection. Dr. Alexander Tzetlin assisted in collecting Saccoglossus mereschkowskii, and Richard Heard assisted with Balanoglossus cf. aurantiacus. The Bermuda Institute of Ocean Sciences, Friday Harbor Laboratories, Gulf Coast Research Lab, White Sea Biological Station (Lomonosov Moscow State University), and Darling Marine Center provided assistance in collecting specimens. This is contribution #122 to the Auburn University Marine Biology Program and #30 to the Molette Biological Laboratory.</t>
  </si>
  <si>
    <t>0960-9822</t>
  </si>
  <si>
    <t>1879-0445</t>
  </si>
  <si>
    <t>CURR BIOL</t>
  </si>
  <si>
    <t>Curr. Biol.</t>
  </si>
  <si>
    <t>10.1016/j.cub.2014.10.016</t>
  </si>
  <si>
    <t>Biochemistry &amp; Molecular Biology; Biology; Cell Biology</t>
  </si>
  <si>
    <t>Biochemistry &amp; Molecular Biology; Life Sciences &amp; Biomedicine - Other Topics; Cell Biology</t>
  </si>
  <si>
    <t>AU7WH</t>
  </si>
  <si>
    <t>WOS:000345808700026</t>
  </si>
  <si>
    <t>Schrader, DL; Davidson, J; Greenwood, RC; Franchi, IA; Gibson, JM</t>
  </si>
  <si>
    <t>Schrader, Devin L.; Davidson, Jemma; Greenwood, Richard C.; Franchi, Ian A.; Gibson, Jenny M.</t>
  </si>
  <si>
    <t>A water-ice rich minor body from the early Solar System: The CR chondrite parent asteroid</t>
  </si>
  <si>
    <t>CR-chondrite; matrix; O-isotope; aqueous alteration; asteroid</t>
  </si>
  <si>
    <t>O-ISOTOPE COMPOSITION; OXYGEN-ISOTOPE; CARBONACEOUS CHONDRITES; AQUEOUS ALTERATION; PRIMITIVE METEORITES; II CHONDRULES; IRON SULFIDE; RENAZZO; ORIGIN; MINERALOGY</t>
  </si>
  <si>
    <t>To better understand the effects of aqueous alteration in the Renazzo-like carbonaceous (CR) chondrite parent asteroid, a minor body in the early Solar System, we studied the petrology and O-isotope compositions of fine-grained matrix from 14 different CR chondrites. The O-isotope compositions of matrix from Queen Alexandra Range 99177 confirm that this sample is the least aqueously altered CR chondrite, provides the best approximation of the primary anhydrous matrix, and suggests matrix is not a byproduct of chondrule formation. Matrix O-isotope compositions within individual CR chondrites are heterogeneous, varying up to similar to 5 parts per thousand in both 8180 and 8170, as a result of the heterogeneous nature of the matrix and diverse range of aqueous alteration recorded by each sample. Aqueous alteration resulted in matrix that is progressively more O-16-depleted and Ca-carbonate rich. Due to the fine-grained nature of matrix its O-isotope composition is a more sensitive indicator of a chondrite's overall degree of aqueous alteration than whole-rock O-isotope compositions, which are typically dominated by the compositions of type I (FeO-poor) chondrule phenocrysts. Petrographic signatures correlate with the degree of aqueous alteration and the wide range of matrix O-isotope compositions indicate that some regions of the CR chondrite parent asteroid were relatively dry, while others were heavily hydrated with water. The O-isotope composition of aqueously altered matrix is consistent with asteroidal water being near Delta O-17 similar to 0 parts per thousand, which suggests an inner Solar System origin for the water. The diverse range of aqueous alteration recorded by a single asteroid has a range of implications for spectral studies of the asteroid belt, and the arrival of Dawn at 1 Ceres, Hayabusa-2 at 162173 1999 JU3, and OSIRIS-REx at 101955 Bennu. (C) 2014 Elsevier B.V. All rights reserved.</t>
  </si>
  <si>
    <t>[Schrader, Devin L.] Smithsonian Inst, Natl Museum Nat Hist, Dept Mineral Sci, Washington, DC 20560 USA; [Davidson, Jemma] Carnegie Inst Sci, Dept Terr Magnetism, Washington, DC 20015 USA; [Greenwood, Richard C.; Franchi, Ian A.; Gibson, Jenny M.] Open Univ, Dept Phys Sci, Milton Keynes MK7 6AA, Bucks, England</t>
  </si>
  <si>
    <t>Smithsonian Institution; Smithsonian National Museum of Natural History; Carnegie Institution for Science; Open University - UK</t>
  </si>
  <si>
    <t>schraderd@si.edu; jdavidson@carnegiescience.edu; r.c.greenwood@open.ac.uk; ian.franchi@open.ac.uk; jennifer.gibson@open.ac.uk</t>
  </si>
  <si>
    <t>Davidson, Jemma/G-5760-2018; Davidson, Jemma/ABB-2655-2021; Schrader, Devin L/H-6293-2012</t>
  </si>
  <si>
    <t>Davidson, Jemma/0000-0002-3725-2960; Davidson, Jemma/0000-0002-3725-2960; Greenwood, Richard/0000-0002-5544-8027; Schrader, Devin/0000-0001-5282-232X</t>
  </si>
  <si>
    <t>NSF; NASA; Science and Technology Facilities Council Grant [ST/1001964/1]; Science and Technology Facilities Council [ST/L000776/1] Funding Source: researchfish; STFC [ST/L000776/1] Funding Source: UKRI</t>
  </si>
  <si>
    <t>NSF(National Science Foundation (NSF)); NASA(National Aeronautics &amp; Space Administration (NASA)); Science and Technology Facilities Council Grant; Science and Technology Facilities Council(UK Research &amp; Innovation (UKRI)Science &amp; Technology Facilities Council (STFC)); STFC(UK Research &amp; Innovation (UKRI)Science &amp; Technology Facilities Council (STFC))</t>
  </si>
  <si>
    <t>We are grateful for the thorough and constructive comments by Neyda Abreu, Corentin Le Guillou, an anonymous reviewer, and the Associate Editor Bernard Marty. For supplying the many samples that were necessary for this work, the authors would like to thank: the members of the Meteorite Working Group, and Cecilia Satterwhite and Kevin Righter (NASA, Johnson Space Center).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authors also thank Michael Farmer, Eric Olson, and Gary Fujihara for samples. We are grateful to Tim Gooding for assistance with the SEM. This research was funded in part by the Science and Technology Facilities Council Grant ST/1001964/1 (RCG and IAF).</t>
  </si>
  <si>
    <t>10.1016/j.epsl.2014.09.030</t>
  </si>
  <si>
    <t>AT8JH</t>
  </si>
  <si>
    <t>WOS:000345179300005</t>
  </si>
  <si>
    <t>Darniani, TM; Jordan, TA; Ferraccioli, F; Young, DA; Blankenship, DD</t>
  </si>
  <si>
    <t>Darniani, Theresa M.; Jordan, Tom A.; Ferraccioli, Fausto; Young, Duncan A.; Blankenship, Donald D.</t>
  </si>
  <si>
    <t>Variable crustal thickness beneath Thwaites Glacier revealed from airborne gravimetry, possible implications for geothermal heat flux in West Antarctica</t>
  </si>
  <si>
    <t>Thwaites Glacier; Marie Byrd Land; West Antarctic Rift System; crustal structure; airborne gravity; geothermal heat flux</t>
  </si>
  <si>
    <t>ICE-SHEET; PINE ISLAND; SUBGLACIAL GEOLOGY; SPECTRAL-ANALYSIS; AFRICAN RIFT; MASS-BALANCE; AMUNDSEN SEA; STREAM; SATELLITE; ANOMALIES</t>
  </si>
  <si>
    <t>Thwaites Glacier has one of the largest glacial catchments in West Antarctica. The future stability of Thwaites Glacier's catchment is of great concern, as this part of the West Antarctic Ice Sheet has recently been hypothesized to already be en route towards collapse. Although an oceanic trigger is thought to be responsible for current change at the grounding line of Thwaites Glacier, in order to determine the effects of this coastal change further in the interior of the West Antarctic Ice Sheet it is essential to also better constrain basal conditions that control the dynamics of fast glacial flow within the catchment itself. One major contributor to fast glacial flow is the presence of subglacial water, the production of which is a result of both glaciological shear heating and geothermal heat flux. The primary goal of our study is to investigate the crustal thickness beneath Thwaites Glacier, which is an important contributor to regional-scale geothermal heat flux patterns. Crustal structure is an indicator of past tectonic events and hence provides a geophysical proxy for the thermal status of the crust and mantle. Terrain-corrected Bouguer gravity disturbances are used here to estimate depths to the Moho and mid-crustal boundary. The thin continental crust we reveal beneath Thwaites Glacier supports the hypothesis that the West Antarctic Rift System underlies the region and is expressed topographically as the Byrd Subglacial Basin. This rifted crust is of similar thickness to that calculated from airborne gravity data beneath neighboring Pine Island Glacier, and is more extended than crust in the adjacent Siple Coast sector of the Ross Sea Embayment A zone of thinner crust is also identified near the area's subaerial volcanoes lending support to a recent interpretation predicting that this part of Marie Byrd Land is a major volcanic dome, likely within the West Antarctic Rift System itself. Near-zero Bouguer gravity disturbances for the subglacial highlands and subaerial volcanoes indicate the absence of supporting crustal roots, suggesting either (I) thermal support from a warm lithosphere or alternatively, and arguably less likely; (2) flexural support of the topography by a cool and rigid lithosphere, or (3) Pratt-like compensation. Although forward modeling of gravity data is non-unique in respect to these alternative possibilities, we prefer the hypothesis that Marie Byrd Land volcanoes are thermally-supported by warmer upper mantle. The presence of such inferred warm upper mantle also suggests regionally elevated geothermal heat flux in this sector of the West Antarctic Rift System and consequently the potential for enhanced meltwater production beneath parts of Thwaites Glacier itself. Our new crustal thickness estimates and geothermal heat flux inferences in the Thwaites Glacier region are significant both for studies of the structure of the broader West Antarctic Rift System and for assessments of geological influences on West Antarctic Ice Sheet dynamics and glacial isostatic adjustment models. (C) 2012 Published by Elsevier B.V.</t>
  </si>
  <si>
    <t>[Darniani, Theresa M.] US NOAA, Natl Geodet Survey, 1315 East West Highway,SSMC-3,N-NGS6 Room 8115, Silver Spring, MD 20910 USA; [Jordan, Tom A.; Ferraccioli, Fausto] British Antarctic Survey, Cambridge CB3 0ET, England; [Young, Duncan A.; Blankenship, Donald D.] Univ Texas Austin, Jackson Sch Geosci, Inst Geophys, Austin, TX 78758 USA</t>
  </si>
  <si>
    <t>National Oceanic Atmospheric Admin (NOAA) - USA; National Geodetic Survey, NOAA; UK Research &amp; Innovation (UKRI); Natural Environment Research Council (NERC); NERC British Antarctic Survey; University of Texas System; University of Texas Austin</t>
  </si>
  <si>
    <t>Darniani, TM (corresponding author), US NOAA, Natl Geodet Survey, 1315 East West Highway,SSMC-3,N-NGS6 Room 8115, Silver Spring, MD 20910 USA.</t>
  </si>
  <si>
    <t>theresa.damiani@noaa.gov; tomj@bas.co.uk; ffe@bas.co.uk; blank@ig.utexas.edu; duncan@ig.utexas.edu</t>
  </si>
  <si>
    <t>Blankenship, Donald D./G-5935-2010; Young, Duncan A./G-6256-2010; Diehl, Theresa/K-2821-2012</t>
  </si>
  <si>
    <t>Diehl, Theresa/0000-0002-3784-435X; Ferraccioli, Fausto/0000-0002-9347-4736</t>
  </si>
  <si>
    <t>National Science Foundation [OPP-0230197, ANT-0636724]; University of Texas Geology Foundation; Jackson School of Geosciences; Unger Vetlesen Foundation; University of Texas Institute for Geophysics Gale White Fellowship,; British Antarctic Survey; NOAA's National Geodetic Survey; NERC [bas0100026] Funding Source: UKRI</t>
  </si>
  <si>
    <t>National Science Foundation(National Science Foundation (NSF)); University of Texas Geology Foundation; Jackson School of Geosciences; Unger Vetlesen Foundation; University of Texas Institute for Geophysics Gale White Fellowship,; British Antarctic Survey; NOAA's National Geodetic Survey; NERC(UK Research &amp; Innovation (UKRI)Natural Environment Research Council (NERC))</t>
  </si>
  <si>
    <t>This work was supported by the National Science Foundation (grants OPP-0230197 and ANT-0636724), the University of Texas Geology Foundation and Jackson School of Geosciences, the G. Unger Vetlesen Foundation, the University of Texas Institute for Geophysics Gale White Fellowship, the British Antarctic Survey, and NOAA's National Geodetic Survey. I would like to thank Vicki Childers, Jack Holt, and Scott Kempf for their assistance with this work.</t>
  </si>
  <si>
    <t>10.1016/j.epsl.2014.09.023</t>
  </si>
  <si>
    <t>WOS:000345179300010</t>
  </si>
  <si>
    <t>Everatt, MJ; Convey, P; Mirbahai, L; Worland, MR; Bale, JS; Hayward, SAL</t>
  </si>
  <si>
    <t>Everatt, Matthew J.; Convey, Peter; Mirbahai, Leda; Worland, Michael R.; Bale, Jeff S.; Hayward, Scott A. L.</t>
  </si>
  <si>
    <t>Can the Antarctic terrestrial midge, Eretmoptera murphyi, tolerate life in water?</t>
  </si>
  <si>
    <t>ECOLOGICAL ENTOMOLOGY</t>
  </si>
  <si>
    <t>Anoxia; chironomid; respiration; submergence; survival</t>
  </si>
  <si>
    <t>SIGNY ISLAND; COLD HARDINESS; CHIRONOMIDAE; DIPTERA; OXYGEN; MITES</t>
  </si>
  <si>
    <t>1. Early-season flooding and ice entrapment at sub-zero temperatures pose significant challenges to any polar terrestrial invertebrate. 2. The chironomid midge, Eretmoptera murphyi, is native to the sub-Antarctic island of South Georgia and has been introduced to the maritime Antarctic (Signy Island). While the majority of its 2-year life cycle is spent as a terrestrial larva, it is found in habitats potentially exposed to prolonged flooding. 3. The current study explored the tolerance of the larvae to extended submergence, demonstrating survival for at least 28days, underlain by their ability to respire (oxy-regulate) whilst submerged. To date, this ability is not known to be shared by any other terrestrial midge. Larvae also demonstrated notable anoxia tolerance whilst encased in ice, surviving for up to 28days. 4. These data indicate a capacity to survive ecologically relevant periods of submergence and/or ice entrapment, such as may be experienced in their natural habitats.</t>
  </si>
  <si>
    <t>[Everatt, Matthew J.; Mirbahai, Leda; Bale, Jeff S.; Hayward, Scott A. L.] Univ Birmingham, Sch Biosci, Birmingham, W Midlands, England; [Convey, Peter; Worland, Michael R.] British Antarctic Survey, NERC, Cambridge CB3 0ET, England; [Convey, Peter] Univ Malaya, Natl Antarctic Res Ctr, Kuala Lumpur, Malaysia; [Convey, Peter] Univ Canterbury, Christchurch 1, New Zealand</t>
  </si>
  <si>
    <t>University of Birmingham; UK Research &amp; Innovation (UKRI); Natural Environment Research Council (NERC); NERC British Antarctic Survey; Universiti Malaya; University of Canterbury</t>
  </si>
  <si>
    <t>Everatt, MJ (corresponding author), FERA, York YO41 1LZ, N Yorkshire, England.</t>
  </si>
  <si>
    <t>mjemarue@hotmail.co.uk</t>
  </si>
  <si>
    <t>Convey, Peter/0000-0001-8497-9903; Hayward, Scott/0000-0002-1899-6630</t>
  </si>
  <si>
    <t>Natural Environment Research Council [RRBN15266]; British Antarctic Survey; University of Birmingham; NERC; Natural Environment Research Council [bas0100025] Funding Source: researchfish; NERC [bas0100025] Funding Source: UKRI</t>
  </si>
  <si>
    <t>Natural Environment Research Council(UK Research &amp; Innovation (UKRI)Natural Environment Research Council (NERC)); British Antarctic Survey; University of Birmingham; NERC(UK Research &amp; Innovation (UKRI)Natural Environment Research Council (NERC)); Natural Environment Research Council(UK Research &amp; Innovation (UKRI)Natural Environment Research Council (NERC)); NERC(UK Research &amp; Innovation (UKRI)Natural Environment Research Council (NERC))</t>
  </si>
  <si>
    <t>M.J.E. was funded by the Natural Environment Research Council (RRBN15266) and supported by the British Antarctic Survey and the University of Birmingham. The NERC Antarctic Funding Initiative Collaborative Gearing Scheme (CGS-73) supported the fieldwork at Rothera Research Station. P.C. is supported by NERC core funding to the BAS 'Ecosystems' programme. Two anonymous referees are thanked for their helpful comments. This paper also contributes to the SCAR 'Antarctic Thresholds - Ecosystem Resilience and Adaptation' research programme.</t>
  </si>
  <si>
    <t>0307-6946</t>
  </si>
  <si>
    <t>1365-2311</t>
  </si>
  <si>
    <t>ECOL ENTOMOL</t>
  </si>
  <si>
    <t>Ecol. Entomol.</t>
  </si>
  <si>
    <t>10.1111/een.12147</t>
  </si>
  <si>
    <t>AT0KL</t>
  </si>
  <si>
    <t>WOS:000344625000008</t>
  </si>
  <si>
    <t>Gould, SF; Beeton, NJ; Harris, RMB; Hutchinson, MF; Lechner, AM; Porfirio, LL; Mackey, BG</t>
  </si>
  <si>
    <t>Gould, Susan F.; Beeton, Nicholas J.; Harris, Rebecca M. B.; Hutchinson, Michael F.; Lechner, Alex M.; Porfirio, Luciana L.; Mackey, Brendan G.</t>
  </si>
  <si>
    <t>A tool for simulating and communicating uncertainty when modelling species distributions under future climates</t>
  </si>
  <si>
    <t>Climate change; MaxEnt; measurement error; simulation; spatial ecology; spatial prediction; species distribution model</t>
  </si>
  <si>
    <t>BIOTIC INTERACTIONS; ECOLOGICAL THEORY; ENVELOPE MODELS; SAMPLE-SIZE; NICHE; CONSERVATION; PERFORMANCE; PROJECTIONS; PREDICTION; HABITAT</t>
  </si>
  <si>
    <t>Tools for exploring and communicating the impact of uncertainty on spatial prediction are urgently needed, particularly when projecting species distributions to future conditions. We provide a tool for simulating uncertainty, focusing on uncertainty due to data quality. We illustrate the use of the tool using a Tasmanian endemic species as a case study. Our simulations provide probabilistic, spatially explicit illustrations of the impact of uncertainty on model projections. We also illustrate differences in model projections using six different global climate models and two contrasting emissions scenarios. Our case study results illustrate how different sources of uncertainty have different impacts on model output and how the geographic distribution of uncertainty can vary.Synthesis and applications: We provide a conceptual framework for understanding sources of uncertainty based on a review of potential sources of uncertainty in species distribution modelling; a tool for simulating uncertainty in species distribution models; and protocols for dealing with uncertainty due to climate models and emissions scenarios. Our tool provides a step forward in understanding and communicating the impacts of uncertainty on species distribution models under future climates which will be particularly helpful for informing discussions between researchers, policy makers, and conservation practitioners.</t>
  </si>
  <si>
    <t>[Gould, Susan F.] Griffith Univ, Griffith Climate Change Response Program, Southport, Qld 4222, Australia; [Beeton, Nicholas J.] Univ Tasmania, Sch Biol Sci, Hobart, Tas, Australia; [Harris, Rebecca M. B.] Antarctic Climate &amp; Ecosyst CRC, Hobart, Tas, Australia; [Hutchinson, Michael F.; Porfirio, Luciana L.] Australian Natl Univ, Canberra, ACT, Australia; [Lechner, Alex M.] Univ Tasmania, Hobart, Tas, Australia; [Mackey, Brendan G.] Griffith Univ, Southport, Qld 4215, Australia</t>
  </si>
  <si>
    <t>Griffith University; Griffith University - Gold Coast Campus; University of Tasmania; University of Tasmania; Australian National University; University of Tasmania; Griffith University; Griffith University - Gold Coast Campus</t>
  </si>
  <si>
    <t>Gould, SF (corresponding author), Griffith Univ, Griffith Climate Change Response Program, Gold Coast Campus,Bldg 39 Parklands Dr, Southport, Qld 4222, Australia.</t>
  </si>
  <si>
    <t>s.gould@griffith.edu.au; Nicholas.Beeton@utas.edu.au</t>
  </si>
  <si>
    <t>Gould, Sue/T-6979-2019; Gould, Sue/AAY-6889-2021; Beeton, Nicholas/I-1752-2013; Mackey, Brendan/ABE-3805-2020; Harris, Rebecca/N-2790-2013</t>
  </si>
  <si>
    <t>Beeton, Nicholas/0000-0002-8513-3165; Hutchinson, Michael/0000-0001-8205-6689; Lechner, Alex/0000-0003-2050-9480; Harris, Rebecca/0000-0002-6426-2179; Mackey, Brendan/0000-0003-1996-4064</t>
  </si>
  <si>
    <t>Australian Government's National Environmental Research Program through the Landscapes &amp; Policy Research Hub</t>
  </si>
  <si>
    <t>Australian Government's National Environmental Research Program through the Landscapes &amp; Policy Research Hub(Australian Government)</t>
  </si>
  <si>
    <t>This research was funded by the Australian Government's National Environmental Research Program through the Landscapes &amp; Policy Research Hub.</t>
  </si>
  <si>
    <t>10.1002/ece3.1319</t>
  </si>
  <si>
    <t>AX1XE</t>
  </si>
  <si>
    <t>WOS:000346736200019</t>
  </si>
  <si>
    <t>Perfumo, A; Elsaesser, A; Littmann, S; Foster, RA; Kuypers, MMM; Cockell, CS; Kminek, G</t>
  </si>
  <si>
    <t>Perfumo, Amedea; Elsaesser, Andreas; Littmann, Sten; Foster, Rachel A.; Kuypers, Marcel M. M.; Cockell, Charles S.; Kminek, Gerhard</t>
  </si>
  <si>
    <t>Epifluorescence, SEM, TEM and nanoSIMS image analysis of the cold phenotype of Clostridium psychrophilum at subzero temperatures</t>
  </si>
  <si>
    <t>cryo-adaptation; cell elongation; exopolysaccharide matrix; membrane vesicles; carbon storage granules</t>
  </si>
  <si>
    <t>PSYCHROBACTER-ARCTICUS 273-4; GENOME SEQUENCE; SP-NOV.; PERMAFROST BACTERIUM; BIOFILM; MICROSCOPY; GROWTH; POLYSACCHARIDE; ADAPTATIONS; MECHANISMS</t>
  </si>
  <si>
    <t>We have applied an image-based approach combining epifluorescence microscopy, electron microscopy and nanoscale secondary ion mass spectrometry (nanoSIMS) with stable isotope probing to examine directly the characteristic cellular features involved in the expression of the cold phenotype in the Antarctic bacterium Clostridium psychrophilum exposed to a temperature range from +5 to -15 degrees C under anoxic conditions. We observed dramatic morphological changes depending on temperature. At temperatures below -10 degrees C, cell division was inhibited and consequently filamentous growth predominated. Bacterial cells appeared surrounded by a remarkably thick cell wall and a capsule formed of long exopolysaccharide fibres. Moreover, bacteria were entirely embedded within a dense extracellular matrix, suggesting a role both in cryoprotection and in the cycling of nutrients and genetic material. Strings of extracellular DNA, transient cell membrane permeability and release of membrane vesicles were observed that suggest that evolution via transfer of genetic material may be especially active under frozen conditions. While at -5 degrees C, the bacterial population was metabolically healthy, at temperatures below -10 degrees C, most cells showed no sign of active metabolism or the metabolic flux was extremely slowed down; instead of being consumed, carbon was accumulated and stored in intracellular granules as in preparation for a long-term survival.</t>
  </si>
  <si>
    <t>[Perfumo, Amedea; Kminek, Gerhard] European Space Agcy, TEC QI, NL-2200 AG Noordwijk, Netherlands; [Elsaesser, Andreas] Leiden Univ, Leiden Inst Chem, Leiden, Netherlands; [Littmann, Sten; Foster, Rachel A.; Kuypers, Marcel M. M.] Max Planck Inst Marine Microbiol, Bremen, Germany; [Cockell, Charles S.] Univ Edinburgh, Sch Phys &amp; Astron, UK Ctr Astrobiol, Edinburgh, Midlothian, Scotland</t>
  </si>
  <si>
    <t>European Space Agency; Leiden University - Excl LUMC; Leiden University; Max Planck Society; University of Edinburgh</t>
  </si>
  <si>
    <t>Perfumo, A (corresponding author), GFZ German Res Ctr Geosci, Helmholtz Ctr Potsdam, D-14473 Potsdam, Germany.</t>
  </si>
  <si>
    <t>amedea.perfumo@gfz-potsdam.de</t>
  </si>
  <si>
    <t>Perfumo, Amedea/AAC-5739-2019; Elsaesser, Andreas/K-2264-2014; Littmann, Sten/D-2646-2011</t>
  </si>
  <si>
    <t>Elsaesser, Andreas/0000-0002-3781-8290; Littmann, Sten/0000-0001-8685-5357; Perfumo, Amedea/0000-0002-7503-4868; Foster, Rachel/0000-0002-8696-1835</t>
  </si>
  <si>
    <t>European Space Agency; Knut and Alice Wallenberg Foundation; Science and Technology Facilities Council (STFC) [ST/1001964/1]</t>
  </si>
  <si>
    <t>European Space Agency(European Space Agency); Knut and Alice Wallenberg Foundation(Knut &amp; Alice Wallenberg Foundation); Science and Technology Facilities Council (STFC)(UK Research &amp; Innovation (UKRI)Science &amp; Technology Facilities Council (STFC)Science and Technology Development Fund (STDF))</t>
  </si>
  <si>
    <t>We thank R. Lindner and A. Dowson for the support received throughout the project at the Life Support (LIS) Laboratory at ESA/ESTEC. We also thank S. Mitchell for technical assistance with the TEM, R. Pukall for advice with regard to strain handling, D. Franzke and D. Nini for the support with the nanoSIMS analysis and R. Marchant for valuable comments on the manuscript. A.P. was supported by the Research Fellowship programme of the European Space Agency. R.A.F. is supported by the Knut and Alice Wallenberg Foundation. The TEM work was sponsored by the Science and Technology Facilities Council (STFC), Grant No. ST/1001964/1, and the nanoSIMS analyses by the Max Planck Society.</t>
  </si>
  <si>
    <t>10.1111/1574-6941.12443</t>
  </si>
  <si>
    <t>AW1OE</t>
  </si>
  <si>
    <t>WOS:000346057900028</t>
  </si>
  <si>
    <t>Sushchevskaya, NM; Migdisova, NA; Antonov, AV; Krymsky, RS; Belyatsky, BV; Kuzmin, DV; Bychkova, YV</t>
  </si>
  <si>
    <t>Sushchevskaya, N. M.; Migdisova, N. A.; Antonov, A. V.; Krymsky, R. Sh.; Belyatsky, B. V.; Kuzmin, D. V.; Bychkova, Ya. V.</t>
  </si>
  <si>
    <t>Geochemical features of the quaternary lamproitic lavas of Gaussberg Volcano, East Antarctica: Result of the impact of the Kerguelen plume</t>
  </si>
  <si>
    <t>GEOCHEMISTRY INTERNATIONAL</t>
  </si>
  <si>
    <t>lamproites; Antarctica; plume magmatism; isotopy; geochemistry</t>
  </si>
  <si>
    <t>DRONNING-MAUD-LAND; MAFIC DYKE SWARM; TRACE-ELEMENT; CONTINENTAL LITHOSPHERE; FLOOD BASALTS; BROKEN RIDGE; ULTRAMAFIC LAMPROPHYRES; MANTLE; ORIGIN; SR</t>
  </si>
  <si>
    <t>Petrological-geochemical data were obtained on the lamproites of the Gaussberg Volcano located at the eastern Antarctic coast and compared with data on the magmatic rocks developed in the East Antarctica and Indian Ocean in relation with the Kerguelen plume. It was shown that the lamproites were derived from the ancient Gondwana lithosphere repeatedly modified at the early stages of its evolution, including significant enrichment in volatiles, lithophile elements, and radiogenic Sr and Pb isotopes. The Gaussberg Volcano located on the eastern Antarctic continental margin falls in the distribution field of the Kerguelen plume, which formed 130 Ma within the incipient Indian Ocean and is continuing to operate at present, forming volcanic rocks of Heard Island in the last ka. Manifestations of alkaline magmatism at the Antarctic margin around 56 ka (Mt. Gaussberg) indicate a sublithospheric spreading of mantle plume in the southwestern direction.</t>
  </si>
  <si>
    <t>[Sushchevskaya, N. M.; Migdisova, N. A.] Russian Acad Sci, Vernadsky Inst Geochem &amp; Analyt Chem, Moscow 119991, Russia; [Antonov, A. V.; Krymsky, R. Sh.; Belyatsky, B. V.] Karpinskii All Russia Res Inst Geol, Ctr Isotop Res, St Petersburg 199106, Russia; [Kuzmin, D. V.] Russian Acad Sci, Siberian Branch, Sobolev Inst Geol &amp; Mineral, Novosibirsk 630090, Russia; [Kuzmin, D. V.] Max Planck Inst Chem, D-55020 Mainz, Germany; [Bychkova, Ya. V.] Russian Acad Sci, Inst Geol Ore Deposits Petrog Mineral &amp; Geochem I, Moscow 119017, Russia</t>
  </si>
  <si>
    <t>Russian Academy of Sciences; Vernadsky Institute of Geochemistry &amp; Analytical Chemistry; A.P. Karpinsky Russian Geological Research Institute (VSEGEI); Russian Academy of Sciences; Sobolev Institute of Geology &amp; Mineralogy of the Russian Academy of Sciences; Max Planck Society; Russian Academy of Sciences; Institute of Geology of Ore Deposits, Petrography, Mineralogy &amp; Geochemistry</t>
  </si>
  <si>
    <t>Sushchevskaya, NM (corresponding author), Russian Acad Sci, Vernadsky Inst Geochem &amp; Analyt Chem, Ul Kosygina 19, Moscow 119991, Russia.</t>
  </si>
  <si>
    <t>nadyas@geokhi.ru; avlan@gmail.com; bbelyatsky@mail.ru; kuzmin@igm.msc.ru; yanab66@yandex.ru</t>
  </si>
  <si>
    <t>Belyatsky, Boris/V-6644-2019; Мигдисова, Наталья/A-4495-2017; Kuzmin, Dmitry V/A-3809-2014</t>
  </si>
  <si>
    <t>Belyatsky, Boris/0000-0002-4022-9366; Krymsky, Robert/0000-0001-5389-5651</t>
  </si>
  <si>
    <t>Russian Foundation for Basic Research [12-05-00582]; [11-05-92706 IND-a]; [13-05-12110 OFI-m]</t>
  </si>
  <si>
    <t>Russian Foundation for Basic Research(Russian Foundation for Basic Research (RFBR)Spanish Government); ;</t>
  </si>
  <si>
    <t>This work was supported by the Russian Foundation for Basic Research (project no. 12-05-00582), as well as by project nos. 11-05-92706 IND-a and 13-05-12110 OFI-m.</t>
  </si>
  <si>
    <t>0016-7029</t>
  </si>
  <si>
    <t>1556-1968</t>
  </si>
  <si>
    <t>GEOCHEM INT+</t>
  </si>
  <si>
    <t>Geochem. Int.</t>
  </si>
  <si>
    <t>10.1134/S0016702914120106</t>
  </si>
  <si>
    <t>AU1WD</t>
  </si>
  <si>
    <t>WOS:000345407300002</t>
  </si>
  <si>
    <t>Cordier, C; Folco, L</t>
  </si>
  <si>
    <t>Cordier, Carole; Folco, Luigi</t>
  </si>
  <si>
    <t>Oxygen isotopes in cosmic spherules and the composition of the near Earth interplanetary dust complex</t>
  </si>
  <si>
    <t>SOLAR-SYSTEM; ATMOSPHERIC ENTRY; ACCRETION RATE; ANTARCTIC ICE; TRANSANTARCTIC MOUNTAINS; PARENT BODIES; TRACE-ELEMENT; MICROMETEORITES; STONY; METEORITE</t>
  </si>
  <si>
    <t>A long-standing controversy in the micrometeorite community regards the relative contribution of primitive asteroids or comets and of evolved asteroids to the interplanetary dust cloud. We compiled and studied a large set of oxygen isotopic data from the literature on cosmic spherules from different collections covering different influx periods within the last similar to 1 Myr. Cosmic spherules (micrometeorites melted during atmospheric entry) are the most abundant micrometeorites in worldwide collections. According to several models, they are representative of the composition and origin of micrometeorites &gt;50 mu m in size. Spherule statistics (136 spherules, 50-2280 mu m in size) indicate that at least 20% of the micrometeoroid complex is fed by asteroids observed in the inner asteroid belt: the ordinary chondrite and secondarily the HED parent asteroids likely belonging to the S-type and V-type spectral classes, respectively. Another similar to 60% (or more) is related to primitive objects of the Solar System with carbonaceous chondrite compositions: either primitive asteroids belonging to the C-, D- or P-type spectral classes in the outer asteroid belt or comets. Contribution from terrestrial planets has not been identified yet. Oxygen isotopes also document that the composition of the micrometeoroid complex is different from that of macroscopic meteoroids, since the latter is dominated by materials from evolved and differentiated asteroids rather than primitive asteroids or comets. Cosmic spherule statistics show that the contribution of ordinary chondrite material to the composition of the micrometeoroid complex increases with micrometeorite size, thereby documenting a continuum between meteorites and micrometeorites. The transition in terms of relative abundance of the two cosmic spherule populations occurs around similar to 500 mu m in size. (C) 2014 Elsevier Ltd. All rights reserved.</t>
  </si>
  <si>
    <t>[Cordier, Carole] Univ Grenoble Alpes, ISTerre, F-38041 Grenoble, France; [Cordier, Carole] CNRS, ISTerre, F-38041 Grenoble, France; [Folco, Luigi] Univ Pisa, Dipartimento Sci Terra, I-56126 Pisa, Italy</t>
  </si>
  <si>
    <t>Communaute Universite Grenoble Alpes; Universite Grenoble Alpes (UGA); Centre National de la Recherche Scientifique (CNRS); Institut de Recherche pour le Developpement (IRD); Universite Gustave-Eiffel; Universite Savoie Mont Blanc; Communaute Universite Grenoble Alpes; Universite Grenoble Alpes (UGA); Centre National de la Recherche Scientifique (CNRS); Institut de Recherche pour le Developpement (IRD); Universite Gustave-Eiffel; Universite Savoie Mont Blanc; University of Pisa</t>
  </si>
  <si>
    <t>Cordier, C (corresponding author), Univ Grenoble Alpes, ISTerre, F-38041 Grenoble, France.</t>
  </si>
  <si>
    <t>carole.cordier@ujf-grenoble.fr</t>
  </si>
  <si>
    <t>Folco, Luigi/AAA-6351-2020; Folco, Luigi/AAB-8586-2021</t>
  </si>
  <si>
    <t>Cordier, Carole/0000-0002-6100-4393; Folco, Luigi/0000-0002-7276-3483</t>
  </si>
  <si>
    <t>Italian Programma Nazionale delle Ricerche in Antartide (PNRA) [PEA2013 AZ2.04]; Pisa University's Fondi di Ateneo</t>
  </si>
  <si>
    <t>Italian Programma Nazionale delle Ricerche in Antartide (PNRA)(Ministry of Education, Universities and Research (MIUR)); Pisa University's Fondi di Ateneo</t>
  </si>
  <si>
    <t>ISTerre is part of Labex OSUG@2020 (ANR10 LABX56). This work is supported by the Italian Programma Nazionale delle Ricerche in Antartide (PNRA) through the PEA2013 AZ2.04 Meteoriti Antartiche. LF research is also supported by Pisa University's Fondi di Ateneo. C. Engrand and M. Genge are thanked for constructive reviews and C. Koeberl for editorial assistance.</t>
  </si>
  <si>
    <t>10.1016/j.gca.2014.09.038</t>
  </si>
  <si>
    <t>AT4XP</t>
  </si>
  <si>
    <t>WOS:000344946000002</t>
  </si>
  <si>
    <t>Maestro, A; López-Martínez, J; Galindo-Zaldívar, J; Bohoyo, F; Mink, S</t>
  </si>
  <si>
    <t>Maestro, Adolfo; Lopez-Martinez, Jeronimo; Galindo-Zaldivar, Jesus; Bohoyo, Fernando; Mink, Sandra</t>
  </si>
  <si>
    <t>Evolution of the stress field in the southern Scotia Arc from the late Mesozoic to the present-day</t>
  </si>
  <si>
    <t>palaeostress evolution; neotectonics; stress deflection; brittle mesostructures; Antarctic Peninsula</t>
  </si>
  <si>
    <t>SHACKLETON FRACTURE-ZONE; RELATIVE PLATE MOTIONS; FOCAL MECHANISM DATA; ANTARCTIC PENINSULA; TECTONIC EVOLUTION; SHETLAND ISLANDS; BRANSFIELD BASIN; DRAKE PASSAGE; SUBDUCTION HISTORY; LIVINGSTON ISLAND</t>
  </si>
  <si>
    <t>The geological evolution of the Scotia Arc, which developed between Antarctica and South America, has facilitated the connection between the Pacific and Atlantic oceans and, has important global implications. To improve the knowledge of the late Mesozoic evolution of the southern Scotia Arc, over 6000 brittle mesostructures were measured over the last 20 years at different outcrops from the northern Antarctic Peninsula and the South Shetland Islands as well as the James Ross and South Orkney archipelagos. This dataset covers a length of more than 1000 km of the arc. Fault data were analysed using the Etchecopar, y-R, Right Dihedra, Stress Inversion and Search Grid Inversion Palaeostress Determination methods. A total of 275 stress tensors were obtained. The results showed that the maximum horizontal stress was in the ENE-WSW and the NW-SE orientations and that the horizontal extension tensors were oriented NE-SW and NW-SE. In addition, seismic activity and focal mechanism solutions were analysed using the Gephart method to establish the present-day stress field and characterise the active tectonics. The results obtained suggest that there is a regional NE-SW compression and a NW-SE extension regime at the present day. The Southern Scotia Arc has a complex geological history due to the different tectonic settings (transform, convergent and divergent) that have affected this sector during its geological evolution from the late Mesozoic until the present day. Six stress fields were obtained from the brittle mesostructure population analysis in the region. The NW-SE and N-S maximum horizontal stresses were related to a combination of Mesozoic oceanic subduction of the former Phoenix Plate under the Pacific margin of the Antarctic Plate, Mesozoic-Cenozoic subduction of the northern Weddell Sea and the Oligocene to the Middle Miocene dextral strike-slip movement between the Scotia and Antarctic plates along the South Scotia Ridge. The NE-SW compression was related to late Miocene to present-day sinistral transcurrent movement along the South Scotia Ridge. Finally, the NW-SE extensional stress field may be related to the development of the following back-arc basins: the Late Cretaceous-Eocene Larsen Basin, the Lower to Middle Miocene Jane Basin and the Pliocene to present-day Bransfield Basin. In addition, the NE-SW and the E-W tensional stress fields were related to the Oligocene opening of the Powell Basin. (C) 2014 Elsevier B.V. All rights reserved.</t>
  </si>
  <si>
    <t>[Maestro, Adolfo; Bohoyo, Fernando; Mink, Sandra] Inst Geol &amp; Minero Espana, Madrid 28760, Spain; [Maestro, Adolfo; Lopez-Martinez, Jeronimo; Mink, Sandra] Univ Autonoma Madrid, Fac Ciencias, Dept Geol &amp; Geoquim, E-28049 Madrid, Spain; [Galindo-Zaldivar, Jesus] Univ Granada, Dept Geodinam, E-18071 Granada, Spain; [Galindo-Zaldivar, Jesus] Univ Granada, CSIC, Inst Andaluz Ciencias Tierra, E-18071 Granada, Spain</t>
  </si>
  <si>
    <t>Autonomous University of Madrid; University of Granada; University of Granada; Consejo Superior de Investigaciones Cientificas (CSIC); CSIC - Instituto Andaluz de Ciencias de la Tierra (IACT)</t>
  </si>
  <si>
    <t>Maestro, A (corresponding author), Inst Geol &amp; Minero Espana, Calle Calera 1, Madrid 28760, Spain.</t>
  </si>
  <si>
    <t>a.maestro@igme.es</t>
  </si>
  <si>
    <t>Galindo-Zaldivar, Jesus/K-3640-2012; Bohoyo, Fernando/AAZ-5990-2021; Lopez-Martinez, Jeronimo/C-5744-2011; Maestro, Adolfo/K-2434-2014; Maestro, Adolfo/ABG-7268-2021; Bohoyo, Fernando/C-1062-2011</t>
  </si>
  <si>
    <t>Galindo-Zaldivar, Jesus/0000-0002-3493-2637; Bohoyo, Fernando/0000-0002-1044-8816; Lopez-Martinez, Jeronimo/0000-0002-1750-8287; Maestro, Adolfo/0000-0002-7474-725X; Bohoyo, Fernando/0000-0002-1044-8816</t>
  </si>
  <si>
    <t>Spanish RD National Plan [CTM2011-26372, CTM2011-30241-C02, CTM2011-13902-E, CTM2011-13970-E]</t>
  </si>
  <si>
    <t>Spanish RD National Plan(Spanish Government)</t>
  </si>
  <si>
    <t>We thank Dr. A. Vaughan, Dr. F. Sabat and the editors for their constructive comments and suggestions that have improved the content of this article. The authors acknowledge the cooperation of different colleagues and logistical personnel from the different field campaigns during which the data used in this work were collected. This work has been funded by the following projects CTM2011-26372, CTM2011-30241-C02, CTM2011-13902-E and CTM2011-13970-E of the Spanish R&amp;D National Plan.</t>
  </si>
  <si>
    <t>10.1016/j.gloplacha.2014.07.023</t>
  </si>
  <si>
    <t>WOS:000347592400010</t>
  </si>
  <si>
    <t>Pearce, JA; Hastie, AR; Leat, PT; Dalziel, IW; Lawver, LA; Barker, PP; Millar, IL; Barry, TL; Bevins, RE</t>
  </si>
  <si>
    <t>Pearce, J. A.; Hastie, A. R.; Leat, P. T.; Dalziel, I. W.; Lawver, L. A.; Barker, P. F.; Millar, I. L.; Barry, T. L.; Bevins, R. E.</t>
  </si>
  <si>
    <t>Composition and evolution of the Ancestral South Sandwich Arc: Implications for the flow of deep ocean water and mantle through the Drake Passage Gateway</t>
  </si>
  <si>
    <t>Scotia Sea; arc volcanism; trace element geochemistry; isotope geochemistry; Drake Passage Gateway</t>
  </si>
  <si>
    <t>ANTARCTICA PLATE BOUNDARY; EAST SCOTIA RIDGE; SUBDUCTION INITIATION; ISLAND-ARC; ISOTOPE COMPOSITIONS; MASS-SPECTROMETRY; BASIN DEVELOPMENT; TRENCH COLLISION; SPREADING CENTER; JANE BASIN</t>
  </si>
  <si>
    <t>The Ancestral South Sandwich Arc (ASSA) has a short life-span of c. 20 m.y. (early Oligocene to middle-late Miocene) before slab retreat and subsequent 'resurrection' as the active South Sandwich Island Arc (SSIA). The ASSA is, however, significant because it straddled the eastern margin of the Drake Passage Gateway where it formed a potential barrier to deep ocean water and mantle flow from the Pacific to Atlantic. The ASSA may be divided into three parts, from north to south: the Central Scotia Sea (CSS), the Discovery segment, and the Jane segment. Published age data coupled with new geochemical data (major elements, trace elements, Hf-Nd-Sr-Pb isotopes) from the three ASSA segments place constraints on models for the evolution of the arc and hence gateway development. The CSS segment has two known periods of activity. The older, Oligocene, period produced basic-acidic, mostly calc-alkaline rocks, best explained in terms of subduction initiation volcanism of Andean-type (no slab rollback). The younger, middle-late Miocene period produced basic-acidic, high-K calc-alkaline rocks (lavas and pyroclastic rocks with abundant volcanigenic sediments) which, despite being erupted on oceanic crust, have continental arc characteristics best explained in terms of a large, hot subduction flux most typical of a syn- or post-collision arc setting. Early-middle Miocene volcanism in the Discovery and Jane arc segments is geo-chemically quite different, being typically tholeiitic and compositionally similar to many lavas from the active South Sandwich Island Arc front. There is indirect evidence for Western Pacific-type (slab rollback) subduction initiation in the southern part of the ASSA and for the back-arc basins (the Jane and Scan Basins) to have been active at the time of arc volcanism. Models for the death of the ASSA in the south following a series of ridge-trench collisions are not positively supported by any geochemical evidence of hot subduction, but cessation of subduction by approach of progressively more buoyant oceanic lithosphere is consistent with both geochemistry and geodynamics. In terms of deep ocean water flow the early stages of spreading at the East Scotia Ridge (starting at 17-15 Ma) may have been important in breaking up the ASSA barrier while the subsequent establishment of a STEP (Subduction-Transform Edge Propagator) fault east of the South Georgia microcontinent (&lt;11 Ma) led to formation of the South Georgia Passage used by the Antarctic Circumpolar Current today. In terms of mantle flow, the subduction zone and arc root likely acted as a barrier to mantle flow in the CSS arc segment such that the ASSA itself became the Pacific-South Atlantic mantle domain boundary. This was not the case in the Discovery and Jane arc segments, however, because the northward flow of the South Atlantic mantle behind the southern part of the ASSA gave an Atlantic provenance to the whole southern ASSA. (C) 2014 Published by Elsevier B.V.</t>
  </si>
  <si>
    <t>[Pearce, J. A.; Hastie, A. R.; Barry, T. L.] Cardiff Univ, Sch Earth &amp; Ocean Sci, Cardiff CF10 3AT, S Glam, Wales; [Hastie, A. R.] Univ Birmingham, Sch Geog Earth &amp; Environm Sci, Birmingham B15 2TT, W Midlands, England; [Leat, P. T.] British Antarctic Survey, Cambridge CB3 0ET, England; [Dalziel, I. W.; Lawver, L. A.] Univ Texas Austin, Inst Geophys, Austin, TX 78758 USA; [Barker, P. F.] Threshers Barn, Clun SY7 8QE, Shrops, England; [Millar, I. L.] NERC Isotope Geosci Labs, Nottingham NG12 5GG, England; [Leat, P. T.; Barry, T. L.] Univ Leicester, Dept Geol, Leicester LE1 7RH, Leics, England; [Bevins, R. E.] Natl Museum Cardiff, Dept Geol, Cardiff CF10 3NP, Wales</t>
  </si>
  <si>
    <t>Cardiff University; University of Birmingham; UK Research &amp; Innovation (UKRI); Natural Environment Research Council (NERC); NERC British Antarctic Survey; University of Texas System; University of Texas Austin; UK Research &amp; Innovation (UKRI); Natural Environment Research Council (NERC); NERC British Geological Survey; University of Leicester</t>
  </si>
  <si>
    <t>Pearce, JA (corresponding author), Cardiff Univ, Sch Earth &amp; Ocean Sci, Main Bldg,Pk Pl, Cardiff CF10 3AT, S Glam, Wales.</t>
  </si>
  <si>
    <t>PearceJA@cf.ac.uk</t>
  </si>
  <si>
    <t>Millar, Ian L/F-1541-2010; Pearce, Julian A/C-5807-2009; Dalziel, Ian W. D./G-5926-2010</t>
  </si>
  <si>
    <t>Barry, Tiffany/0000-0001-6853-6838</t>
  </si>
  <si>
    <t>Natural Environment Research Council (NERC, UK) [NE/F004974/1]; NERC [bas0100026, NE/F004974/1, nigl010001] Funding Source: UKRI; Natural Environment Research Council [nigl010001, NE/F004974/1, bas0100026] Funding Source: researchfish</t>
  </si>
  <si>
    <t>Natural Environment Research Council (NERC, UK)(UK Research &amp; Innovation (UKRI)Natural Environment Research Council (NERC)); NERC(UK Research &amp; Innovation (UKRI)Natural Environment Research Council (NERC)); Natural Environment Research Council(UK Research &amp; Innovation (UKRI)Natural Environment Research Council (NERC))</t>
  </si>
  <si>
    <t>The work of Pearce, Hastie, Barry and Millar was funded by the Natural Environment Research Council (NERC, UK) under grant NE/F004974/1 and related analytical facility grants. Cruise NBP0805 and the work by Dalziel, Lawyer, and Davis were supported by the Office of Polar Programs of the U.S. National Science Foundation under grant 0636850. We thank Captain Mike Watson and the officers and crew of RVIB Nathaniel B. Palmer, and the marine technicians of the Raytheon Polar Services Company, for their support at sea. This contribution is dedicated to our late colleague Peter F. Barker, whose indefatigable commitment to the dredging of inhospitable parts of the Scotia Sea over a number of decades made this work possible. We are grateful to Bob Stern and an anonymous reviewer for their constructive criticisms of the manuscript, to Rob Latter for his helpful advice on Scotia Sea magnetic anomalies and, particularly, to Prof. Andres Maldonado for organizing and hosting the meeting that led to this paper and for his editorial efforts. This is Contribution No. **** of the Institute for Geophysics, The University of Texas at Austin.</t>
  </si>
  <si>
    <t>10.1016/j.gloplacha.2014.08.017</t>
  </si>
  <si>
    <t>WOS:000347592400011</t>
  </si>
  <si>
    <t>Owen, MJ; Day, SJ; Leat, PT; Tate, AJ; Martin, TJ</t>
  </si>
  <si>
    <t>Owen, Matthew J.; Day, Simon J.; Leat, Philip T.; Tate, Alex J.; Martin, Tara J.</t>
  </si>
  <si>
    <t>Control of sedimentation by active tectonics, glaciation and contourite-depositing currents in Endurance Basin, South Georgia</t>
  </si>
  <si>
    <t>transpression; mass transport deposit; Scotia Sea; contourites; glaciation</t>
  </si>
  <si>
    <t>ANTARCTIC CIRCUMPOLAR CURRENT; BOTTOM-CURRENT PATHWAYS; SCOTIA SEA; PLATE BOUNDARY; CONTINENTAL-SLOPE; LATE PLEISTOCENE; MASS MOVEMENTS; DENSITY FLOWS; ATLANTIC; NORTH</t>
  </si>
  <si>
    <t>Endurance Basin is an elongate broadly WNW-ESE trending basin located on the northern margin of the Scotia Sea, adjacent to the southern margin of the South Georgia micro-continent. Bathymetric and TOPAS sub-bottom profile data acquired in 2010 by the British research ship RRS James Clark Ross map this basin and its sedimentology for the first time. Endurance Basin contains a number of sub-basins and a substantial glaciogenic fan. The northern margin of Endurance Basin is formed by a series of steep slopes and intervening troughs. These are interpreted as a left-stepping en echelon array of oblique, strike-slip faults whilst the sub-basins are separated by compressional dip-slip faults. It appears that South Georgia is moving NW with respect to the basin. We interpret five seismic facies from TOPAS data, which are associated with distinct sedimentologies. The most striking units in the basin fill are: substantial contourite drifts located in the NW of the basin and on its southern margin; and two distinct mass transport deposits that pond in the centre of the basin. Combined with the known regional oceanographic setting, the contourites provide evidence of broadly eastward flowing bottom currents, entering the basin from at least two locations. Although landslide scars are present on the steep northern basin margin, the imaged mass transport deposits are interpreted to have been sourced from the glaciogenic fan, located in the SE of the basin, and from a contourite unit located on the basin's southern margin. Sediments from these events are transported at least 40 km. The contourite drift sequence is at least 100 m thick in the west of the basin and may contain a palaeoenvironmental archive of Antarctic Circumpolar Current (ACC) flow and the climate of South Georgia extending to the Pliocene. Such an archive would allow the reconstruction of ACC flow through the Pleistocene glaciations and provide a means of linking ocean circulation and climate records in the sub-Antarctic Polar Front region. (C) 2014 Elsevier B.V. All rights reserved.</t>
  </si>
  <si>
    <t>[Owen, Matthew J.] UCL, Dept Geog, London WC1E 6BT, England; [Day, Simon J.] UCL, Dept Earth Sci, London WC1E 6BT, England; [Leat, Philip T.; Tate, Alex J.; Martin, Tara J.] British Antarctic Survey, Cambridge CB3 0ET, England</t>
  </si>
  <si>
    <t>University of London; University College London; University of London; University College London; UK Research &amp; Innovation (UKRI); Natural Environment Research Council (NERC); NERC British Antarctic Survey</t>
  </si>
  <si>
    <t>Owen, MJ (corresponding author), UCL, Dept Geog, Gower St, London WC1E 6BT, England.</t>
  </si>
  <si>
    <t>m.owen@ucl.ac.uk</t>
  </si>
  <si>
    <t>Martin, Tara J/F-2570-2017; Owen, Matthew/L-2970-2013; Martin, Tara/K-9174-2016</t>
  </si>
  <si>
    <t>Owen, Matthew/0000-0001-7119-4656; Martin, Tara/0000-0002-3620-1141</t>
  </si>
  <si>
    <t>Natural Environment Research Council; NERC-AFI-CGS grant [CGS-11/58 (2009)]; Natural Environment Research Council [bas010011, bas0100026] Funding Source: researchfish; NERC [bas010011, bas0100026] Funding Source: UKRI</t>
  </si>
  <si>
    <t>Natural Environment Research Council(UK Research &amp; Innovation (UKRI)Natural Environment Research Council (NERC)); NERC-AFI-CGS grant; Natural Environment Research Council(UK Research &amp; Innovation (UKRI)Natural Environment Research Council (NERC)); NERC(UK Research &amp; Innovation (UKRI)Natural Environment Research Council (NERC))</t>
  </si>
  <si>
    <t>Research by PTL, AJT and TJM was part of the British Antarctic Survey Polar Science for Planet Earth Programme funded by the Natural Environment Research Council. Funding for the participation of Simon Day and Matthew Owen on research cruise JR206 was through a NERC-AFI-CGS grant [Instability of Submarine Volcanoes in the South Sandwich Arc CGS-11/58 (2009)] to P.T. Leat, Sj. Day and M.A. Maslin.</t>
  </si>
  <si>
    <t>10.1016/j.gloplacha.2014.08.003</t>
  </si>
  <si>
    <t>WOS:000347592400012</t>
  </si>
  <si>
    <t>Poulin, E; González-Wevar, C; Díaz, A; Gérard, K; Hüne, M</t>
  </si>
  <si>
    <t>Poulin, Elie; Gonzalez-Wevar, Claudio; Diaz, Angie; Gerard, Karin; Huene, Mathias</t>
  </si>
  <si>
    <t>Divergence between Antarctic and South American marine invertebrates: What molecular biology tells us about Scotia Arc geodynamics and the intensification of the Antarctic Circumpolar Current</t>
  </si>
  <si>
    <t>mtDNA divergence; COI; Molecular clock hypothesis (MCH); Central Scotia Sea; Middle Miocene climatic transition; ACC onset and intensification</t>
  </si>
  <si>
    <t>LONG-DISTANCE DISPERSAL; MIOCENE CLIMATIC TRANSITION; POLAR FRONT; MITOCHONDRIAL LINEAGES; CRYPTIC SPECIATION; GENETIC-STRUCTURE; OCEAN BARRIERS; DRAKE PASSAGE; SEA-ICE; BIOGEOGRAPHY</t>
  </si>
  <si>
    <t>Continental drift processes such as major gateway openings have been historically advocated to explain the distribution of marine benthic taxa in the Southern Ocean (SO). The separation between Antarctic Peninsula and the southern tip of South America together with the onset of the Antarctic Circumpolar Current (ACC) represent the final step for the complete isolation of the Antarctic region. However, there is still controversy concerning the timing and mode of this process, and especially about the role of the Scotia Arc geodynamics in the development of a fully deep and intensified ACC circulation. Based on mitochondrial Cytochrome c Oxidase Subunit I (COI) sequences obtained from different taxa, we performed molecular comparisons between Antarctic and South American relatives to provide independent time estimations of Antarctica's isolation. We include in the analyses congeneric Antarctic and Patagonian near-shore marine benthic invertebrates including indirect developers (Nacella, Yoldia, Sterechinus, and Parbolasia) and brooders (Xymenopsis and Trophonella). Considering the levels of genetic differentiation between relatives from both regions and assuming the molecular clock hypothesis, we estimated the onset of their respective divergence. On one hand, similar levels of genetic distance in broadcast-spawners (7%-8.3%) support the hypothesis that the development of an effective barrier between Antarctica and South America occurred almost simultaneously for these groups. Divergence time estimations based on specific substitution rates indicate that the separation occurred near the Mio-Pliocene transition, long after the physical separation of both continents. Genetic distance and divergence time estimation in direct developers indicate an older separation time, close to the mid-Miocene. Even when the analyzed groups included both broadcast-spawners and brooder organisms, the divergence between Antarctic and South America lineages rather than being related to processes of continental drift, seems to be associated more to major changes in the Southern Ocean such as the evolution of the Scotia Arc and the deepening of the Drake Passage. Accordingly, these results support a genetic continuity between Antarctica and South America, probably along the Scotia Ridge, until the middle Miocene and a late ACC intensification at the Mio-Pliocene boundary. (C) 2014 Elsevier B.V. All rights reserved.</t>
  </si>
  <si>
    <t>[Poulin, Elie; Gonzalez-Wevar, Claudio; Diaz, Angie; Gerard, Karin; Huene, Mathias] Univ Chile, Fac Ciencias, Dept Ciencias Ecol, Lab Ecol Mol,Inst Ecol &amp; Biodiversidad, Santiago, Chile; [Diaz, Angie] Univ Magallanes, Fac Ciencias, Dept Ciencias &amp; Recursos Nat, Lab Macroalgas Antarticas &amp; Subantarticas, Punta Arenas, Chile</t>
  </si>
  <si>
    <t>Universidad de Chile; Universidad de Magallanes</t>
  </si>
  <si>
    <t>González-Wevar, C (corresponding author), Univ Chile, Fac Ciencias, Dept Ciencias Ecol, Lab Ecol Mol, Las Palmeras 3425, Santiago, Chile.</t>
  </si>
  <si>
    <t>omeuno01@hotmail.com</t>
  </si>
  <si>
    <t>Hüne, Mathias/ABE-6000-2020; Gérard, Karin/AAC-4911-2021; Gerard, Karin/H-6245-2014; Poulin, Elie/C-2654-2012; González-Wevar, Claudio Alejandro/AAD-6513-2021; Diaz, Angie/I-8033-2016</t>
  </si>
  <si>
    <t>Gérard, Karin/0000-0003-0596-1348; Poulin, Elie/0000-0001-7736-0969; Diaz, Angie/0000-0003-4944-588X</t>
  </si>
  <si>
    <t>Thesis project [INACHB_01_07]; INACH Office Project [G_04_11, CONICYT24090009]; CONICYT [D-21060218, 3120075]; FONDECYT [3100139]; CONICYT Ph.D. [D_21-08]; Instituto de Ecologia y Biodiversidad IEB, Universidad de Chile [P05-002 ICM, PFB 023, INACH02-02, INACH13-05, ECOSCO6B02]; [INACHD_05-09]</t>
  </si>
  <si>
    <t>Thesis project; INACH Office Project; CONICYT(Comision Nacional de Investigacion Cientifica y Tecnologica (CONICYT)); FONDECYT(Comision Nacional de Investigacion Cientifica y Tecnologica (CONICYT)CONICYT FONDECYT); CONICYT Ph.D.(Comision Nacional de Investigacion Cientifica y Tecnologica (CONICYT)); Instituto de Ecologia y Biodiversidad IEB, Universidad de Chile;</t>
  </si>
  <si>
    <t>This study was supported by the following projects and institutions: Thesis projects INACHB_01_07, INACH Office ProjectG_04_11, CONICYT24090009, CONICYT Ph.D. D-21060218 and post-doctorate 3120075 to C.G-W; FONDECYT post-doctorate 3100139 to K.G; INACHD_05-09 and CONICYT Ph.D. D_21-08 to A.D. At the same time, this research was supported by the Projects P05-002 ICM and PFB 023 (Instituto de Ecologia y Biodiversidad IEB, Universidad de Chile), INACH02-02, INACH13-05, and ECOSCO6B02 to E.P. Thanks are also due to international program as AntEco, CAML, EBA-SCAR and PROSUL-Brazil for encouraging and supporting Antarctic research in evolution.</t>
  </si>
  <si>
    <t>10.1016/j.gloplacha.2014.07.017</t>
  </si>
  <si>
    <t>WOS:000347592400016</t>
  </si>
  <si>
    <t>Reguero, MA; Gelfo, JN; Lopez, GM; Bond, M; Abello, A; Santillana, SN; Marenssi, SA</t>
  </si>
  <si>
    <t>Reguero, Marcelo A.; Gelfo, Javier N.; Lopez, Guillermo M.; Bond, Mariano; Abello, Alejandra; Santillana, Sergio N.; Marenssi, Sergio A.</t>
  </si>
  <si>
    <t>Final Gondwana breakup: The Paleogene South American native ungulates and the demise of the South America-Antarctica land connection</t>
  </si>
  <si>
    <t>West Antarctica; South America; land connection; Early Paleogene; South American and Antarctic native ungulate</t>
  </si>
  <si>
    <t>DRAKE PASSAGE; SCOTIA SEA; SEYMOUR ISLAND; TERRESTRIAL VERTEBRATES; BIOTIC INTERCHANGE; TECTONIC EVOLUTION; MIDDLE EOCENE; HISTORY; FLOW; BIOGEOGRAPHY</t>
  </si>
  <si>
    <t>The biogeographic hypothesis more accepted today is that Antarctica (West Antarctica) and southern South America (Magellan region, Patagonia) were connected by a long and narrow causeway (Weddellian Isthmus) between the Antarctic Peninsula and South America since the Late Cretaceous (Campanian) until the Early Paleogene allowing terrestrial vertebrates to colonize new frontiers using this land bridge. Stratigraphically calibrated phylogenies including large, terrestrial native ungulates Litopterna and Astrapotheria taxa reveal long ghost lineages that extended into the Late Paleocene and provide evidence for the minimum times at which these native ungulates were present both on Antarctica and South America. Based on these results we estimate that the Weddellian Isthmus was functional as a land bridge until the Late Paleocene. Our data place the disconnection between Antarctica and South America in the Late Paleocene, indicating that the terrestrial faunistic isolation (Simpson's splendid isolation) in South America begun at the end of the Paleocene (similar to 56 to 57 m.y.). This faunistic isolation is documented to have occurred at least 25 Ma before the existence of deep-water circulation conditions in Drake Passage (similar to 30 m.y.) based on the onset of seafloor spreading in the west Scotia Sea region. We hypothesize that in the early stages of extension (Late Paleocene, similar to 55 m.y.) a wide and relatively shallow epicontinental sea developed between the Antarctic Peninsula and South America drowning the Weddellian Isthmus and preventing the faunal interchange for obligate cursorial terrestrial forms. (C) 2014 Elsevier B.V. All rights reserved.</t>
  </si>
  <si>
    <t>[Reguero, Marcelo A.; Santillana, Sergio N.] Inst Antartico Argentino, Buenos Aires, DF, Argentina; [Reguero, Marcelo A.; Gelfo, Javier N.; Lopez, Guillermo M.; Bond, Mariano] Museo La Plata, Div Paleontol Vertebrados, La Plata, Buenos Aires, Argentina; [Abello, Alejandra] Museo La Plata, LASBE, La Plata, Buenos Aires, Argentina; [Marenssi, Sergio A.] IGEBA Inst Geociencias Basicas Aplicadas &amp; Ambien, Buenos Aires, DF, Argentina; [Reguero, Marcelo A.; Gelfo, Javier N.; Bond, Mariano; Abello, Alejandra; Marenssi, Sergio A.] Consejo Nacl Invest Cient &amp; Tecn, CABA, RA-1033 Buenos Aires, DF, Argentina</t>
  </si>
  <si>
    <t>Instituto Antartico Argentino; National University of La Plata; Museo La Plata; National University of La Plata; Museo La Plata; Consejo Nacional de Investigaciones Cientificas y Tecnicas (CONICET)</t>
  </si>
  <si>
    <t>Reguero, MA (corresponding author), Museo La Plata, Div Paleontol Vertebrados, Paseo Bosque S-N,B1900FWA, La Plata, Buenos Aires, Argentina.</t>
  </si>
  <si>
    <t>mreguero@dna.gov.ar; jgelfo@fcnym.unlp.edu.ar; glopez@fcnym.unlp.edu.ar; constantino1453@yahoo.com.ar; mabello@fcnym.unlp.edu.ar; ssantillana@dna.gov.ar; smarenssi@hotmail.com</t>
  </si>
  <si>
    <t>Gelfo, Javier N./AAW-1905-2021; Gelfo, Javier N./KFQ-7820-2024; Reguero, Marcelo A./JHS-4893-2023</t>
  </si>
  <si>
    <t>Gelfo, Javier N./0000-0002-9989-5902;</t>
  </si>
  <si>
    <t>Instituto Antartico Argentino (PICTA); Agencia Nacional de Promocion Cientifica y Tecnologica (ANPCYT) [PICT 0365, PICTO 0093]; Universidad Nacional de La Plata (UNLP) [11-N677]; Consejo Nacional de Investigaciones Cientificas y Tecnicas (CONICET)</t>
  </si>
  <si>
    <t>Instituto Antartico Argentino (PICTA); Agencia Nacional de Promocion Cientifica y Tecnologica (ANPCYT)(ANPCyTSpanish Government); Universidad Nacional de La Plata (UNLP)(National University of La Plata); Consejo Nacional de Investigaciones Cientificas y Tecnicas (CONICET)(Consejo Nacional de Investigaciones Cientificas y Tecnicas (CONICET))</t>
  </si>
  <si>
    <t>We especially acknowledge the Instituto Antartico Argentino and Fuerza Aerea Argentina, which provided logistical support for our participation in the Antarctic fieldwork. We also have benefited from collaborative effort in the field (prospecting and picking) of Juan Jose Moly, Thomas Mors, Carolina Acosta Hospitaleche, Carolina Vieytes, Leonel Acosta, Claudia Tambussi, F. Degrange, Martin de los Reyes, and Jose O'Gorman. We would like to thank Michael O. Woodburne and Judd A. Case for critical comments that greatly enhanced the quality of this manuscript. M.A.R. is grateful to L. Lawyer and L. Gahan for sharing literature and information. Martina Charnelli drew Figs. 2 and 3. Part of this study was funded by Instituto Antartico Argentino (PICTA 2004 and 2008), Agencia Nacional de Promocion Cientifica y Tecnologica (ANPCYT) PICT 0365 and PICTO 0093, Universidad Nacional de La Plata (UNLP) 11-N677, and Consejo Nacional de Investigaciones Cientificas y Tecnicas (CONICET).</t>
  </si>
  <si>
    <t>10.1016/j.gloplacha.2014.07.016</t>
  </si>
  <si>
    <t>WOS:000347592400017</t>
  </si>
  <si>
    <t>Haynes, BT; Marcus, AD; Higgins, DP; Gongora, J; Gray, R; Slapeta, J</t>
  </si>
  <si>
    <t>Haynes, Benjamin T.; Marcus, Alan D.; Higgins, Damien P.; Gongora, Jaime; Gray, Rachael; Slapeta, Jan</t>
  </si>
  <si>
    <t>Unexpected absence of genetic separation of a highly diverse population of hookworms from geographically isolated hosts</t>
  </si>
  <si>
    <t>INFECTION GENETICS AND EVOLUTION</t>
  </si>
  <si>
    <t>Australian sea lion; Parasite; Vicariance; Dispersal; mtDNA; cox1</t>
  </si>
  <si>
    <t>SEALS CALLORHINUS-URSINUS; UNCINARIA LUCASI STILES; NEOPHOCA-CINEREA; MITOCHONDRIAL-DNA; NECATOR-AMERICANUS; NEMATODA; LIONS; ANCYLOSTOMATIDAE; ISLANDS; EPIDEMIOLOGY</t>
  </si>
  <si>
    <t>The high natal site fidelity of endangered Australian sea lions (Neophoca cinerea) along the southern Australian coast suggests that their maternally transmitted parasitic species, such as hookworms, will have restricted potential for dispersal. If this is the case, we would expect to find a hookworm haplotype structure corresponding to that of the host mtDNA haplotype structure; that is, restricted among geographically separated colonies. In this study, we used a fragment of the cytochrome c oxidase I mitochondrial DNA (mtDNA) gene to investigate the diversity of hookworms (Uncinaria sanguinis) in N. cinerea to assess the importance of host distribution and ecology on the evolutionary history of the parasite. High haplotype (h = 0.986) and nucleotide diversity (pi = 0.013) were seen, with 45 unique hookworm mtDNA haplotypes across N. cinerea colonies; with most of the variation (78%) arising from variability within hookworms from individual colonies. This is supported by the low genetic differentiation co-efficient (G(ST) = 0.007) and a high gene flow (Nm = 35.25) indicating a high migration rate between the populations of hookworms. The haplotype network demonstrated no clear distribution and delineation of haplotypes according to geographical location. Our data rejects the vicariance hypothesis; that female host natal site fidelity and the transmammary route of infection restrict hookworm gene flow between N. cinerea populations and highlights the value of studies of parasite diversity and dispersal to challenge our understanding of parasite and host ecology. (C) 2014 Elsevier B.V. All rights reserved.</t>
  </si>
  <si>
    <t>[Haynes, Benjamin T.; Marcus, Alan D.; Higgins, Damien P.; Gongora, Jaime; Gray, Rachael; Slapeta, Jan] Univ Sydney, Fac Vet Sci, Sydney, NSW 2006, Australia</t>
  </si>
  <si>
    <t>University of Sydney</t>
  </si>
  <si>
    <t>Slapeta, J (corresponding author), Univ Sydney, Fac Vet Sci, Sydney, NSW 2006, Australia.</t>
  </si>
  <si>
    <t>jan.slapeta@sydney.edu.au</t>
  </si>
  <si>
    <t>Higgins, Damien P/A-9601-2011; Slapeta, Jan/AFK-9404-2022</t>
  </si>
  <si>
    <t>Slapeta, Jan/0000-0003-1459-9117; Marcus, Alan David/0000-0002-5013-9751; Higgins, Damien/0000-0003-1215-6523; Gongora, Jaime/0000-0003-2215-656X</t>
  </si>
  <si>
    <t>Australian Marine Mammal Centre; Australian Antarctic Division; Australian Federal Government; Winifred Violet Scott Foundation; Faculty of Veterinary Science Whitehead Bequest - Conservation</t>
  </si>
  <si>
    <t>Australian Marine Mammal Centre; Australian Antarctic Division; Australian Federal Government(Australian Government); Winifred Violet Scott Foundation; Faculty of Veterinary Science Whitehead Bequest - Conservation</t>
  </si>
  <si>
    <t>Funding for sample collection was provided by Australian Marine Mammal Centre, Australian Antarctic Division, Australian Federal Government, and the Winifred Violet Scott Foundation. Support was also provided by a Faculty of Veterinary Science Whitehead Bequest - Conservation. We thank Clarence Kennedy, Janet Simpson and the Staff of Seal Bay of the Department of Environment, Water and Natural Resources, South Australia and the many volunteers for their assistance in the field and sample collection.</t>
  </si>
  <si>
    <t>1567-1348</t>
  </si>
  <si>
    <t>1567-7257</t>
  </si>
  <si>
    <t>INFECT GENET EVOL</t>
  </si>
  <si>
    <t>Infect. Genet. Evol.</t>
  </si>
  <si>
    <t>10.1016/j.meegid.2014.09.022</t>
  </si>
  <si>
    <t>Infectious Diseases</t>
  </si>
  <si>
    <t>AX1YI</t>
  </si>
  <si>
    <t>WOS:000346739500030</t>
  </si>
  <si>
    <t>Baek, K; Choi, A; Kang, I; Im, M; Cho, JC</t>
  </si>
  <si>
    <t>Baek, Kiwoon; Choi, Ahyoung; Kang, Ilnam; Im, Mihye; Cho, Jang-Cheon</t>
  </si>
  <si>
    <t>Granulosicoccus marinus sp nova, isolated from Antarctic seawater, and emended description of the genus Granulosicoccus</t>
  </si>
  <si>
    <t>BACTERIUM</t>
  </si>
  <si>
    <t>A Gram-staining-negative, motile by flagella, non-pigmented, poly-fl-hydroxybutyrate-producing, strictly aerobic and sphere-shaped bacterium, IMCC3490(T), was isolated from a coastal seawater sample from the Antarctic Peninsula. Optimal growth of strain IMCC3490(T) was observed at 20 degrees C, pH 8.0 and in the presence of 2% (w/v) NaCl. Phylogenetic analysis using 16S rRNA gene sequences indicated that strain IMCC3490(T) belonged to the genus Granulosicoccus in the family Granulosicoccaceae. The strain was closely related to Granulosicoccus antarcticus IMCC3135(T) (98.8% 16S rRNA gene sequence similarity) and Granulosicoccus coccoides Z 271(T) (98.5%). The DNA DNA relatedness values between IMCC3490(T) and type strains of the two species of the genus were far lower than 70%, which indicated strain IMCC3490(T). is a novel genomic species of the genus Granulosicoccus. The major fatty acids of strain IMCC3490(T) were summed feature 8 (C-18:1 omega 7c and/or C-18:1 omega 6c) and summed feature 3 (C-16:1 omega 7c and/or C-16:1 omega 6c) The isoprenoid quinone detected was ubiquinone-8 (Q-8) and predominant polar lipids were diphosphatidylglycerol, phosphatidylglycerol and phosphatidylethanolamine. The DNA G+C content was 61.0 mol%. On the basis of phylogenetic analyses, DNA DNA relatedness values and phenotypic data, it is suggested that strain IMCC3490(T) represents a novel species of the genus Granulosicoccus, for which the name Granulosicoccus marinus sp. nov. is proposed. The type strain is IMCC3490(T) (=KACC 17483(T)=NBRC 109704(T)). An emended description of the genus Granulosicoccus is also provided.</t>
  </si>
  <si>
    <t>[Baek, Kiwoon; Choi, Ahyoung; Kang, Ilnam; Im, Mihye; Cho, Jang-Cheon] Inha Univ, Dept Biol Sci, Inchon 402751, South Korea</t>
  </si>
  <si>
    <t>Inha University</t>
  </si>
  <si>
    <t>Cho, JC (corresponding author), Inha Univ, Dept Biol Sci, Inchon 402751, South Korea.</t>
  </si>
  <si>
    <t>chojc@inha.ac.kr</t>
  </si>
  <si>
    <t>CHOI, AHYOUNG/T-5490-2019; Cho, Jang-Cheon/B-4676-2013</t>
  </si>
  <si>
    <t>Cho, Jang-Cheon/0000-0002-0666-3791</t>
  </si>
  <si>
    <t>'Polar Academic Program (PAP)' of the Korea Polar Research Institute (KOPRI), Mid-Career Research Program through NRF - Ministry of Science, ICT and Future Planning [NRF-2013R1A2A2A01068004]; Inha university research grant</t>
  </si>
  <si>
    <t>'Polar Academic Program (PAP)' of the Korea Polar Research Institute (KOPRI), Mid-Career Research Program through NRF - Ministry of Science, ICT and Future Planning(Korea Polar Research Institute of Marine Research Placement (KOPRI)); Inha university research grant</t>
  </si>
  <si>
    <t>This study was supported by the 'Polar Academic Program (PAP)' of the Korea Polar Research Institute (KOPRI), Mid-Career Research Program through NRF funded by the Ministry of Science, ICT and Future Planning (NRF-2013R1A2A2A01068004), and by the Inha university research grant.</t>
  </si>
  <si>
    <t>10.1099/ijs.0.070045-0</t>
  </si>
  <si>
    <t>CA0QO</t>
  </si>
  <si>
    <t>WOS:000348622000028</t>
  </si>
  <si>
    <t>Thomas, RJ; Bushi, AM; Roberts, NMW; Jacobs, J</t>
  </si>
  <si>
    <t>Thomas, Robert J.; Bushi, Alphonce M.; Roberts, Nick M. W.; Jacobs, Joachim</t>
  </si>
  <si>
    <t>Geochronology of granitic rocks from the Ruangwa region, southern Tanzania - Links with NE Mozambique and beyond</t>
  </si>
  <si>
    <t>JOURNAL OF AFRICAN EARTH SCIENCES</t>
  </si>
  <si>
    <t>Southern Tanzania; East African Orogen; Granitoids; Geochronology</t>
  </si>
  <si>
    <t>EAST-AFRICAN OROGEN; PB ZIRCON GEOCHRONOLOGY; U-PB; ANTARCTIC OROGEN; BELT; GONDWANA; GRANULITES; AGES; METAMORPHISM; CONSTRAINTS</t>
  </si>
  <si>
    <t>New U-Pb zircon LA-ICP-MS data are presented for 4 granitoid bodies which intrude high grade gneisses of the previously unmapped Ruangwa region in southern Tanzania. The study area forms part of the late Neoproterozoic East African Orogen (EAO). The oldest unit, a coarse-grained migmatitic granitic orthogneiss gave an early Neoproterozoic (Tonian) crystallization age of 899 +/- 9/16 Ma, which is similar to, but significantly younger than, Stenian-Tonian basement ages in areas relatively nearby. Crust of this age may extend as far north as the major Phanerozoic Selous Basin, north of which Archaean protolith ages predominate (the Western Granulites), except for the juvenile Neoproterozoic Eastern Granulites, which are not represented in the study area. To the south, the Tonian crust of the study area provides a tentative link with the Marrupa Complex in NE Mozambique. A granite pluton, dated at 650 +/- 5/11 Ma is broadly coeval with the main Pan-African tectono-thermal event in the East African Orogen that is recorded across Tanzania north of the Selous Basin. Zircons in this granite contain inherited cores at ca. 770 Ma. This age is within the range of dates obtained from south and west of the study area from juvenile granitoid orthogneisses which might be related to a widespread, but poorly understood, early phase of Gondwana assembly along an Andean-type margin. South of the study area, in NE Mozambique, the latest orogenic events occurred at ca. 550 Ma, and are sometimes attributed to the Ediacaran-aged Kuunga Orogeny. While metamorphic dates of this age have been recorded from the EA0 north of the Selous Basin, magmatic rocks of this event have not been recognized in Tanzania. The two youngest granitoids of the present study are thus the first 500-600 Ma igneous rocks reported from the region. A weakly deformed very coarse-grained granite pluton was dated at 591 +/- 4/10 Ma, while a very late, cross-cutting, undeformed granite dyke gave an intrusive age of 549 +/- 4/9 Ma. The granitoids ages presented in this study contain elements that are characteristic of the northern, Tanzania-Kenya, segment of the East African Orogen and of the southern, Mozambique, segment. The Tonian orthogneiss sample is typical of (but somewhat younger than) the Marrupa Complex of NE Mozambique. No zircon inheritance was recorded in the sample, typical of the juvenile Marrupa Complex. On the other hand, the ca. 650 Ma granite pluton has an age that is typical of the northern segment of the orogen; this is the first recorded granite of that age intruded into the Tonian-dominated crust of southern Tanzania or NE Mozambique. The two younger granites have provided dates that are typical of the southern segment of the orogen, and that of the Kuunga Orogen. The study area thus appears to represent an area of transitional crust straddling two complex and contrasting segments of the East African Orogen, with elements of both segments present and evidence for a ca. 770 Ma event which appears to be quite widespread and may relate to the early phases of Gondwana amalgamation in southern East Africa. (C) 2014 Published by Elsevier Ltd.</t>
  </si>
  <si>
    <t>[Thomas, Robert J.] British Geol Survey, Keyworth NG12 5GG, Notts, England; [Bushi, Alphonce M.] Geol Survey Tanzania, Dodoma, Tanzania; [Roberts, Nick M. W.] British Geol Survey, NERC, Isotope Geosci Lab, Keyworth NG12 5GG, Notts, England; [Jacobs, Joachim] Univ Bergen, Dept Earth Sci, N-5007 Bergen, Norway; [Jacobs, Joachim] Norwegian Polar Res Inst, Fram Ctr, N-9296 Tromso, Norway</t>
  </si>
  <si>
    <t>UK Research &amp; Innovation (UKRI); Natural Environment Research Council (NERC); NERC British Geological Survey; UK Research &amp; Innovation (UKRI); Natural Environment Research Council (NERC); NERC British Geological Survey; University of Bergen; Norwegian Polar Institute</t>
  </si>
  <si>
    <t>Thomas, RJ (corresponding author), Council Geosci, POB 775, ZA-7535 Bellville, South Africa.</t>
  </si>
  <si>
    <t>bthomas@bgs.ac.uk</t>
  </si>
  <si>
    <t>Roberts, Nick M W/C-2694-2008</t>
  </si>
  <si>
    <t>Roberts, Nick M W/0000-0001-8272-5432</t>
  </si>
  <si>
    <t>NERC [bgs05001] Funding Source: UKRI; Natural Environment Research Council [bgs05001] Funding Source: researchfish</t>
  </si>
  <si>
    <t>1464-343X</t>
  </si>
  <si>
    <t>1879-1956</t>
  </si>
  <si>
    <t>J AFR EARTH SCI</t>
  </si>
  <si>
    <t>J. Afr. Earth Sci.</t>
  </si>
  <si>
    <t>10.1016/j.jafrearsci.2014.06.012</t>
  </si>
  <si>
    <t>AU2UP</t>
  </si>
  <si>
    <t>WOS:000345473200006</t>
  </si>
  <si>
    <t>Poluianov, S; Traversi, R; Usoskin, I</t>
  </si>
  <si>
    <t>Poluianov, S.; Traversi, R.; Usoskin, I.</t>
  </si>
  <si>
    <t>Cosmogenic production and climate contributions to nitrate record in the TALDICE Antarctic ice core</t>
  </si>
  <si>
    <t>JOURNAL OF ATMOSPHERIC AND SOLAR-TERRESTRIAL PHYSICS</t>
  </si>
  <si>
    <t>Solar activity; Nitrate; Holocene; TALDICE</t>
  </si>
  <si>
    <t>SOLAR-ACTIVITY; TALOS DOME; POLAR ICE; METHANESULFONIC-ACID; EAST ANTARCTICA; GREENLAND; SULFATE; SNOW; COHERENCE; AEROSOL</t>
  </si>
  <si>
    <t>This paper presents the results of a comparative wavelet coherence analysis of a multimillennial nitrate record with a number of climatic and solar activity proxies. Distinguishing between these factors is important in the view of a possibility of nitrate deposited in a polar region to represent galactic cosmic ray flux and, consequently, solar activity. We used the data from the TALDICE drilling project (Tabs Dome, Antarctica), which covers the age range 12,000-700 BP (years before present, i.e. before 1950) and includes records of nitrate as well as climatic proxies, such as Na+, Ca2+, MSA (methanesulphonic acid), delta O-18, SO42-. The solar activity series is represented by reconstructions of the heliospheric modulation parameter from the C-14 and Be-10 data. We found (1) a confirmation of multimillennial relation between nitrate and galactic cosmic ray flux; (2) no clear signature of long-term variations of nitrate transport from lower latitudes. We suggest that variations in the nitrate record in the time scale of hundreds-thousands years are most likely caused by local production, deposition and post-deposition processes. (C) 2014 Elsevier Ltd. All rights reserved.</t>
  </si>
  <si>
    <t>[Poluianov, S.; Usoskin, I.] Univ Oulu, Dept Phys, FI-90014 Oulu, Finland; [Traversi, R.] Univ Florence, Dept Chem Ugo Schiff, I-50019 Sesto Fiorentino, Italy; [Usoskin, I.] Univ Oulu, Sodankyla Geophys Observ, Oulu Unit, FI-90014 Oulu, Finland</t>
  </si>
  <si>
    <t>University of Oulu; University of Florence; University of Oulu</t>
  </si>
  <si>
    <t>Poluianov, S (corresponding author), Univ Oulu, Dept Phys, FI-90014 Oulu, Finland.</t>
  </si>
  <si>
    <t>stepan.poluianov@oulu.fi</t>
  </si>
  <si>
    <t>Poluianov, Stepan/Q-6251-2019; Traversi, Rita/M-7586-2015; Usoskin, Ilya/E-5089-2014</t>
  </si>
  <si>
    <t>Traversi, Rita/0000-0002-9790-2195; Usoskin, Ilya/0000-0001-8227-9081; Poluianov, Stepan/0000-0002-9119-4298</t>
  </si>
  <si>
    <t>Finnish Academy Project [272157]</t>
  </si>
  <si>
    <t>Finnish Academy Project</t>
  </si>
  <si>
    <t>This work is a contribution to the TALDICE project. TALDICE (Tabs Dome Ice Core Project) is a joint European programme, funded by national contributions from Italy, France, Germany, Switzerland and the United Kingdom. Primary logistic support was provided by PNRA at Tabs Dome. This is TALDICE publication no. 40. This work was partly done in the framework of the ReSoLVE Center of Excellence (Finnish Academy Project no. 272157).</t>
  </si>
  <si>
    <t>1364-6826</t>
  </si>
  <si>
    <t>1879-1824</t>
  </si>
  <si>
    <t>J ATMOS SOL-TERR PHY</t>
  </si>
  <si>
    <t>J. Atmos. Sol.-Terr. Phys.</t>
  </si>
  <si>
    <t>10.1016/j.jastp.2014.09.011</t>
  </si>
  <si>
    <t>AX6GY</t>
  </si>
  <si>
    <t>WOS:000347022200006</t>
  </si>
  <si>
    <t>Lewis, LR; Rozzi, R; Goffinet, B</t>
  </si>
  <si>
    <t>Lewis, Lily R.; Rozzi, Ricardo; Goffinet, Bernard</t>
  </si>
  <si>
    <t>Direct long-distance dispersal shapes a New World amphitropical disjunction in the dispersal-limited dung moss Tetraplodon (Bryopsida: Splachnaceae)</t>
  </si>
  <si>
    <t>Amphitropical; bipolar; bryophyte; disjunctions; long-distance dispersal; migratory shorebird; New World; Tetraplodon</t>
  </si>
  <si>
    <t>SOUTHERN-HEMISPHERE; BRYOPHYTE DISPERSAL; FAMILY SPLACHNACEAE; LIKELIHOOD APPROACH; BIPOLAR; PHYLOGENY; EVOLUTION; GENUS; NORTH; AMERICA</t>
  </si>
  <si>
    <t>AimMany intercontinental disjunctions, especially among spore-producing plants, are shaped by long-distance dispersal (LDD) via wind currents. Amphitropical disjunctions are most commonly explained through LDD, but other vectors and dispersal scenarios must also be considered. To interpret the New World amphitropical disjunction in the dung-moss genus Tetraplodon, we compared stepwise migration along the Andes, direct LDD and ancient vicariance. LocationGlobal, specifically high-latitude and high-elevation localities, with a focus on the New World. MethodsPhylogenetic relationships were inferred from four loci sampled from 124 populations representing the global range of Tetraplodon, and analysed using maximum-likelihood and Bayesian optimality criteria, with divergence dates estimated in beast. ResultsThe monophyletic T.mnioides complex diversified between the early Miocene and early-to-mid Pliocene into three well-supported clades, each with a unique geographical distribution: Laurasian, primarily high-elevation tropical, and amphitropical. Populations from southernmost South American were reconstructed as a monophyletic lineage that diverged from high-latitude Northern Hemisphere populations around 8.63Ma [95% highest posterior density (HPD) 3.07-10.11Ma]. Main conclusionsDirect LDD has resulted in the American amphitropical disjunction in Tetraplodon. A lack of modern or historical wind connectivity between polar regions and the poor resistance of Tetraplodon spores to the conditions associated with wind-dispersal suggest that bird-mediated LDD provides the best explanation for the establishment of amphitropicality.</t>
  </si>
  <si>
    <t>[Lewis, Lily R.; Goffinet, Bernard] Univ Connecticut, Dept Ecol &amp; Evolutionary Biol, Storrs, CT 06269 USA; [Rozzi, Ricardo] Inst Ecol &amp; Biodivers, Puerto Williams, Antarctic Provi, Chile; [Rozzi, Ricardo] Univ Magallanes, Puerto Williams, Antarctic Provi, Chile; [Rozzi, Ricardo] Univ N Texas, Dept Philosophy, Denton, TX 76201 USA</t>
  </si>
  <si>
    <t>University of Connecticut; Universidad de Magallanes; University of North Texas System; University of North Texas Denton</t>
  </si>
  <si>
    <t>Lewis, LR (corresponding author), Univ Connecticut, 75 N Eagleville Rd,U-3043, Storrs, CT 06269 USA.</t>
  </si>
  <si>
    <t>Lily.Lewis@uconn.edu</t>
  </si>
  <si>
    <t>Rozzi, Ricardo/G-1047-2012</t>
  </si>
  <si>
    <t>Rozzi, Ricardo/0000-0001-5265-8726</t>
  </si>
  <si>
    <t>National Science Foundation (NSF); NSF [DEB-1311405, DEB-1212505]; UConn EEB Ronald Bamford Fund; UCONN Center for Conservation and Biodiversity Silander Award; National Science Foundation [DEB-0948380]; Direct For Biological Sciences; Division Of Environmental Biology [1311405] Funding Source: National Science Foundation</t>
  </si>
  <si>
    <t>National Science Foundation (NSF)(National Science Foundation (NSF)); NSF(National Science Foundation (NSF)); UConn EEB Ronald Bamford Fund; UCONN Center for Conservation and Biodiversity Silander Award; National Science Foundation(National Science Foundation (NSF)); Direct For Biological Sciences; Division Of Environmental Biology(National Science Foundation (NSF)NSF - Directorate for Biological Sciences (BIO))</t>
  </si>
  <si>
    <t>This study was supported by National Science Foundation (NSF) Graduate Research Fellowship to L.R.L. and NSF grants DEB-1311405 to L.R.L. and DEB-1212505 to B.G., UConn EEB Ronald Bamford Fund (L.R.L.), UCONN Center for Conservation and Biodiversity Silander Award (L.R.L.), and generous donations from Trudy Gerlach. Fieldwork in the Cape Horn Archipelago, Chile, was made possible by Ricardo Rozzi and Omora Ethnobotanical Park, and by a National Science Foundation grant (DEB-0948380) to William R. Buck. For assistance with Alaskan fieldwork, we thank K. Heather Sinclair, Diana Thomas and Jack Sinclair. For assistance with various aspects of the project, we thank Jon Shaw, Blanka Shaw, Kristian Hassel, Tommy Presto, Yang Liu, Laura Forest, Juan Carlos Villarreal, Jessica Budke and Rafael Medina. For comments on earlier drafts, we thank Elizabeth Jockush, Paul Lewis and Kent Holsinger. We thank Heidi Golden, Shawnie Vedder, Tomas Pocs, Alain Vanderpoorten and NYBG for contributing samples. We thank three anonymous referees for their comments on an earlier version of this manuscript.</t>
  </si>
  <si>
    <t>10.1111/jbi.12385</t>
  </si>
  <si>
    <t>AU0QJ</t>
  </si>
  <si>
    <t>WOS:000345328400016</t>
  </si>
  <si>
    <t>Ellis, LT; Aleffi, M; Tacchi, R; Alegro, A; Alonso, M; Asthana, AK; Sahu, V; Biasuso, AB; Callaghan, DA; Ezer, T; Kara, R; Seyli, T; Garilleti, R; Gil-López, MJ; Gwynne-Evans, D; Hedderson, TA; Kiebacher, T; Larrain, J; Long, D; Lüth, M; Malcolm, B; Mamontov, YS; Newsham, KK; Nobis, M; Nowak, A; Ochyra, R; Pawlikowski, P; Plásek, V; Cihal, L; Potemkin, AD; Puche, F; Rios, D; Gallego, MT; Guerra, J; Sawicki, J; Schäfer-Verwimp, A; Segarra-Moragues, JG; Segota, V; Sofronova, EV; Stefanut, S; Szucs, P; Bidló, A; Papp, B; Szurdoki, E; Tan, BC; Vána, J; Vigalondo, B; Draper, I; Lara, F; Yoon, YJ; Sun, BY; Nishimura, N</t>
  </si>
  <si>
    <t>Ellis, L. T.; Aleffi, M.; Tacchi, R.; Alegro, A.; Alonso, M.; Asthana, A. K.; Sahu, V.; Biasuso, A. B.; Callaghan, D. A.; Ezer, T.; Kara, R.; Seyli, T.; Garilleti, R.; Gil-Lopez, M. J.; Gwynne-Evans, D.; Hedderson, T. A.; Kiebacher, T.; Larrain, J.; Long, D.; Lueth, M.; Malcolm, B.; Mamontov, Y. S.; Newsham, K. K.; Nobis, M.; Nowak, A.; Ochyra, R.; Pawlikowski, P.; Plasek, V.; Cihal, L.; Potemkin, A. D.; Puche, F.; Rios, D.; Gallego, M. T.; Guerra, J.; Sawicki, J.; Schaefer-Verwimp, A.; Segarra-Moragues, J. G.; Segota, V.; Sofronova, E. V.; Stefanut, S.; Szucs, P.; Bidlo, A.; Papp, B.; Szurdoki, E.; Tan, B. C.; Vana, J.; Vigalondo, B.; Draper, I.; Lara, F.; Yoon, Y. -J.; Sun, B. -Y.; Nishimura, N.</t>
  </si>
  <si>
    <t>New national and regional bryophyte records, 41</t>
  </si>
  <si>
    <t>JOURNAL OF BRYOLOGY</t>
  </si>
  <si>
    <t>RED-LIST; ANNOTATED CHECKLIST; SOUTH-AMERICAN; NEW-ZEALAND; MOSS; GENUS; ORTHOTRICHACEAE; FLORA; GRIMMIACEAE; RIELLACEAE</t>
  </si>
  <si>
    <t>[Ellis, L. T.] Nat Hist Museum, London SW7 5BD, England; [Aleffi, M.; Tacchi, R.] Univ Camerino, I-62032 Camerino, MC, Italy; [Alegro, A.] Univ Zagreb, Dept Bot &amp; Bot Garden, Zagreb 41000, Croatia; [Alonso, M.] Univ Murcia, Dept Biol Vegetal Bot, E-30001 Murcia, Spain; [Asthana, A. K.; Sahu, V.] CSIR Natl Bot Res Inst, Lucknow 226001, Uttar Pradesh, India; [Biasuso, A. B.] Fdn Miguel Lillo UNT, San Miguel De Tucuman, Argentina; [Ezer, T.; Kara, R.; Seyli, T.] Nigde Univ, Dept Biol, Nigde, Turkey; [Garilleti, R.] Univ Valencia, Dept Bot, Burjassot, Spain; [Gil-Lopez, M. J.] Univ Cadiz, Dept Biol, Cadiz, Spain; [Gwynne-Evans, D.; Hedderson, T. A.] Univ Cape Town, ZA-7700 Rondebosch, South Africa; [Kiebacher, T.] RU Biodiversitat &amp; Nat Schutzbiol Lebensraumdynam, Birmensdorf, Germany; [Larrain, J.] Field Museum, Chicago, IL USA; [Long, D.] Royal Bot Garden, Edinburgh, Midlothian, Scotland; [Malcolm, B.] Microoptics Ltd, Nelson, New Zealand; [Mamontov, Y. S.] Russian Acad Sci, Kola Sci Ctr, Polar Alpine Bot Garden, Moscow 117901, Murmansk Provin, Russia; [Newsham, K. K.] NERC British Antarctic Survey, Ecosyst Programme, Cambridge, England; [Nobis, M.] Jagiellonian Univ, Krakow, Poland; [Nowak, A.] Univ Opole, Opole, Poland; [Ochyra, R.] Polish Acad Sci, Inst Bot, Krakow, Poland; [Pawlikowski, P.] Univ Warsaw, Biol &amp; Chem Res Ctr, PL-00325 Warsaw, Poland; [Plasek, V.; Cihal, L.] Univ Ostrava, Ostrava, Czech Republic; [Potemkin, A. D.] Russian Acad Sci, Komarov Bot Inst, St Petersburg 196140, Russia; [Puche, F.] Univ Valencia, Dept Bot, E-46003 Valencia, Spain; [Rios, D.; Gallego, M. T.; Guerra, J.] Univ Murcia, E-30001 Murcia, Spain; [Sawicki, J.] Univ Warmia &amp; Mazury, Olsztyn, Poland; [Segarra-Moragues, J. G.] Ctr Invest Desertificac CIDE CSIC UV GV, Valencia, Spain; [Segota, V.] Inst Res &amp; Dev Sustainable Ecosyst, Velika Gorica, Croatia; [Sofronova, E. V.] Russian Acad Sci, Siberian Branch, Inst Biol Problems Cryolithozone, Yakutsk, Russia; [Stefanut, S.] Romanian Acad, Inst Biol Bucharest, Bucharest, Romania; [Szucs, P.; Bidlo, A.] Univ West Hungary, Dept Forest Site Diag &amp; Classificat, Sopron, Hungary; [Papp, B.; Szurdoki, E.] Hungarian Nat Hist Museum, Dept Bot, Budapest, Hungary; [Tan, B. C.] Univ Calif Berkeley, Univ &amp; Jepson Herbaria, Berkeley, CA 94720 USA; [Vana, J.] Charles Univ Prague, Dept Bot, CR-11636 Prague 1, Czech Republic; [Vigalondo, B.; Draper, I.; Lara, F.] Univ Autonoma Madrid, Dept Biol Bot, E-28049 Madrid, Spain; [Yoon, Y. -J.; Sun, B. -Y.] Chonbuk Natl Univ, Jeonju, South Korea; [Nishimura, N.] Okayama Univ Sci, Okayama, Japan</t>
  </si>
  <si>
    <t>Natural History Museum London; University of Camerino; University of Zagreb; University of Murcia; Council of Scientific &amp; Industrial Research (CSIR) - India; CSIR - National Botanical Research Institute (NBRI); Nigde Omer Halisdemir University; University of Valencia; Universidad de Cadiz; University of Cape Town; Field Museum of Natural History (Chicago); Russian Academy of Sciences; Kola Science Centre of the Russian Academy of Sciences; Jagiellonian University; University of Opole; Polish Academy of Sciences; University of Warsaw; University of Ostrava; Russian Academy of Sciences; Komarov Botanical Institute, Russian Academy of Sciences; University of Valencia; University of Murcia; University of Warmia &amp; Mazury; Consejo Superior de Investigaciones Cientificas (CSIC); University of Valencia; CSIC-GV-UV - Centro de Investigaciones sobre Desertificacion (CIDE); Institute for Biological Problems of Cryolithozone; Russian Academy of Sciences; Romanian Academy of Sciences; Institute of Biology Bucharest; University of California System; University of California Berkeley; Charles University Prague; Autonomous University of Madrid; Jeonbuk National University; Okayama University of Science</t>
  </si>
  <si>
    <t>Ellis, LT (corresponding author), Nat Hist Museum, Cromwell Rd, London SW7 5BD, England.</t>
  </si>
  <si>
    <t>l.ellis@nhm.ac.uk</t>
  </si>
  <si>
    <t>Draper, Isabel/G-1753-2016; Plasek, Vitezslav/D-8242-2014; Hedderson, Terry/AAD-8614-2021; KARA, Recep/E-6319-2019; Stefanut, Sorin/GRO-5620-2022; Stefanut, Sorin/N-3318-2019; Garilleti, Ricardo/A-2862-2014; Mamontov, Yuriy/T-2654-2017; Stefanut, Sorin/B-9350-2011; Aleffi, Michele/R-4499-2019; Sawicki, Jakub/H-4432-2012; Váňa, Jiří/I-5979-2016; Nobis, Marcin/AAA-9560-2020; Nobis, Marcin/N-7645-2014; Gallego, María Teresa/G-9704-2015; Nowak, Arkadiusz/U-3240-2019; Segarra-Moragues, Jose Gabriel/I-7352-2012; Lara Garcia, Francisco/I-3003-2014; Potemkin, Alexey/I-5467-2015</t>
  </si>
  <si>
    <t>Draper, Isabel/0000-0003-3102-9386; Plasek, Vitezslav/0000-0002-4664-2135; KARA, Recep/0000-0001-6594-7172; Stefanut, Sorin/0000-0002-1061-8942; Garilleti, Ricardo/0000-0002-5977-2908; Mamontov, Yuriy/0000-0003-3851-0738; Stefanut, Sorin/0000-0002-1061-8942; Sawicki, Jakub/0000-0002-4759-8113; Nobis, Marcin/0000-0002-1594-2418; Gallego, María Teresa/0000-0002-6180-1624; Segarra-Moragues, Jose Gabriel/0000-0003-0061-8647; Lara Garcia, Francisco/0000-0002-1665-5277; Nowak, Arkadiusz/0000-0001-8638-0208; Guerra Montes, Juan/0000-0001-5747-9823; Alonso-Garcia, Marta/0000-0002-2935-7754; Gil-Lopez, Manuel-Jesus/0000-0002-4567-4725; Larrain, Juan B./0000-0002-9423-6561; Papp, Beata/0000-0002-9061-9987; Potemkin, Alexey/0000-0003-4420-1704; Vigalondo, Beatriz/0000-0003-1425-4661; Ochyra, Ryszard/0000-0002-2541-0722</t>
  </si>
  <si>
    <t>Institute of Environmental Technologies - 'Research and Development for Innovations' Operational Programme [CZ.1.05/2.1.00/03.0100]; Structural Funds of the European Union; state budget of the Czech Republic; National Feasibility Programme I of the Czech Republic [LO1208]; SYNTHESYS project [FR-TAF-3686]; University of Ostrava [SGS27/PRF/2014]; Polish National Centre of Science [N N 303 469 338]; Institute of Botany of the Polish Academy of Sciences; Institute of Biology Bucharest of the Romanian Academy [RO1567-IBB03/2014]; Natural Environment Research Council; Scientific and Technological Research Council of Turkey (TUBITAK) [111T359]; Spanish Ministerio de Economia y Competitividad (MINECO); Flora Briofitica Iberica from MINECO [CGL2009-09530]; MINECO; Spanish 'Ministerio de Ciencia e Innovacion' [CGL2010-15959, CGL2009-07323]; FEDER; 'Ramon y Cajal' Subprogram (MICINN-European Social Fund); 'Ministerio de Economia y Competitividad' [CGL2012-30721]; MOVECLIM project (ANR under the Net-Biome call); RSF [14-14-00903, 14-24-00037]; RFBR [13-04-01427, 12-04-01476]; 'The Survey of new and unrecorded taxa in vascular plants (NIBR)' - Ministry of Environment of the Korean Government [2013-02-001]; NERC [bas0100025] Funding Source: UKRI; Natural Environment Research Council [bas0100025] Funding Source: researchfish</t>
  </si>
  <si>
    <t>Institute of Environmental Technologies - 'Research and Development for Innovations' Operational Programme; Structural Funds of the European Union; state budget of the Czech Republic; National Feasibility Programme I of the Czech Republic; SYNTHESYS project; University of Ostrava; Polish National Centre of Science; Institute of Botany of the Polish Academy of Sciences; Institute of Biology Bucharest of the Romanian Academy; Natural Environment Research Council(UK Research &amp; Innovation (UKRI)Natural Environment Research Council (NERC)); Scientific and Technological Research Council of Turkey (TUBITAK)(Turkiye Bilimsel ve Teknolojik Arastirma Kurumu (TUBITAK)); Spanish Ministerio de Economia y Competitividad (MINECO)(Spanish Government); Flora Briofitica Iberica from MINECO; MINECO(Spanish Government); Spanish 'Ministerio de Ciencia e Innovacion'(Instituto de Salud Carlos IIISpanish Government); FEDER(European Union (EU)Spanish Government); 'Ramon y Cajal' Subprogram (MICINN-European Social Fund); 'Ministerio de Economia y Competitividad'(Spanish Government); MOVECLIM project (ANR under the Net-Biome call)(Agence Nationale de la Recherche (ANR)); RSF(Russian Science Foundation (RSF)); RFBR(Russian Foundation for Basic Research (RFBR)); 'The Survey of new and unrecorded taxa in vascular plants (NIBR)' - Ministry of Environment of the Korean Government(Ministry of Environment (ME), Republic of Korea); NERC(UK Research &amp; Innovation (UKRI)Natural Environment Research Council (NERC)); Natural Environment Research Council(UK Research &amp; Innovation (UKRI)Natural Environment Research Council (NERC))</t>
  </si>
  <si>
    <t>The contribution by V. Plasek is part of a research project of the Institute of Environmental Technologies, reg. no. CZ.1.05/2.1.00/03.0100, supported by the 'Research and Development for Innovations' Operational Programme, and financed by the Structural Funds of the European Union and by the state budget of the Czech Republic, Project LO1208 of the National Feasibility Programme I of the Czech Republic, and SYNTHESYS project FR-TAF-3686. The contribution by L. Cihal is a part of grant project SGS27/PRF/2014 financed by University of Ostrava. The contributions by R. Ochyra have been financially supported by the Polish National Centre of Science through grant no. N N 303 469 338 and, in part, by the statutory fund of the Institute of Botany of the Polish Academy of Sciences. He also thanks Helen J. Peat, Cambridge, for kindly allowing him to study the herbarium collections from AAS. S. Stefanut, acknowledges the support by project no. RO1567-IBB03/2014 through the Institute of Biology Bucharest of the Romanian Academy. J. Vana and K. K. Newsham acknowledge the logistics support that was provided by the British Antarctic Survey's Operations Group, officers and crew of the RRS Ernest Shackleton and staff at King Edward Point research station, and thank Helen J. Peat for the loan of AAS herbarium specimens. Funding was provided by the Natural Environment Research Council. All are gratefully acknowledged.; Peter Szucs and Andras Bidlo would like to thank Peter Erzberger for examining the specimen of Campylopus introflexus, and Gyorgy Pulger for his assistance in fieldwork. Tulay Ezer and Recep Kara are indebted to the Scientific and Technological Research Council of Turkey (TUBITAK) for financial support (Project Code: 111T359).; M. J. Gil-Lopez, F. Puche, and J. G. Segarra-Moragues thank H. Kharbouch (SahaTours), F. Pacheco, J. P. Peralta, and F. Rivera for their help in field work. M. J. Gil-Lopez benefited from a FPU PhD grant from the Spanish Ministerio de Economia y Competitividad (MINECO). F. Puche acknowledges funds from project CGL2009-09530, Flora Briofitica Iberica from MINECO. J. G. Segarra-Moragues benefited from a 'Ramon y Cajal' post-doctoral contract from MINECO. Juan Larrain and Amalia B. Biasuso thank Reinaldo Vargas and Gotz Palfner for their company in the field. Marta Alonso and David Long acknowledge the financial support of the Spanish 'Ministerio de Ciencia e Innovacion' (projects CGL2010-15959 co-financed by FEDER) and 'Ramon y Cajal' Subprogram (MICINN-European Social Fund). We also thank Maria J. Cano and Juan A. Jimenez for their contribution to this work.; D. Rios, M. T. Gallego, and J. Guerra are grateful to Len Ellis for organising the loan of specimens and assistance during the visit of the first author to the BM herbarium. This research was carried out with financial support from the Spanish 'Ministerio de Ciencia e Innovacion' and 'Ministerio de Economia y Competitividad' [Projects CGL2009-07323 and CGL2012-30721, respectively].; Terry Hedderson is grateful to Jean-Yves Meyer, Ravahere Tuputuari, Claudine Ah-Peng, and Oliver Flores for field assistance and companionship and to the MOVECLIM project (ANR under the Net-Biome call) for funding the fieldwork on Tahiti. The study by E.V. Sofronova was supported by RSF (project no. 14-14-00903), that by Y.S. Mamontov was partly supported by RFBR (project no. 13-04-01427 and 12-04-01476), and that by A. D. Potemkin was supported by RSF (project no. 14-24-00037). The research by Yoon Young-Jun, Benito C. Tan and Byung-Yun Sun was supported by grants from 'The Survey of new and unrecorded taxa in vascular plants (NIBR No. 2013-02-001)' funded by the Ministry of Environment of the Korean Government.</t>
  </si>
  <si>
    <t>0373-6687</t>
  </si>
  <si>
    <t>1743-2820</t>
  </si>
  <si>
    <t>J BRYOL</t>
  </si>
  <si>
    <t>J. Bryol.</t>
  </si>
  <si>
    <t>10.1179/1743282014Y.0000000123</t>
  </si>
  <si>
    <t>CA0GH</t>
  </si>
  <si>
    <t>WOS:000348594500007</t>
  </si>
  <si>
    <t>Schlichtholz, P</t>
  </si>
  <si>
    <t>Schlichtholz, Pawel</t>
  </si>
  <si>
    <t>Local Wintertime Tropospheric Response to Oceanic Heat Anomalies in the Nordic Seas Area</t>
  </si>
  <si>
    <t>ANTARCTIC CIRCUMPOLAR WAVE; NORTH-ATLANTIC SST; ATMOSPHERIC RESPONSE; ICE ANOMALIES; BARENTS SEA; INTERANNUAL VARIABILITY; CIRCULATION; SYSTEM; FEEDBACK; EDGE</t>
  </si>
  <si>
    <t>Aregression analysis between observed summertimeAtlantic water temperature anomalies at the entrance to the Barents Sea and atmospheric fields in the following winter from the NCEP-NCAR reanalysis in the period 1982-2006 is carried out. It shows that the ocean plays a key role in shapingwintertime tropospheric variability in the Nordic seas (Greenland-Iceland-Norwegian and Barents Seas) region. The oceanically driven atmospheric circulation anomaly around the Nordic seas marginal ice zone is intensified at the surface as a result of a thermally direct baroclinic adjustment. Frictional convergence in the cyclonic disturbance corresponding to warm ocean temperature anomalies forces ascending motion at the top of the planetary boundary layer and a compensating divergence aloft, which over the Barents Sea is extreme at the tropopause. A quasi-meridional overturning circulation anomaly is closed by descending motion south of the cyclonic disturbance. In addition, an equivalent barotropic flow anomaly appears in the upper troposphere. It is partly driven by eddy-mean flow interactions, as revealed by anomalies in the vorticity budget. The atmospheric response to oceanic forcing in the Nordic seas area is unique because of the prominent role of surface friction and because of specific profiles of diabatic heating and eddy heat flux convergence over the Barents Sea.As revealed by anomalies in the heat budget, the combined effect of diabatic heating and thermal eddy forcing acts, when the diabatic heating is positive, as a heat sink at the surface and a heat source aloft. The strongest anomalous heating occurs in the upper troposphere/lower stratosphere where it counteracts the dynamic cooling owing to anomalous ascending motion.</t>
  </si>
  <si>
    <t>Polish Acad Sci, Inst Oceanol, PL-81712 Sopot, Poland</t>
  </si>
  <si>
    <t>Polish Academy of Sciences; Institute of Oceanology of the Polish Academy of Sciences</t>
  </si>
  <si>
    <t>Schlichtholz, P (corresponding author), Polish Acad Sci, Inst Oceanol, Powstancow Warszawy 55, PL-81712 Sopot, Poland.</t>
  </si>
  <si>
    <t>schlicht@iopan.gda.pl</t>
  </si>
  <si>
    <t>Schlichtholz, Pawel/V-5371-2017</t>
  </si>
  <si>
    <t>Schlichtholz, Pawel/0000-0001-9774-5372</t>
  </si>
  <si>
    <t>10.1175/JCLI-D-13-00763.1</t>
  </si>
  <si>
    <t>WOS:000346055100025</t>
  </si>
  <si>
    <t>Loureiro, J; Tavares, D; Ferreira, S; Seco, J; Valente, T; Trathan, P; Barbosa, A; Chipev, N; Xavier, JC</t>
  </si>
  <si>
    <t>Loureiro, Joao; Tavares, Daniela; Ferreira, Sonia; Seco, Jose; Valente, Tiago; Trathan, Phil; Barbosa, Andres; Chipev, Nesho; Xavier, Jose C.</t>
  </si>
  <si>
    <t>Sex identification in Gentoo (Pygoscelis papua) and Chinstrap (Pygoscelis antarctica) penguins: Can flow cytometry be used as a reliable identification method?</t>
  </si>
  <si>
    <t>Flow cytometry; Nuclear DNA content; Penguins; PL/PR primers; Sex discriminant functions; Sexing</t>
  </si>
  <si>
    <t>RAPID IDENTIFICATION; DNA CONTENT; BIRDS</t>
  </si>
  <si>
    <t>An important scientific question in ecology is how to differentiate males from females that have similar morphology. In penguins, due to their monomorphic plumage, it is difficult to determine gender. So far, most approaches to address this problem have focused on using sex based discriminant functions combined with DNA based tools as a validation method. As discriminant functions can be species and locality specific, in this study we explored the feasibility of using flow cytometry to determine the sex of two species of penguins, Pygoscelis antarctica and Pygoscelis papua. Our results for sex assessment determined by flow cytometry were compared with those obtained using morphological characters (bill length and depth), and DNA based methods (using the PL/PR primer pair) were used-to validate both approaches. For both species, statistically significant differences were observed between males and females, with males presenting on average 2.1% more nuclear DNA than females. Flow cytometry enabled similar or better rates of correct sex assignment (86.4% and 80.0%) than sex discriminant functions (31.8% and 90.0%) for P. antarctica and P. pcipua, respectively, and thus may be considered as a promising alternative to the use of morphological data for sex identification. Nevertheless, some individuals with intermediate genome size values were observed, which increased the difficulty of categorically assigning their sex. Therefore, flow cytometry alone cannot be considered in all cases, but if used together with DNA-based methods in targeted samples, it can be used to efficiently estimate the gender of, at least, these two penguin species, with the potential to be used in other species. (C) 2014 Elsevier B.V. All rights reserved.</t>
  </si>
  <si>
    <t>[Loureiro, Joao; Tavares, Daniela] Univ Coimbra, Dept Life Sci, CFE, P-3001401 Coimbra, Portugal; [Ferreira, Sonia] Inst Educ &amp; Citizenship, Dept Hlth &amp; Educ, P-3770033 Mamarrosa, Portugal; [Seco, Jose; Valente, Tiago; Xavier, Jose C.] Univ Coimbra, Dept Life Sci, Inst Marine Res, P-3001401 Coimbra, Portugal; [Trathan, Phil; Xavier, Jose C.] British Antarctic Survey, NERC, Cambridge CB3 0ET, England; [Barbosa, Andres] CSIC, Museo Nacl Ciencias Nat, Dept Ecol Evolut, E-28006 Madrid, Spain; [Chipev, Nesho] Bulgarian Acad Sci, Cent Lab Gen Ecol, Sofia 1113, Bulgaria</t>
  </si>
  <si>
    <t>Universidade de Coimbra; Universidade de Coimbra; UK Research &amp; Innovation (UKRI); Natural Environment Research Council (NERC); NERC British Antarctic Survey; Consejo Superior de Investigaciones Cientificas (CSIC); CSIC - Museo Nacional de Ciencias Naturales (MNCN); Bulgarian Academy of Sciences</t>
  </si>
  <si>
    <t>Loureiro, J (corresponding author), Univ Coimbra, Dept Life Sci, CFE, POB 3046, P-3001401 Coimbra, Portugal.</t>
  </si>
  <si>
    <t>jloureiro@bot.uc.pt</t>
  </si>
  <si>
    <t>Chipev, Nesho/ABG-8857-2021; loureiro, joão/GZL-6236-2022; Xavier, José/KFB-6739-2024; Seco, José/AAS-4612-2020; Barbosa, Andrés/C-3208-2008; Loureiro, João/B-4830-2008; Ferreira, Sonia/C-8764-2009</t>
  </si>
  <si>
    <t>Seco, José/0000-0002-7957-6488; Barbosa, Andrés/0000-0001-8434-3649; Loureiro, João/0000-0002-9068-3954; /0000-0002-9621-6660; Tavares, Daniela/0000-0002-3358-9443; Ferreira, Sonia/0000-0001-6475-5742</t>
  </si>
  <si>
    <t>Ministry of Science and Higher Education, Portugal (PENGUIN Project) [PTDC/MAR/116952/2010]; Ministry of Science and Higher Education, Portugal (Fundacao para a Ciencia e a Tecnologia); British Antarctic Survey; CEPH [PTDC/BIA-BIC/4172/2012]; SCAR AnT-ERA (Antarctic Thresholds - Ecosystems resilience and adaptation); ICED (Integrating Climate and Ecosystem dynamics in the Southern Ocean); Spanish Polar Committee</t>
  </si>
  <si>
    <t>Ministry of Science and Higher Education, Portugal (PENGUIN Project); Ministry of Science and Higher Education, Portugal (Fundacao para a Ciencia e a Tecnologia)(Fundacao para a Ciencia e a Tecnologia (FCT)); British Antarctic Survey; CEPH; SCAR AnT-ERA (Antarctic Thresholds - Ecosystems resilience and adaptation); ICED (Integrating Climate and Ecosystem dynamics in the Southern Ocean); Spanish Polar Committee</t>
  </si>
  <si>
    <t>This research was supported by the Ministry of Science and Higher Education, Portugal (PENGUIN Project, PTDC/MAR/116952/2010, Fundacao para a Ciencia e a Tecnologia), the British Antarctic Survey and is under the research programmes CEPH 2013 (PTDC/BIA-BIC/4172/2012), SCAR AnT-ERA (Antarctic Thresholds - Ecosystems resilience and adaptation), and ICED (Integrating Climate and Ecosystem dynamics in the Southern Ocean). M. Polito provided helpful comments and revisions to an earlier version of this manuscript. Procedures used in this study comply with the current laws for working in Antarctica, with the permission to work in the study area and for penguin handling granted by the Spanish Polar Committee. This paper represents a contribution to the British Antarctic Survey Ecosystems Programme and to the Portuguese Polar Programme PROPOLAR. [SS]</t>
  </si>
  <si>
    <t>10.1016/j.jembe.2014.08.021</t>
  </si>
  <si>
    <t>AX4HU</t>
  </si>
  <si>
    <t>WOS:000346894900044</t>
  </si>
  <si>
    <t>Rajanahally, MA; Sim, D; Ryan, KG; Convey, P</t>
  </si>
  <si>
    <t>Rajanahally, Meghana A.; Sim, Dalice; Ryan, Ken G.; Convey, Peter</t>
  </si>
  <si>
    <t>Can bottom ice algae tolerate irradiance and temperature changes?</t>
  </si>
  <si>
    <t>Electron transport rates; Ice melt; Photophysiology; Quantum efficiency of PSII; Sea ice</t>
  </si>
  <si>
    <t>ANTARCTIC SEA-ICE; AMINO-ACIDS; CHLOROPHYLL FLUORESCENCE; POPULATION-CHANGES; SOUTHERN-OCEAN; CLIMATE-CHANGE; QUANTUM YIELD; SHORT-TERM; ROSS SEA; PHOTOSYNTHESIS</t>
  </si>
  <si>
    <t>Sea ice algae are significant primary producers of the ice-covered marine environment, growing under typically cold, dim conditions. During ice break-up they are released to the water column, where temperatures can be several degrees higher and irradiance can increase by orders of magnitude. To determine how sea ice algae respond to such rapid changes, we carried out incubations to examine their tolerance to environmentally realistic levels of change in temperature and PAR, as expressed by photosynthetic response and production of mycosporine-like amino acids (MAAs). The algae were also exposed to a broader range of temperatures, to evaluate their potential to function in warmer seas in the event, for instance, of anthropogenic transfer to locations further north. When subjected to PAR (0-100 mu mol m(2) s(-1)) at ecologically relevant temperatures (-1 degrees C, 2 degrees C, 5 degrees C), the algae showed tolerance, indicated by a lack of decline in the quantum efficiency of photosystem II (PSII). The data show that bottom ice algae can tolerate increasing temperature and PAR comparable to the changes experienced during and after sea ice melt. MAA production increased at higher PAR and temperature. At ambient PAR levels, increased temperatures resulted in lower phi(PSII). However, as PAR levels were increased, higher temperature reduced the level of stress as indicated by higher phi(PSII) values. This result suggests, for the first time in sea ice algal studies, that higher temperatures can ameliorate the negative effects of increased PAR. Exposure to much higher temperatures suggested that the algae were capable of retaining some photosynthetic function at water temperatures well above those currently experienced in some of their Antarctic habitats. However, when temperature was gradually increased past 14 degrees C, the photosystems started to become inactivated as indicated by a decrease in quantum yield, suggesting that the algae would not be viable if transferred to lower latitude cold temperate areas. (C) 2014 Elsevier B.V. All rights reserved.</t>
  </si>
  <si>
    <t>[Rajanahally, Meghana A.; Ryan, Ken G.] Victoria Univ Wellington, Sch Biol Sci, Wellington 6140, New Zealand; [Sim, Dalice] Victoria Univ Wellington, Sch Math Stat &amp; Operat Res, Wellington 6140, New Zealand; [Convey, Peter] NERC, British Antarct Survey, Cambridge CB3 0E7, England; [Convey, Peter] Univ Malaya, Natl Antarct Res Ctr, Inst Grad Studies, Kuala Lumpur 50603, Malaysia</t>
  </si>
  <si>
    <t>Victoria University Wellington; Victoria University Wellington; UK Research &amp; Innovation (UKRI); Natural Environment Research Council (NERC); NERC British Antarctic Survey; Universiti Malaya</t>
  </si>
  <si>
    <t>Rajanahally, MA (corresponding author), Victoria Univ Wellington, POB 600, Wellington 6140, New Zealand.</t>
  </si>
  <si>
    <t>meghana.rajanahally@gmail.com</t>
  </si>
  <si>
    <t>Convey, Peter/0000-0001-8497-9903; Ryan, Ken/0000-0001-7075-0112</t>
  </si>
  <si>
    <t>VUW [100241]; FRST [VICX0706]; NERC; Natural Environment Research Council [NE/E013287/1, bas0100025] Funding Source: researchfish; NERC [NE/E013287/1, bas0100025] Funding Source: UKRI</t>
  </si>
  <si>
    <t>VUW; FRST(New Zealand Foundation for Research, Science and Technology); NERC(UK Research &amp; Innovation (UKRI)Natural Environment Research Council (NERC)); Natural Environment Research Council(UK Research &amp; Innovation (UKRI)Natural Environment Research Council (NERC)); NERC(UK Research &amp; Innovation (UKRI)Natural Environment Research Council (NERC))</t>
  </si>
  <si>
    <t>We acknowledge the support from VUW Grant 100241, and FRST Grant VICX0706. MAF permits 2009037596 and 2010040450 were used to transport cultures and samples from Antarctica to New Zealand. We thank Antarctica New Zealand for logistic support in the field. Phil Lester, Kevin Newsham and an anonymous referee are thanked for the advice and critical comments in the development of this manuscript. PC is supported by NERC funding to the BAS Core Programme 'Ecosystems'. This paper also contributes to the international SCAR research programme 'AnT-ERA'. Fig. 1 was prepared by Peter Fretwell, BAS. [ST]</t>
  </si>
  <si>
    <t>10.1016/j.jembe.2014.10.005</t>
  </si>
  <si>
    <t>WOS:000346894900061</t>
  </si>
  <si>
    <t>Granfors, A; Ahnoff, M; Mills, MM; Abrahamsson, K</t>
  </si>
  <si>
    <t>Granfors, Anna; Ahnoff, Martin; Mills, Matthew M.; Abrahamsson, Katarina</t>
  </si>
  <si>
    <t>Organic iodine in Antarctic sea ice: A comparison between winter in the Weddell Sea and summer in the Amundsen Sea</t>
  </si>
  <si>
    <t>Journal of Geophysical Research-Biogeosciences</t>
  </si>
  <si>
    <t>sea ice; organoiodine; halocarbons; chlorophyll a</t>
  </si>
  <si>
    <t>HALOGEN ACTIVATION; OZONE DEPLETION; BOUNDARY-LAYER; BROMINE; POLAR; HALOCARBONS; TROPOSPHERE; CHEMISTRY; ATMOSPHERE; SATELLITE</t>
  </si>
  <si>
    <t>Recent studies have recognized sea ice as a source of reactive iodine to the Antarctic boundary layer. Volatile iodinated compounds (iodocarbons) are released from sea ice, and they have been suggested to contribute to the formation of iodine oxide (IO), which takes part in tropospheric ozone destruction in the polar spring. We measured iodocarbons (CH3I, CH2ClI, CH2BrI, and CH2I2) in sea ice, snow, brine, and air during two expeditions to Antarctica, OSO 10/11 to the Amundsen Sea during austral summer and ANT XXIX/6 to the Weddell Sea in austral winter. These are the first reported measurements of iodocarbons from the Antarctic winter. Iodocarbons were enriched in sea ice in relation to seawater in both summer and winter. During summer, the positive relationship to chlorophyll a biomass indicated a biological origin. We suggest that CH3I is formed biotically in sea ice during both summer and winter. For CH2ClI, CH2BrI, and CH2I2, an additional abiotic source at the snow/ice interface in winter is suggested. Elevated air concentrations of CH3I and CH2ClI during winter indicate that they are enriched in lower troposphere and may take part in the formation of IO at polar sunrise.</t>
  </si>
  <si>
    <t>[Granfors, Anna; Ahnoff, Martin; Abrahamsson, Katarina] Univ Gothenburg, Dept Chem &amp; Mol Biol, Gothenburg, Sweden; [Mills, Matthew M.] Stanford Univ, Stanford, CA 94305 USA</t>
  </si>
  <si>
    <t>University of Gothenburg; Stanford University</t>
  </si>
  <si>
    <t>Abrahamsson, K (corresponding author), Univ Gothenburg, Dept Chem &amp; Mol Biol, Gothenburg, Sweden.</t>
  </si>
  <si>
    <t>k@chem.gu.se</t>
  </si>
  <si>
    <t>Swedish Research Council VR; National Science Foundation Office of Polar Programs [ANT-0838872]</t>
  </si>
  <si>
    <t>Swedish Research Council VR(Swedish Research Council); National Science Foundation Office of Polar Programs(National Science Foundation (NSF)NSF - Directorate for Geosciences (GEO))</t>
  </si>
  <si>
    <t>This work was financed by the Swedish Research Council VR and the National Science Foundation Office of Polar Programs grant to K.R. Arrigo (ANT-0838872). All data will be available in PANGAEA Data publisher for Earth and Environmental Science after publication. The collaborative effort during the OSO 10/11 expedition of the National Science Foundation and the Swedish Polar Secretariat is acknowledged. We wish to thank the captains, all crew members, and fellow scientists onboard RVIB Oden and R/V Polarstern for assistance. Also, N. Forsgard and Z. Brown (OSO 10/11) and K. Gardfeldt, M. Nerentorp (ANTXXIX/6), and the biogeochemistry group are acknowledged for their assistance. A special thanks to Gerhard Dieckmann for helping out with coring equipment.</t>
  </si>
  <si>
    <t>2169-8953</t>
  </si>
  <si>
    <t>2169-8961</t>
  </si>
  <si>
    <t>J GEOPHYS RES-BIOGEO</t>
  </si>
  <si>
    <t>J. Geophys. Res.-Biogeosci.</t>
  </si>
  <si>
    <t>10.1002/2014JG002727</t>
  </si>
  <si>
    <t>Environmental Sciences; Geosciences, Multidisciplinary</t>
  </si>
  <si>
    <t>CA4AN</t>
  </si>
  <si>
    <t>WOS:000348846800006</t>
  </si>
  <si>
    <t>Kingslake, J; Hindmarsh, RCA; Aoalgeirsdottir, G; Conway, H; Corr, HFJ; Gillet-Chaulet, F; Martín, C; King, EC; Mulvaney, R; Pritchard, HD</t>
  </si>
  <si>
    <t>Kingslake, Jonathan; Hindmarsh, Richard C. A.; Aoalgeirsdottir, Guofinna; Conway, Howard; Corr, Hugh F. J.; Gillet-Chaulet, Fabien; Martin, Carlos; King, Edward C.; Mulvaney, Robert; Pritchard, Hamish D.</t>
  </si>
  <si>
    <t>Full-depth englacial vertical ice sheet velocities measured using phase-sensitive radar</t>
  </si>
  <si>
    <t>ice sheets; glaciology; radar; ice core dating; ice rheology; ice flow</t>
  </si>
  <si>
    <t>SIPLE DOME; WEST ANTARCTICA; GROUNDING-LINE; FLOW; DIVIDES; STRAIN; CORE; ISOCHRONES; ANISOTROPY; THICKNESS</t>
  </si>
  <si>
    <t>We describe a geophysical technique to measure englacial vertical velocities through to the beds of ice sheets without the need for borehole drilling. Using a ground-based phase-sensitive radio echo sounder (pRES) during seven Antarctic field seasons, we measure the temporal changes in the position of englacial reflectors within ice divides up to 900m thick on Berkner Island, Roosevelt Island, Fletcher Promontory, and Adelaide Island. Recorded changes in reflector positions yield full-depth profiles of vertical ice velocity that we use to examine spatial variations in ice flow near the divides. We interpret these variations by comparing them to the results of a full-Stokes simulation of ice divide flow, qualitatively validating the model and demonstrating that we are directly detecting an ice-dynamical phenomenon called the Raymond Effect. Using pRES, englacial vertical ice velocities can be measured in higher spatial resolution than is possible using instruments installed within the ice. We discuss how these measurements could be used with inverse methods to measure ice rheology and to improve ice core dating by incorporating pRES-measured vertical velocities into age modeling.</t>
  </si>
  <si>
    <t>[Kingslake, Jonathan; Hindmarsh, Richard C. A.; Corr, Hugh F. J.; Martin, Carlos; King, Edward C.; Mulvaney, Robert; Pritchard, Hamish D.] British Antarctic Survey, Nat Environm Res Council, Cambridge CB3 0ET, England; [Aoalgeirsdottir, Guofinna] Univ Iceland, Inst Earth Sci, Reykjavik, Iceland; [Conway, Howard] Univ Washington, Dept Earth &amp; Space Sci, Seattle, WA 98195 USA; [Gillet-Chaulet, Fabien] CNRS, Lab Glaciol &amp; Geophys Environm, Grenoble, France; [Gillet-Chaulet, Fabien] Univ Grenoble Alpes, Lab Glaciol &amp; Geophys Environm, Grenoble, France</t>
  </si>
  <si>
    <t>UK Research &amp; Innovation (UKRI); Natural Environment Research Council (NERC); NERC British Antarctic Survey; University of Iceland; University of Washington; University of Washington Seattle; Communaute Universite Grenoble Alpes; Universite Grenoble Alpes (UGA); Centre National de la Recherche Scientifique (CNRS); Communaute Universite Grenoble Alpes; Universite Grenoble Alpes (UGA)</t>
  </si>
  <si>
    <t>Hindmarsh, Richard C A/C-1405-2012; Mulvaney, Robert/K-3929-2012; Pritchard, Hamish Daniel/AAU-4696-2021; Corr, Hugh/C-5398-2011; Adalgeirsdottir, Gudfinna/M-3073-2015; Martin, Carlos/S-2778-2018</t>
  </si>
  <si>
    <t>Conway, Howard/0000-0003-4634-3474; Martin, Carlos/0000-0002-2661-169X</t>
  </si>
  <si>
    <t>British Antarctic Survey's Polar Science for Planet Earth program; UK's National Environmental Research Council [NE/F00446X/1, NE/J008087/1]; U.S. National Science Foundation [ANT-0944307]; Office of Polar Programs (OPP); Directorate For Geosciences [0944307] Funding Source: National Science Foundation; NERC [bas0100027, NE/J008087/1] Funding Source: UKRI; Natural Environment Research Council [bas0100027, NE/J008087/1] Funding Source: researchfish</t>
  </si>
  <si>
    <t>British Antarctic Survey's Polar Science for Planet Earth program; UK's National Environmental Research Council; U.S. National Science Foundation(National Science Foundation (NSF));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</si>
  <si>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Logistical support for the work on Fletcher Promontory, Adelaide Island, and Berkner Island was provided by many members of the British Antarctic Survey's field operations team. Logistical support for the Roosevelt Island work was provided by Antarctica New Zealand (K049) and the U.S. Antarctic Program. This work was supported by the British Antarctic Survey's Polar Science for Planet Earth program and two standard grants from the UK's National Environmental Research Council: NE/F00446X/1 Measuring and modelling the Raymond Effect for to infer low strain rate ice rheology and NE/J008087/1 Dating and modelling fast ice sheet grounding-line retreat over the last 4000 years in the SW Weddell Sea, Antarctica. The work on Roosevelt Island was funded by the U.S. National Science Foundation (ANT-0944307). This is a contribution to the Roosevelt Island Climate Evolution (RICE) Programme, funded by contributions from New Zealand, Australia, Denmark, Germany, Italy, the People's Republic of China, Sweden, United Kingdom, and the U.S. Data published in this article can be obtained by contacting the corresponding author directly. We thank Martin Truffer, Reinhard Drews, and two anonymous reviewers for comments that have greatly improved the manuscript.</t>
  </si>
  <si>
    <t>10.1002/2014JF003275</t>
  </si>
  <si>
    <t>CA2JX</t>
  </si>
  <si>
    <t>WOS:000348735700004</t>
  </si>
  <si>
    <t>Gaube, P; McGillicuddy, DJ; Chelton, DB; Behrenfeld, MJ; Strutton, PG</t>
  </si>
  <si>
    <t>Gaube, Peter; McGillicuddy, Dennis J., Jr.; Chelton, Dudley B.; Behrenfeld, Michael J.; Strutton, Peter G.</t>
  </si>
  <si>
    <t>Regional variations in the influence of mesoscale eddies on near-surface chlorophyll</t>
  </si>
  <si>
    <t>mesoscale eddies; satellite observations; physical-biological interaction</t>
  </si>
  <si>
    <t>WESTERN-AUSTRALIAN COAST; COLD-CORE RINGS; SARGASSO SEA; LEEUWIN CURRENT; PHYTOPLANKTON GROWTH; TIME-SERIES; OCEAN; EDDY; DYNAMICS; WINDS</t>
  </si>
  <si>
    <t>Eddies can influence biogeochemical cycles through a variety of mechanisms, including the excitation of vertical velocities and the horizontal advection of nutrients and ecosystems, both around the eddy periphery by rotational currents and by the trapping of fluid and subsequent transport by the eddy. In this study, we present an analysis of the influence of mesoscale ocean eddies on near-surface chlorophyll (CHL) estimated from satellite measurements of ocean color. The influences of horizontal advection, trapping, and upwelling/downwelling on CHL are analyzed in an eddy-centric frame of reference by collocating satellite observations to eddy interiors, as defined by their sea surface height signatures. The influence of mesoscale eddies on CHL varies regionally. In most boundary current regions, cyclonic eddies exhibit positive CHL anomalies and anticyclonic eddies contain negative CHL anomalies. In the interior of the South Indian Ocean, however, the opposite occurs. The various mechanisms by which eddies can influence phytoplankton communities are summarized and regions where the observed CHL response to eddies is consistent with one or more of the mechanisms are discussed. This study does not attempt to link the observed regional variability definitively to any particular mechanism but provides a global overview of how eddies influence CHL anomalies.</t>
  </si>
  <si>
    <t>[Gaube, Peter; McGillicuddy, Dennis J., Jr.] Woods Hole Oceanog Inst, Dept Appl Ocean Phys &amp; Engn, Woods Hole, MA 02543 USA; [Chelton, Dudley B.] Oregon State Univ, Coll Earth Ocean &amp; Atmospher Sci, Corvallis, OR 97331 USA; [Behrenfeld, Michael J.] Oregon State Univ, Dept Bot &amp; Plant Pathol, Corvallis, OR 97331 USA; [Strutton, Peter G.] Univ Tasmania, Inst Marine &amp; Antarctic Studies, Hobart, Tas, Australia; [Strutton, Peter G.] Univ Tasmania, Australian Res Council Ctr Excellence Climate Sys, Hobart, Tas, Australia</t>
  </si>
  <si>
    <t>Woods Hole Oceanographic Institution; Oregon State University; Oregon State University; University of Tasmania; University of Tasmania</t>
  </si>
  <si>
    <t>Gaube, P (corresponding author), Woods Hole Oceanog Inst, Dept Appl Ocean Phys &amp; Engn, Woods Hole, MA 02543 USA.</t>
  </si>
  <si>
    <t>; Strutton, Peter/C-4466-2011</t>
  </si>
  <si>
    <t>McGillicuddy, Dennis/0000-0002-1437-2425; Della Penna, Alice/0000-0002-7579-3610; Strutton, Peter/0000-0002-2395-9471</t>
  </si>
  <si>
    <t>NASA [NNX08AI80G, NNX08AR37G, NNX10AO98G]; NASA grant [NNX13AE47G]; NSF [OCE-1048897]; Directorate For Geosciences; Division Of Ocean Sciences [1048897] Funding Source: National Science Foundation; NASA [126603, NNX10AO98G, 475362, NNX13AE47G, 95201, NNX08AR37G, 100261, NNX08AI80G] Funding Source: Federal RePORTER</t>
  </si>
  <si>
    <t>NASA(National Aeronautics &amp; Space Administration (NASA)); NASA grant(National Aeronautics &amp; Space Administration (NASA)); NSF(National Science Foundation (NSF)); Directorate For Geosciences; Division Of Ocean Sciences(National Science Foundation (NSF)NSF - Directorate for Geosciences (GEO)); NASA(National Aeronautics &amp; Space Administration (NASA))</t>
  </si>
  <si>
    <t>We thank Collecte Localis Satellites, AVISO (http://www.aviso.oceanobs.com) for the SSH observations, NASA MEaSUREs Ocean Color Product Evaluation Project (ftp://ftp.oceancolor.ucsb.edu/) for the CHL observations, and Remote Sensing Systems (http://www.ssmi.com) for providing the QuikSCAT vector wind observations. We thank Allen Milligan, Ricardo Letelier, Toby Westberry, Ata Suanda, Jason Graff, and Martin S. Hoecker-Martinez for fruitful discussions in the preparation of this manuscript. We also thank Aurelie J. Moulin for providing valuable feedback and editorial comments on an earlier draft of the manuscript and two anonymous reviewers for comments that improved the manuscript. This work was funded by NASA grants NNX08AI80G, NNX08AR37G, and NNX10AO98G. DJM gratefully acknowledges NASA grant NNX13AE47G and NSF grant OCE-1048897.</t>
  </si>
  <si>
    <t>10.1002/2014JC010111</t>
  </si>
  <si>
    <t>WOS:000348452800001</t>
  </si>
  <si>
    <t>Johnson, GC; McTaggart, KE; Wanninkhof, R</t>
  </si>
  <si>
    <t>Johnson, Gregory C.; McTaggart, Kristene E.; Wanninkhof, Rik</t>
  </si>
  <si>
    <t>Antarctic Bottom Water temperature changes in the western South Atlantic from 1989 to 2014</t>
  </si>
  <si>
    <t>Antarctic Bottom Water; abyssal warming; Brazil Basin; repeat hydrography; Argentine Basin; ocean temperature</t>
  </si>
  <si>
    <t>SEA-LEVEL RISE; WEDDELL SEA; GLOBAL HEAT; DEEP; OCEAN; VARIABILITY; ABYSSAL; BUDGETS; CHANNEL</t>
  </si>
  <si>
    <t>Warming of abyssal waters in recent decades contributes to global heat uptake and sea level rise. Repeat oceanographic section data in the western South Atlantic taken mostly in 1989 (1995 across the Scotia Sea), 2005, and 2014 are used to quantify warming in abyssal waters that spread northward through the region from their Antarctic origins in the Weddell Sea. While much of the Scotia Sea warmed between 1995 and 2005, only the southernmost portion, on the north side of the Weddell Gyre, continued to warm between 2005 and 2014. The abyssal Argentine Basin also warmed between 1989 and 2005, but again only the southernmost portion continued to warm between 2005 and 2014, suggesting a slowdown in the inflow of the coldest, densest Antarctic Bottom Waters into the western South Atlantic between 1989 and 2014. In contrast, the abyssal waters of the Brazil Basin warmed both between 1989 and 2005 and between 2005 and 2014, at a rate of about 2 m degrees C yr(-1). This warming is also assessed in terms of the rates of change of heights above the bottom for deep isotherms in each deep basin studied. These results, together with findings from previous studies, suggest the deep warming signal observed in the Weddell Sea after the mid-1970s Weddell Polynya was followed by abyssal warming in the Argentine Basin from the late 1970s through about 2005, then warming in the deep Vema Channel from about 1992 through at least 2010, and warming in the Brazil Basin from 1989 to 2014.</t>
  </si>
  <si>
    <t>[Johnson, Gregory C.; McTaggart, Kristene E.] NOAA, Pacific Marine Environm Lab, Seattle, WA 98115 USA; [Wanninkhof, Rik] NOAA, Atlantic Oceanog &amp; Meteorol Lab, Miami, FL 33149 USA</t>
  </si>
  <si>
    <t>National Oceanic Atmospheric Admin (NOAA) - USA; National Oceanic Atmospheric Admin (NOAA) - USA; Atlantic Oceanographic &amp; Meteorological Laboratory (AOML)</t>
  </si>
  <si>
    <t>Johnson, GC (corresponding author), NOAA, Pacific Marine Environm Lab, 7600 Sand Point Way Ne, Seattle, WA 98115 USA.</t>
  </si>
  <si>
    <t>gregory.c.johnson@noaa.gov</t>
  </si>
  <si>
    <t>Johnson, Gregory C/I-6559-2012</t>
  </si>
  <si>
    <t>Johnson, Gregory C/0000-0002-8023-4020</t>
  </si>
  <si>
    <t>NOAA Climate Program Office; NOAA Research</t>
  </si>
  <si>
    <t>NOAA Climate Program Office(National Oceanic Atmospheric Admin (NOAA) - USA); NOAA Research(National Oceanic Atmospheric Admin (NOAA) - USA)</t>
  </si>
  <si>
    <t>Thanks to all those who helped to collect, process, and calibrate the data from the oceanographic sections analyzed here. These data are publicly available from http://cchdo.ucsd.edu/. Comments from two anonymous reviewers helped to improve the manuscript. This work was supported by the NOAA Climate Program Office and NOAA Research. PMEL contribution 4188.</t>
  </si>
  <si>
    <t>10.1002/2014JC010367</t>
  </si>
  <si>
    <t>WOS:000348452800021</t>
  </si>
  <si>
    <t>Polzin, KL; Garabato, ACN; Abrahamsen, EP; Jullion, L; Meredith, MP</t>
  </si>
  <si>
    <t>Polzin, K. L.; Garabato, A. C. Naveira; Abrahamsen, E. P.; Jullion, L.; Meredith, M. P.</t>
  </si>
  <si>
    <t>Boundary mixing in Orkney Passage outflow</t>
  </si>
  <si>
    <t>mixing; transport; control volume</t>
  </si>
  <si>
    <t>ANTARCTIC BOTTOM WATER; SEA-LEVEL RISE; SOUTHERN-OCEAN; WEDDELL SEA; OVERTURNING CIRCULATION; SCOTIA SEA; DEEP; ABYSSAL; SCALES; EXPORT</t>
  </si>
  <si>
    <t>One of the most remarkable features of contemporary oceanic climate change is the warming and contraction of Antarctic Bottom Water over much of global ocean abyss. These signatures represent changes in ventilation mediated by mixing and entrainment processes that may be location-specific. Here we use available data to document, as best possible, those mixing processes as Weddell Sea Deep and Bottom Waters flow along the South Orkney Plateau, exit the Weddell Sea via Orkney Passage and fill the abyssal Scotia Sea. First, we find that an abrupt transition in topography upstream of Orkney Passage delimits the extent of the coldest waters along the Plateau's flanks and may indicate a region of especially intense mixing. Second, we revisit a control volume budget by Heywood et al. (2002) for waters trapped within the Scotia Sea after entering through Orkney Passage. This budget requires extremely vigorous water mass transformations with a diapycnal transfer coefficient of 39(10)x10-4 m(2) s(-1). Evidence for such intense diapycnal mixing is not found in the abyssal Scotia Sea interior and, while we do find large rates of diapycnal mixing in conjunction with a downwelling Ekman layer on the western side of Orkney Passage, it is insufficient to close the budget. This leads us to hypothesize that the Heywood budget is closed by a boundary mixing process in which the Ekman layer associated with the Weddell Sea Deep Water boundary current experiences relatively large vertical scale overturning associated with tidal forcing along the southern boundary of the Scotia Sea.</t>
  </si>
  <si>
    <t>[Polzin, K. L.] Woods Hole Oceanog Inst, Dept Phys Oceanog, Woods Hole, MA 02543 USA; [Garabato, A. C. Naveira] Univ Southampton, Natl Oceanog Ctr, Southampton, Hants, England; [Abrahamsen, E. P.; Meredith, M. P.] British Antarctic Survey, NERC, Cambridge CB3 0ET, England; [Jullion, L.] Florida State Univ, Inst Geophys Fluid Dynam, Tallahassee, FL 32306 USA; [Meredith, M. P.] Scottish Assoc Marine Sci, Oban, Argyll, Scotland</t>
  </si>
  <si>
    <t>Woods Hole Oceanographic Institution; NERC National Oceanography Centre; University of Southampton; UK Research &amp; Innovation (UKRI); Natural Environment Research Council (NERC); NERC British Antarctic Survey; State University System of Florida; Florida State University; UHI Millennium Institute</t>
  </si>
  <si>
    <t>Polzin, KL (corresponding author), Woods Hole Oceanog Inst, Dept Phys Oceanog, Woods Hole, MA 02543 USA.</t>
  </si>
  <si>
    <t>kpolzin@whoi.edu</t>
  </si>
  <si>
    <t>Garabato, Alberto Naveira/AAQ-1114-2020; Abrahamsen, Povl/B-2140-2008; Jullion, Loic/B-3304-2011</t>
  </si>
  <si>
    <t>Garabato, Alberto Naveira/0000-0001-6071-605X; Abrahamsen, Povl/0000-0001-5924-5350; Jullion, Loic/0000-0001-6269-6750; Meredith, Michael/0000-0002-7342-7756</t>
  </si>
  <si>
    <t>Woods Hole Oceanographic Institution bridge support funds; Philip Leverhulme Prize; ANDREX project - U.K. National Environment Research Council [NE/E01366X/1]; NERC [NE/K012843/1, NE/E005667/1, NE/E006663/1, NE/E007058/1, NE/E01366X/1, bas0100028] Funding Source: UKRI; Natural Environment Research Council [NE/K012843/1, NE/E01366X/1, NE/E005667/1, NE/E006663/1, NE/E007058/1, bas0100028] Funding Source: researchfish</t>
  </si>
  <si>
    <t>Woods Hole Oceanographic Institution bridge support funds; Philip Leverhulme Prize(Leverhulme Trust); ANDREX project - U.K. National Environment Research Council; NERC(UK Research &amp; Innovation (UKRI)Natural Environment Research Council (NERC)); Natural Environment Research Council(UK Research &amp; Innovation (UKRI)Natural Environment Research Council (NERC))</t>
  </si>
  <si>
    <t>KLP gratefully acknowledges salary support from Woods Hole Oceanographic Institution bridge support funds. ACNG acknowledges the support of a Philip Leverhulme Prize. LJ and MPM were supported by the ANDREX project, funded by the U.K. National Environment Research Council (NE/E01366X/1). CTD and LADCP data utilized in this study can be obtained from the British Oceanographic Data Centre (BODC; www.bodc.ac.uk) and the Ocean Circulation Database (OCDB; www.awi.de).</t>
  </si>
  <si>
    <t>10.1002/2014JC010099</t>
  </si>
  <si>
    <t>Green Published, Bronze, Green Accepted</t>
  </si>
  <si>
    <t>WOS:000348452800024</t>
  </si>
  <si>
    <t>Kristoffersen, Y; Hofstede, C; Diez, A; Blenkner, R; Lambrecht, A; Mayer, C; Eisen, O</t>
  </si>
  <si>
    <t>Kristoffersen, Yngve; Hofstede, Coen; Diez, Anja; Blenkner, Richard; Lambrecht, Astrid; Mayer, Christoph; Eisen, Olaf</t>
  </si>
  <si>
    <t>Reassembling Gondwana: A new high quality constraint from vibroseis exploration of the sub-ice shelf geology of the East Antarctic continental margin</t>
  </si>
  <si>
    <t>Gondana; reconstruction; volcanic wedge</t>
  </si>
  <si>
    <t>DRONNING MAUD LAND; SOUTHEASTERN AFRICA; INDIAN-OCEAN; ANNANDAGSTOPPANE GRANITE; GRUNEHOGNA CRATON; CRUSTAL STRUCTURE; MOZAMBIQUE BASIN; GRENVILLE-AGE; EVOLUTION; BREAKUP</t>
  </si>
  <si>
    <t>The breakup of Gondwana is manifested by coeval early Jurassic Karoo magmatism in South Africa and East Antarctica. In South Africa, the large volumes of volcanic rocks of the adjoining Lebombo and Mwenetzi-Save monoclines represent a volcanic rift margin, and in East Antarctica, a corresponding feature, the Explora Wedge is buried below sediments and floating ice shelves on the continental margin of Dronning Maud Land. We use the seismic vibrator source to explore the sub-ice geology in Antarctica, and the new seismic reflection and available regional aeromagnetic data enable us to outline a dogleg landward extent of the Explora Wedge in Dronning Maud Land. The congruent inboard wedge geometries on the two continents define a high quality constraint, which facilitate for the first time, a geologically consistent and tight reconstruction of Africa relative to East Antarctica within Gondwana. The uncertainties in correlations of major geological features (mobile belts) from one continent to the other may now be of the order of ten's of kilometers rather than hundreds of kilometers.</t>
  </si>
  <si>
    <t>[Kristoffersen, Yngve; Blenkner, Richard] Univ Bergen, Dept Earth Sci, Bergen, Norway; [Hofstede, Coen; Diez, Anja; Eisen, Olaf] Helmholtz Ctr Polar &amp; Marine Res, Alfred Wegener Inst, Bremerhaven, Germany; [Lambrecht, Astrid; Mayer, Christoph] Bavarian Acad Sci &amp; Humanities, Munich, Germany</t>
  </si>
  <si>
    <t>University of Bergen; Helmholtz Association; Alfred Wegener Institute, Helmholtz Centre for Polar &amp; Marine Research</t>
  </si>
  <si>
    <t>Kristoffersen, Y (corresponding author), Univ Bergen, Dept Earth Sci, Bergen, Norway.</t>
  </si>
  <si>
    <t>yngve.kristoffersen@geo.uib.no</t>
  </si>
  <si>
    <t>Eisen, Olaf/K-3846-2012; Hofstede, Coen/JXM-4966-2024</t>
  </si>
  <si>
    <t>Eisen, Olaf/0000-0002-6380-962X; Diez, Anja/0000-0001-6443-6135</t>
  </si>
  <si>
    <t>Alfred Wegener Institute for Polar and Marine Research; Norwegian Petroleum Directorate; [EI 672/5-1]</t>
  </si>
  <si>
    <t>Alfred Wegener Institute for Polar and Marine Research; Norwegian Petroleum Directorate;</t>
  </si>
  <si>
    <t>We greatly appreciate the support of the Alfred Wegener Institute for Polar and Marine Research and the initiative and positive attitude of Heinrich Miller, Uwe Nixdorf and Cord Drucker to make introduction of vibroseis to the Antarctic continent possible. The support at Neumayer III by the logistic staff is greatly appreciated. Ole Meyer, University of Bergen was at hand at all times with critical electronic support. The field program was part of the LIMPICS project within the Emmy Noether program of the Deutsche Forschungsgemeinschaft (DFG) and funded by grant EI 672/5-1 to Dr. O. Eisen. Norwegian participation in the field was supported by the Department of Earth Science, University of Bergen and a grant from the Norwegian Petroleum Directorate (2010). The field work of A. Lambrecht was supported by the Institute of Meteorology and Geophysics, University of Innsbruck. We thank C. Gaina and J. Jacobs for good discussions and M. Degutsch, S. Riedel, and M. Mieth for providing geophysical data for comparative purposes. A copy of the seismic data in Figures 4 and 5 is available upon request from the first author. Reviews by M. Klausen and one anonymous reviewer significantly improved the paper.</t>
  </si>
  <si>
    <t>10.1002/2014JB011479</t>
  </si>
  <si>
    <t>AZ8GC</t>
  </si>
  <si>
    <t>WOS:000348452200034</t>
  </si>
  <si>
    <t>Blagoveshchenskaya, NF; Borisova, TD; Kosch, M; Sergienko, T; Brändström, U; Yeoman, TK; Häggström, I</t>
  </si>
  <si>
    <t>Blagoveshchenskaya, N. F.; Borisova, T. D.; Kosch, M.; Sergienko, T.; Brandstrom, U.; Yeoman, T. K.; Haggstrom, I.</t>
  </si>
  <si>
    <t>Optical and ionospheric phenomena at EISCAT under continuous X-mode HF pumping</t>
  </si>
  <si>
    <t>HIGH-LATITUDE IONOSPHERE; RADIO-WAVES; MAGNETIC ZENITH; PARAMETRIC-INSTABILITIES; LANGMUIR TURBULENCE; ENHANCED AIRGLOW; HEATING EXPERIMENTS; F-REGION; PLASMA; EXCITATION</t>
  </si>
  <si>
    <t>We present experimental results from multiinstrument observations in the high-latitude ionospheric F-2 layer at the EISCAT (European Incoherent Scatter Scientific Association) heating facility. The results come from a set of experiments, when an X-polarized HF pump wave at high heater frequencies (f(H) &gt; 6.0MHz) was injected into the F region of the ionosphere toward the magnetic zenith. Experiments were carried out under quiet magnetic conditions with an effective radiated power of 458-548 MW. HF pumping was produced at different heater frequencies, away from electron gyroharmonic frequencies, and different durations of heater pulses. We show the first experimental evidence of the excitation of artificial optical emissions at red (630 nm) and green (557.7nm) lines in the high-latitude ionospheric F-2 layer induced by an X-polarized HF pump wave. Intensities at red and green lines varied in the range 110-950 R and 50-350 R, respectively, with a ratio of green to red line of 0.35-0.5. The results of optical observations are compared with behaviors of the HF-enhanced ion and plasma lines from EISCAT UHF incoherent scatter radar data and small-scale field-aligned artificial irregularities from Cooperative UK Twin Located Auroral Sounding System observations. It was found that the X-mode radio-induced optical emissions coexisted with HF-enhanced ion and plasma lines and strong artificial field-aligned irregularities throughout the whole heater pulse. It is indicative that parametric decay or oscillating two-stream instabilities were not quenched by fully established small-scale field-aligned artificial irregularities excited by an X-mode HF pump wave.</t>
  </si>
  <si>
    <t>[Blagoveshchenskaya, N. F.; Borisova, T. D.] Arctic &amp; Antarctic Res Inst, Dept Geophys, St Petersburg 199226, Russia; [Kosch, M.] Univ Lancaster, Dept Phys, Lancaster, England; [Kosch, M.] South African Natl Space Agcy, Hermanus, South Africa; [Sergienko, T.; Brandstrom, U.] Swedish Inst Space Phys, S-98128 Kiruna, Sweden; [Yeoman, T. K.] Univ Leicester, Dept Phys &amp; Astron, Leicester LE1 7RH, Leics, England; [Haggstrom, I.] EISCAT Sci Assoc, Kiruna, Sweden</t>
  </si>
  <si>
    <t>Arctic &amp; Antarctic Research Institute; Lancaster University; University of Leicester</t>
  </si>
  <si>
    <t>Blagoveshchenskaya, NF (corresponding author), Arctic &amp; Antarctic Res Inst, Dept Geophys, St Petersburg 199226, Russia.</t>
  </si>
  <si>
    <t>nataly@aari.nw.ru</t>
  </si>
  <si>
    <t>Borisova, Tatiana/AAK-7698-2020; Yeoman, Timothy k/L-9105-2014; Blagoveshchenskaya, Nataly/AAE-4093-2022; Blagoveshchenskaya, Nataly F./S-4342-2017</t>
  </si>
  <si>
    <t>Yeoman, Timothy k/0000-0002-8434-4825; Blagoveshchenskaya, Nataly/0000-0003-1752-3273; Blagoveshchenskaya, Nataly F./0000-0003-1752-3273; Haggstrom, Ingemar/0000-0003-1070-6915; Kosch, Michael Jurgen/0000-0003-2846-3915; Sergienko, Tima/0000-0003-4515-2174; Borisova, Tatiana/0000-0003-1727-5310</t>
  </si>
  <si>
    <t>China (CRIRP); Finland (SA); Japan (NIPR); Japan (STEL); Norway (NFR); Sweden (VR); United Kingdom (NERC); UK Science and Technology Facilities Council [PP/E007929/1]; Finnish Meteorological Institute; Swedish Institute of Space Physics; Science and Technology Facilities Council [ST/H002480/1]; NERC [NE/K011766/1] Funding Source: UKRI; STFC [ST/H002480/1, PP/E007929/1] Funding Source: UKRI; Natural Environment Research Council [NE/K011766/1] Funding Source: researchfish; Science and Technology Facilities Council [ST/H002480/1, PP/E007929/1] Funding Source: researchfish</t>
  </si>
  <si>
    <t>China (CRIRP); Finland (SA); Japan (NIPR); Japan (STEL); Norway (NFR)(Research Council of Norway); Sweden (VR)(Swedish Research Council); United Kingdom (NERC)(UK Research &amp; Innovation (UKRI)Natural Environment Research Council (NERC)); UK Science and Technology Facilities Council(UK Research &amp; Innovation (UKRI)Science &amp; Technology Facilities Council (STFC)); Finnish Meteorological Institute; Swedish Institute of Space Physics; Science and Technology Facilities Council(UK Research &amp; Innovation (UKRI)Science &amp; Technology Facilities Council (STFC));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</si>
  <si>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EISCAT is an international scientific association supported by research organizations in China (CRIRP), Finland (SA), Japan (NIPR and STEL), Norway (NFR), Sweden (VR), and the United Kingdom (NERC). CUTLASS is supported by the UK Science and Technology Facilities Council grant PP/E007929/1, the Finnish Meteorological Institute, and the Swedish Institute of Space Physics. T.K.Y. is supported by Science and Technology Facilities Council grant ST/H002480/1. We acknowledge A. Senior who operated the DASI-2 camera and provided calibrated optical data. We also thank M. Rietveld for the help with EISCAT HF pumping experiments and useful discussion. The data used in this paper are available through the EISCAT Madrigal database (http://www.eiscat.se/madrigal/).</t>
  </si>
  <si>
    <t>10.1002/2014JA020658</t>
  </si>
  <si>
    <t>WOS:000349161100080</t>
  </si>
  <si>
    <t>Longden, N; Chisham, G; Freeman, MP</t>
  </si>
  <si>
    <t>Longden, N.; Chisham, G.; Freeman, M. P.</t>
  </si>
  <si>
    <t>Magnetic local time variation and scaling of poleward auroral boundary dynamics</t>
  </si>
  <si>
    <t>FIELD LINE BOUNDARY; POLAR-CAP AREA; HF-RADAR OBSERVATIONS; IMAGE SPACECRAFT; PRECIPITATION BOUNDARIES; MAGNETOSPHERIC EROSION; DAYSIDE RECONNECTION; BICOLORED NOISE; PLASMA SHEET; AE DATA</t>
  </si>
  <si>
    <t>The balance of dayside and nightside reconnection processes within the Earth's magnetosphere and its effect on the amount of open magnetic flux threading the ionosphere is well understood in terms of the expanding-contracting polar cap model. However, the nature and character of the consequential fluctuations in the polar cap boundary are poorly understood. By using the poleward auroral luminosity boundary (PALB), as measured by the FUV instrument of the IMAGE spacecraft, as a proxy for the polar cap boundary, we have studied the motion of this boundary for more than 2 years across the complete range of magnetic local time. Our results show that the dayside PALB dynamics are broadly self-similar on timescales of 12 min to 6 h and appear to be monofractal. Similarity with the characteristics of solar wind and interplanetary magnetic field variability suggests that this dayside monofractal behavior is predominantly inherited from the solar wind via the reconnection process. The nightside PALB dynamics exhibit scale-free behavior at intermediate time scales (12-90 min) and appear to be multifractal. We propose that this character is a result of the intermittent multifractal structure of magnetotail reconnection.</t>
  </si>
  <si>
    <t>[Longden, N.; Chisham, G.; Freeman, M. P.] British Antarctic Survey, Cambridge CB3 0ET, England</t>
  </si>
  <si>
    <t>Chisham, G (corresponding author), British Antarctic Survey, Cambridge CB3 0ET, England.</t>
  </si>
  <si>
    <t>gchi@bas.ac.uk</t>
  </si>
  <si>
    <t>Freeman, Mervyn/E-5687-2019</t>
  </si>
  <si>
    <t>Freeman, Mervyn/0000-0002-8653-8279</t>
  </si>
  <si>
    <t>Natural Environment Research Council; Science and Technology Facilities Council [PP/E002110/1]; NERC [bas0100023] Funding Source: UKRI; STFC [PP/E002110/1] Funding Source: UKRI; Natural Environment Research Council [bas0100023] Funding Source: researchfish; Science and Technology Facilities Council [PP/E002110/1] Funding Source: researchfish</t>
  </si>
  <si>
    <t>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</si>
  <si>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This study is part of the British Antarctic Survey Polar Science for Planet Earth Programme. It was funded by the Natural Environment Research Council and the Science and Technology Facilities Council grant PP/E002110/1. The authors would like to thank the NASA Space Physics Data Facility and National Space Science Data Centre, and the IMAGE FUV team for data usage and processing tools. The auroral boundary data set, and the methodology used to create it, is freely available at www.antarctica.ac.uk/bas_research/our_research/az/magnetic_reconnection/auroral_boundary_data.html.</t>
  </si>
  <si>
    <t>10.1002/2014JA020430</t>
  </si>
  <si>
    <t>WOS:000349161100047</t>
  </si>
  <si>
    <t>Liu, XC; Wang, W; Zhao, Y; Liu, J; Song, B</t>
  </si>
  <si>
    <t>Liu, X. C.; Wang, W-(R Z); Zhao, Y.; Liu, J.; Song, B.</t>
  </si>
  <si>
    <t>Early Neoproterozoic granulite facies metamorphism of mafic dykes from the Vestfold Block, east Antarctica</t>
  </si>
  <si>
    <t>JOURNAL OF METAMORPHIC GEOLOGY</t>
  </si>
  <si>
    <t>early Neoproterozoic; east Antarctica; granulite facies metamorphism; mafic dykes; P-T conditions; Vestfold Block</t>
  </si>
  <si>
    <t>PRINCE-CHARLES MOUNTAINS; MINERAL EQUILIBRIA CALCULATIONS; AMERY ICE SHELF; PB ZIRCON AGES; T-T PATHS; U-PB; RAUER-GROUP; PRYDZ BAY; METAPELITIC GRANULITES; KEMP-LAND</t>
  </si>
  <si>
    <t>Proterozoic mafic dykes from the southwestern Vestfold Block experienced heterogeneous granulite facies metamorphism, characterized by spotted or fractured garnet-bearing aggregates in garnet-absent groundmass. The garnet-absent groundmass typically preserves an ophitic texture composed of lathy plagioclase, intergranular clinopyroxene and Fe-Ti oxides. Garnet-bearing domains consist mainly of a metamorphic assemblage of garnet, clinopyroxene, orthopyroxene, hornblende, biotite, plagioclase, K-feldspar, quartz and Fe-Ti oxides. Chemical compositions and textural relationships suggest that these metamorphic minerals reached local equilibrium in the centre of the garnet-bearing domains. Pseudosection calculations in the model system NCFMASHTO (Na2O-CaO-FeO-MgO-Al2O3-SiO2-H2O-TiO2-Fe2O3) yield P-T estimates of 820-870 degrees C and 8.4-9.7kbar. Ion microprobe U-Pb zircon dating reveals that the NW- and N-trending mafic dykes were emplaced at 1764 +/- 25 and 1232 +/- 12Ma, respectively, whereas their metamorphic ages cluster between 957 +/- 7 and 938 +/- 9Ma. The identification of granulite facies mineral inclusions in metamorphic zircon domains is also consistent with early Neoproterozoic metamorphism. Therefore, the southwestern margin of the Vestfold Block is inferred to have been buried to depths of similar to 30-35km beneath the Rayner orogen during the late stage of the late Mesoproterozoic/early Neoproterozoic collision between the Indian craton and east Antarctica (i.e. the Lambert Terrane or the Ruker craton including the Lambert Terrane). The lack of penetrative deformation and intensive fluid-rock interaction in the rigid Vestfold Block prevented the nucleation and growth of garnet and resulted in the heterogeneous granulite facies metamorphism of the mafic dykes.</t>
  </si>
  <si>
    <t>[Liu, X. C.; Wang, W-(R Z); Zhao, Y.; Liu, J.] Chinese Acad Geol Sci, Inst Geomech, Key Lab Paleomagnetism &amp; Tecton Reconstruct, Minist Land &amp; Resources, Beijing 100081, Peoples R China; [Song, B.] Chinese Acad Geol Sci, Beijing SHRIMP Ctr, Inst Geol, Beijing 100037, Peoples R China</t>
  </si>
  <si>
    <t>China Geological Survey; Institute of Geomechanics, Chinese Academy of Geological Sciences; Ministry of Natural Resources of the People's Republic of China; Chinese Academy of Geological Sciences; China Geological Survey; Chinese Academy of Geological Sciences; Institute of Geology, Chinese Academy of Geological Sciences</t>
  </si>
  <si>
    <t>Liu, XC (corresponding author), Chinese Acad Geol Sci, Inst Geomech, Key Lab Paleomagnetism &amp; Tecton Reconstruct, Minist Land &amp; Resources, Beijing 100081, Peoples R China.</t>
  </si>
  <si>
    <t>liuxchqw@cags.ac.cn</t>
  </si>
  <si>
    <t>Wang, Wei-(RZ)/0000-0002-2311-7012</t>
  </si>
  <si>
    <t>National Natural Science Foundation of China [41076127, 41202047]; Geological Investigation Project of China Geological Survey [1212011120176, 12120113019000]; Chinese Polar Environment Comprehensive investigation AMP; Assessment Programmes [CHINARE2013-02-05]</t>
  </si>
  <si>
    <t>National Natural Science Foundation of China(National Natural Science Foundation of China (NSFC)); Geological Investigation Project of China Geological Survey(China Geological Survey); Chinese Polar Environment Comprehensive investigation AMP; Assessment Programmes</t>
  </si>
  <si>
    <t>We acknowledge L. Ren, G. Xu and J. Cui for assistance during fieldwork, Z. Chen and X. Chen in the electron microprobe analysis, and C. Wei for fruitful discussions. C. Clark and an anonymous reviewer are thanked for their critical reviews, and G. Clarke for editorial comments and the improvement of English language. Fieldwork was carried out during the 2004-2005 and 2007-2008 Chinese National Antarctic Research Expeditions. Logistic support by the Antarctic Administration of China and financial support by the National Natural Science Foundation of China (41076127, 41202047), the Geological Investigation Project of China Geological Survey (1212011120176, 12120113019000) and the Chinese Polar Environment Comprehensive investigation &amp; Assessment Programmes (CHINARE2013-02-05) are gratefully acknowledged.</t>
  </si>
  <si>
    <t>0263-4929</t>
  </si>
  <si>
    <t>1525-1314</t>
  </si>
  <si>
    <t>J METAMORPH GEOL</t>
  </si>
  <si>
    <t>J. Metamorph. Geol.</t>
  </si>
  <si>
    <t>10.1111/jmg.12106</t>
  </si>
  <si>
    <t>AS5PP</t>
  </si>
  <si>
    <t>WOS:000344322700007</t>
  </si>
  <si>
    <t>Hahn, A; Kliem, P; Oehlerich, M; Ohlendorf, C; Zolitschka, B</t>
  </si>
  <si>
    <t>Hahn, Annette; Kliem, Pierre; Oehlerich, Markus; Ohlendorf, Christian; Zolitschka, Bernd</t>
  </si>
  <si>
    <t>Elemental composition of the Laguna Potrok Aike sediment sequence reveals paleoclimatic changes over the past 51 ka in southern Patagonia, Argentina</t>
  </si>
  <si>
    <t>JOURNAL OF PALEOLIMNOLOGY</t>
  </si>
  <si>
    <t>PASADO; ICDP; Lake sediments; Paleoclimate; ITRAX; XRF scanning; Geochemistry; Principal component analysis</t>
  </si>
  <si>
    <t>LOS ESTADOS 54.4-DEGREES-S; ENVIRONMENTAL-CHANGES; LACUSTRINE RECORD; LAKE-SEDIMENTS; SANTA-CRUZ; XRF; PRECIPITATION; GEOCHEMISTRY; HOLOCENE; CLIMATE</t>
  </si>
  <si>
    <t>During the lake deep drilling campaign PASADO in 2008, more than 500 m of lacustrine sediment was recovered from the maar lake Laguna Potrok Aike, Argentina. The major element composition was assessed at high resolution with an ITRAX X-ray fluorescence core scanner. The sharp boundary between a carbonate-bearing and a carbonate-free depositional system occurs at 13.5 cal. ka BP and marks the transition from glacial to Late Glacial sediments. Holocene and Late Glacial sediments can be distinguished by elements that are indicative of organic matter (Br, Cl) or calcite (Ca). Glacial sediments are characterized by elements that represent terrigenous clastic input (Fe, Ti, K, Si). Trace elements (Mn, Rb, V, Ni) accumulate with the bulk of lithogenic elements indicating frequent oxic conditions and rare diagenetic remobilization. Based on principal component analysis we interpret the scores of the first principle component as a summarizing indicator for climate-related variations of depositional conditions. During the Holocene climate changes mirror the total inorganic carbon profile, which was used as a proxy for lake-level reconstructions of the past 16 ka in previous studies. High scores in the first principle component probably reflect periods of increased chemical over mechanical weathering and developing soils and vegetation cover limiting sediment availability for erosional processes. These intervals often also show increases in total organic carbon values and total organic carbon/total nitrogen ratios, which are associated with periods of Antarctic warming in the last glacial. Geochemical variations of the clastic glacial sediments are explored by excluding carbonate-bearing sediments from principal component analysis. Although, in this lake, Ca is a purely clastic signal in carbonate-free sediments, it does not correlate with the bulk of indicators for terrigenous input. Instead Ca dominates a second principal component together with Sr. This component mainly distinguishes coarse grained layers from the remaining sediment. The main provenance of this coarse-grained material is suggested to be a basalt outcrop at the western shore. Low lake levels, high waves and flash-flood events may have increased the availability of basaltic sand during extremely cold, arid and windy conditions. High wind speeds and lack of vegetation may have facilitated the increased transport of coarse-grained material into the center of Laguna Potrok Aike. Decreases in the second principal component can be observed during Oxygen Isotope Stage 2 when increased dust input has been found in cores from Laguna Potrok Aike, the Southern Ocean and Antarctica.</t>
  </si>
  <si>
    <t>[Hahn, Annette; Kliem, Pierre; Ohlendorf, Christian; Zolitschka, Bernd] Univ Bremen, Inst Geog, D-28359 Bremen, Germany; [Oehlerich, Markus] Univ Munich, Dept Earth &amp; Environm Sci, D-80333 Munich, Germany</t>
  </si>
  <si>
    <t>University of Bremen; University of Munich</t>
  </si>
  <si>
    <t>Hahn, A (corresponding author), Univ Bremen, Inst Geog, D-28359 Bremen, Germany.</t>
  </si>
  <si>
    <t>anhahn@uni-bremen.de</t>
  </si>
  <si>
    <t>Zolitschka, Bernd/P-1487-2019</t>
  </si>
  <si>
    <t>Zolitschka, Bernd/0000-0001-8256-0420; Ohlendorf, Christian/0000-0003-3794-7313</t>
  </si>
  <si>
    <t>International Continental Scientific Drilling Program (ICDP); ICDP; German Science Foundation (DFG); Swiss National Funds (SNF); Natural Sciences and Engineering Research Council of Canada (NSERC); Swedish Vetenskapsradet (VR); University of Bremen</t>
  </si>
  <si>
    <t>International Continental Scientific Drilling Program (ICDP); ICDP; German Science Foundation (DFG)(German Research Foundation (DFG)); Swiss National Funds (SNF)(Swiss National Science Foundation (SNSF)); Natural Sciences and Engineering Research Council of Canada (NSERC)(Natural Sciences and Engineering Research Council of Canada (NSERC)); Swedish Vetenskapsradet (VR)(Swedish Research Council); University of Bremen</t>
  </si>
  <si>
    <t>This research is supported by the International Continental Scientific Drilling Program (ICDP) in the framework of the Potrok Aike Maar Lake Sediment Archive Drilling Project (PASADO). Funding for drilling was provided by the ICDP, the German Science Foundation (DFG), the Swiss National Funds (SNF), the Natural Sciences and Engineering Research Council of Canada (NSERC), the Swedish Vetenskapsradet (VR) and the University of Bremen. We are much obliged to Sabine Stahl for laboratory assistance. For their invaluable help in field logistics and drilling we thank the staff of INTA Santa Cruz and Rio Dulce Catering as well as the Moreteau family and the DOSECC crew.</t>
  </si>
  <si>
    <t>0921-2728</t>
  </si>
  <si>
    <t>1573-0417</t>
  </si>
  <si>
    <t>J PALEOLIMNOL</t>
  </si>
  <si>
    <t>J. Paleolimn.</t>
  </si>
  <si>
    <t>10.1007/s10933-014-9798-y</t>
  </si>
  <si>
    <t>Environmental Sciences; Geosciences, Multidisciplinary; Limnology</t>
  </si>
  <si>
    <t>Environmental Sciences &amp; Ecology; Geology; Marine &amp; Freshwater Biology</t>
  </si>
  <si>
    <t>AT7CT</t>
  </si>
  <si>
    <t>WOS:000345095100005</t>
  </si>
  <si>
    <t>Kim, YS; Orsi, AH</t>
  </si>
  <si>
    <t>Kim, Yong Sun; Orsi, Alejandro H.</t>
  </si>
  <si>
    <t>On the Variability of Antarctic Circumpolar Current Fronts Inferred from 1992-2011 Altimetry</t>
  </si>
  <si>
    <t>SOUTHERN-OCEAN FRONTS; DRAKE PASSAGE; BOTTOM WATER; SURFACE TEMPERATURES; CIRCULATION; TRENDS; JETS; MODE; TRANSPORT; DYNAMICS</t>
  </si>
  <si>
    <t>Antarctic Circumpolar Current (ACC) fronts, defined as water mass boundaries, have been known to respond to large-scale atmospheric variabilities, especially the Southern Hemisphere annular mode (SAM) and El Nino-Southern Oscillation (ENSO). Distinct patterns of localized variability in meridional front displacements during 1992-2011 are derived from the analysis of satellite sea surface height data. Major basin-scale differences are found between the southeast Pacific (150 degrees-90 degrees W) and the southeast Indian (75 degrees-150 degrees E) sectors of the ACC. Frontal positions in the southeast Pacific show large year-to-year meridional fluctuations, attributed mostly to ENSO and in part SAM, and no apparent seasonal cycles or long-term trends. In contrast, summer (winter) frontal locations in the southeast Indian extend farther to the south (north) of their long-term mean distribution. A southward drift of ACC fronts is indicated over the Indian sector during the past two decades. This long-term shift is not directly related to the atmospheric variabilities, but this is most likely in response to changes in large-scale ocean circulation, in particular to the poleward expansion of the Indian subtropical gyre. The existence of these localized, contrasting variability patterns suggests that a circumpolar-averaging analysis could possibly smooth out a local climate signal, with an emphasis on a basin-scale investigation for climate studies in the Southern Ocean.</t>
  </si>
  <si>
    <t>[Kim, Yong Sun] Korea Maritime &amp; Ocean Univ, Ocean Sci &amp; Technol Sch, Busan, South Korea; [Kim, Yong Sun] Korea Inst Ocean Sci &amp; Technol, Ocean Circulat &amp; Climate Res Dept, Ansan 426744, South Korea; [Orsi, Alejandro H.] Texas A&amp;M Univ, Dept Oceanog, College Stn, TX 77843 USA</t>
  </si>
  <si>
    <t>Korea Maritime &amp; Ocean University; Korea Institute of Ocean Science &amp; Technology (KIOST); Texas A&amp;M University System; Texas A&amp;M University College Station</t>
  </si>
  <si>
    <t>Kim, YS (corresponding author), Korea Inst Ocean Sci &amp; Technol, 787 Haean Ro, Ansan 426744, South Korea.</t>
  </si>
  <si>
    <t>yongskim@kiost.ac</t>
  </si>
  <si>
    <t>Kim, Yong Sun/AAY-4336-2020</t>
  </si>
  <si>
    <t>National Science Foundation [ANT-0839005, OCE-0961523]; Korea Institute of Ocean Science and Technology [PE99271, PE99231]; Professional Human Resource Training Project of Korea Maritime and Ocean University in the KMOU-KIOST Ocean Science and Technology; Division Of Ocean Sciences; Directorate For Geosciences [0961523] Funding Source: National Science Foundation</t>
  </si>
  <si>
    <t>National Science Foundation(National Science Foundation (NSF)); Korea Institute of Ocean Science and Technology; Professional Human Resource Training Project of Korea Maritime and Ocean University in the KMOU-KIOST Ocean Science and Technology; Division Of Ocean Sciences; Directorate For Geosciences(National Science Foundation (NSF)NSF - Directorate for Geosciences (GEO))</t>
  </si>
  <si>
    <t>The authors thank two anonymous reviewers for their helpful comments. As part of Yong Sun Kim's graduate research at Texas A&amp;M University, this work was supported by the National Science Foundation (under the ANT-0839005 and OCE-0961523 grants). Yong Sun Kim also appreciates the helpful discussions with Dr. Chan Joo Jang and Dr. Ho-Jeong Shin during the revision of this paper and was supported by the Korea Institute of Ocean Science and Technology (under the PE99271 and PE99231 grants) and the Professional Human Resource Training Project of Korea Maritime and Ocean University in the KMOU-KIOST Ocean Science and Technology.</t>
  </si>
  <si>
    <t>10.1175/JPO-D-13-0217.1</t>
  </si>
  <si>
    <t>WOS:000345812300005</t>
  </si>
  <si>
    <t>Kimura, S; Holland, PR; Jenkins, A; Piggott, M</t>
  </si>
  <si>
    <t>Kimura, Satoshi; Holland, Paul R.; Jenkins, Adrian; Piggott, Matthew</t>
  </si>
  <si>
    <t>The Effect of Meltwater Plumes on the Melting of a Vertical Glacier Face</t>
  </si>
  <si>
    <t>GREENLAND ICE-SHEET; PLANE BUOYANT JET; TURBULENT ENTRAINMENT; SEDIMENT PLUME; OCEAN MODEL; WATER-FLOW; CIRCULATION; ACCELERATION; CONVECTION; STABILITY</t>
  </si>
  <si>
    <t>Freshwater produced by the surface melting of ice sheets is commonly discharged into ocean fjords from the bottom of deep fjord-terminating glaciers. The discharge of the freshwater forms upwelling plumes in front of the glacier calving face. This study simulates the meltwater plumes emanated into an unstratified environment using a nonhydrostatic ocean model with an unstructured mesh and subgrid-scale mixing calibrated by comparison to established plume theory. The presence of an ice face reduces the entrainment of seawater into the meltwater plumes, so the plumes remain attached to the ice front, in contrast to previous simple models. Ice melting increases with height above the discharge, also in contrast to some simple models, and the authors speculate that this overcutting may contribute to the tendency of icebergs to topple inwards toward the ice face upon calving. The overall melt rate is found to increase with discharge flux only up to a critical value, which depends on the channel size. The melt rate is not a simple function of the subglacial discharge flux, as assumed by many previous studies. For a given discharge flux, the geometry of the plume source also significantly affects the melting, with higher melt rates obtained for a thinner, wider source. In a wider channel, two plumes are emanated near the source and these plumes eventually coalesce. Such merged meltwater plumes ascend faster and increase the maximum melt rate near the center of the channel The melt rate per unit discharge decreases as the subglacial system becomes more channelized.</t>
  </si>
  <si>
    <t>[Kimura, Satoshi; Holland, Paul R.; Jenkins, Adrian] British Antarctic Survey, Cambridge CB3 0ET, England; [Piggott, Matthew] Univ London Imperial Coll Sci Technol &amp; Med, Dept Earth Sci &amp; Engn, London, England; [Piggott, Matthew] Univ London Imperial Coll Sci Technol &amp; Med, Grantham Inst Climate Change, London, England</t>
  </si>
  <si>
    <t>UK Research &amp; Innovation (UKRI); Natural Environment Research Council (NERC); NERC British Antarctic Survey; Imperial College London; Imperial College London</t>
  </si>
  <si>
    <t>satmur65@bas.ac.uk</t>
  </si>
  <si>
    <t>Jenkins, Adrian/IUN-2406-2023; Kimura, Satoshi/AAT-3036-2021; Holland, Paul R/G-2796-2012</t>
  </si>
  <si>
    <t>Kimura, Satoshi/0000-0003-1689-1605; Jenkins, Adrian/0000-0002-9117-0616</t>
  </si>
  <si>
    <t>U.K. Natural Environment Research Council [NE/H02333X/1, NE/J005746/1]; Natural Environment Research Council [NE/G018391/1, NE/H02333X/1, bas0100028, NE/G018146/1, NE/J005746/1] Funding Source: researchfish; NERC [NE/G018391/1, NE/H02333X/1, NE/G018146/1, NE/J005746/1, bas0100028] Funding Source: UKRI</t>
  </si>
  <si>
    <t>Comments from two anonymous reviewers improved the manuscript. The work was supported by the U.K. Natural Environment Research Council under Grants NE/H02333X/1 and NE/J005746/1.</t>
  </si>
  <si>
    <t>10.1175/JPO-D-13-0219.1</t>
  </si>
  <si>
    <t>WOS:000345812300008</t>
  </si>
  <si>
    <t>Newman, PA; Nash, ER; Roscoe, H</t>
  </si>
  <si>
    <t>Newman, Paul A.; Nash, Eric R.; Roscoe, Howard</t>
  </si>
  <si>
    <t>Reply to Comments on 'The Unusual Southern Hemisphere Winter of 2002</t>
  </si>
  <si>
    <t>JOURNAL OF THE ATMOSPHERIC SCIENCES</t>
  </si>
  <si>
    <t>Letter</t>
  </si>
  <si>
    <t>NCAR REANALYSIS DATA; VORTEX SPLIT; TEMPERATURE; ANTARCTICA; TRENDS</t>
  </si>
  <si>
    <t>[Newman, Paul A.] NASA, Goddard Space Flight Ctr, Greenbelt, MD 20771 USA; [Nash, Eric R.] Sci Syst &amp; Applicat Inc, Lanham, MD USA; [Roscoe, Howard] British Antarctic Survey, Cambridge CB3 0ET, England</t>
  </si>
  <si>
    <t>National Aeronautics &amp; Space Administration (NASA); NASA Goddard Space Flight Center; Science Systems and Applications Inc; UK Research &amp; Innovation (UKRI); Natural Environment Research Council (NERC); NERC British Antarctic Survey</t>
  </si>
  <si>
    <t>Newman, PA (corresponding author), NASA, Goddard Space Flight Ctr, Code 610, Greenbelt, MD 20771 USA.</t>
  </si>
  <si>
    <t>paul.a.newman@nasa.gov</t>
  </si>
  <si>
    <t>Newman, Paul A./D-6208-2012</t>
  </si>
  <si>
    <t>NERC [bas0100023] Funding Source: UKRI; Natural Environment Research Council [bas0100023] Funding Source: researchfish</t>
  </si>
  <si>
    <t>0022-4928</t>
  </si>
  <si>
    <t>1520-0469</t>
  </si>
  <si>
    <t>J ATMOS SCI</t>
  </si>
  <si>
    <t>J. Atmos. Sci.</t>
  </si>
  <si>
    <t>10.1175/JAS-D-14-0227.1</t>
  </si>
  <si>
    <t>AU9BF</t>
  </si>
  <si>
    <t>WOS:000345886100020</t>
  </si>
  <si>
    <t>Schalkhausser, B; Bock, C; Pörtner, HO; Lannig, G</t>
  </si>
  <si>
    <t>Schalkhausser, Burgel; Bock, Christian; Poertner, Hans-O.; Lannig, Gisela</t>
  </si>
  <si>
    <t>Escape performance of temperate king scallop, Pecten maximus under ocean warming and acidification</t>
  </si>
  <si>
    <t>ACID-BASE-BALANCE; VALVE CLOSURE RESPONSES; PLACOPECTEN-MAGELLANICUS; OXYGEN LIMITATION; THERMAL TOLERANCE; ADDUCTOR MUSCLE; CRASSOSTREA-VIRGINICA; BIOCHEMICAL ASPECTS; ANTARCTIC BIVALVE; SEASONAL-CHANGES</t>
  </si>
  <si>
    <t>Among bivalves, scallops are exceptional due to their capacity to escape from predators by swimming which is provided by rapid and strong claps that are produced by the phasic muscle interspersed with tonic muscle contractions. Based on the concept of oxygen and capacity-limited thermal tolerance, the following hypothesis was tested: ocean warming and acidification (OWA) would induce disturbances in aerobic metabolic scope and extracellular acid-case status and impair swimming performance in temperate scallops. Following long-term incubation under near-future OWA scenarios [20 vs. 10 degrees C (control) and 0.112 kPa CO2 (hypercapnia) vs. 0.040 kPa CO2 (normocapnic control)], the clapping performance and metabolic rates (MR) were measured in resting (RMR) and fatigued (maximum MR) king scallops, Pecten maximus, from Roscoff, France. Exposure to OA, either alone or combined with warming, left MR and swimming parameters such as the total number of claps and clapping forces virtually unchanged. Only the duration of the escape response was affected by OA which caused earlier exhaustion in hyper-than in normocapnic scallops at 10 degrees C. While maximum MR was unaffected, warm exposure increased RMR in both normocapnic and hypercapnic P. maximus resulting in similar Q(10) values of similar to 2.2. The increased costs of maintenance and the observation of strongly reduced haemolymph PO2 levels indicate that at 20 degrees C scallops have reached the upper thermal pejus range with unbalanced capacities for aerobic energy metabolism. As a consequence, warming to 20 degrees C decreased mean phasic force during escape performance until fatigue. The observed prolonged recovery time in warm incubated scallops might be a consequence of elevated metabolic costs at reduced oxygen availability in the warmth.</t>
  </si>
  <si>
    <t>[Schalkhausser, Burgel; Bock, Christian; Poertner, Hans-O.; Lannig, Gisela] Helmholtz Zentrum Polar &amp; Meeresforsch, Alfred Wegener Inst, D-27570 Bremerhaven, Germany</t>
  </si>
  <si>
    <t>Schalkhausser, B (corresponding author), Helmholtz Zentrum Polar &amp; Meeresforsch, Alfred Wegener Inst, Handelshafen 12, D-27570 Bremerhaven, Germany.</t>
  </si>
  <si>
    <t>Burgel.Schalkhausser@awi.de</t>
  </si>
  <si>
    <t>Pörtner, Hans-O./ISU-9397-2023; Bock, Christian/B-4421-2017; Lannig, Gisela/D-5793-2017; Pörtner, Hans-O./K-9429-2016</t>
  </si>
  <si>
    <t>Bock, Christian/0000-0003-0052-3090; Pörtner, Hans-O./0000-0001-6535-6575; Lannig, Gisela/0000-0002-9210-256X</t>
  </si>
  <si>
    <t>ASSEMBLE (Association of European Marine Biological Laboratories; EU FP7 research infrastructure initiative) [227799]; Bundesministerium fur Bildung und Forschung (BMBF) [FKZ 03F0608B]</t>
  </si>
  <si>
    <t>ASSEMBLE (Association of European Marine Biological Laboratories; EU FP7 research infrastructure initiative); Bundesministerium fur Bildung und Forschung (BMBF)(Federal Ministry of Education &amp; Research (BMBF))</t>
  </si>
  <si>
    <t>We would like to thank Station Biologique de Roscoff, especially Yann Fontana (diver) and Pascal Morin (SOM-LIT sea water database), for their support in scallops and environmental data supply. We thank S. Hardenberg and F. Veliz Moraleda for their help during scallop transportation. We also gratefully acknowledge the support of N. Klassen, I. Luedeke, C. Otten, A. Tillmann and F. Wermter, who assisted in animal care and water analysis during the incubation experiments. We thank E. Schaum for statistical help and her and L. Fillinger for help in communication in French. We are grateful for the constructive comments on the manuscript of two anonymous reviewers. Scallop supply was funded by ASSEMBLE (Association of European Marine Biological Laboratories; EU FP7 research infrastructure initiative, Grant Agreement No. 227799). The study was funded by the Bundesministerium fur Bildung und Forschung (BMBF)-funded project Biological Impacts of Ocean Acidification (BIOACID, FKZ 03F0608B) and is part of the Polar regions and coasts in a changing Earth system (PACES) research programme of the Alfred Wegener Institute.</t>
  </si>
  <si>
    <t>10.1007/s00227-014-2548-x</t>
  </si>
  <si>
    <t>WOS:000345050800009</t>
  </si>
  <si>
    <t>Macreadie, PI; York, PH; Sherman, CDH; Keough, MJ; Ross, DJ; Ricart, AM; Smith, TM</t>
  </si>
  <si>
    <t>Macreadie, Peter I.; York, Paul H.; Sherman, Craig D. H.; Keough, Michael J.; Ross, D. Jeff; Ricart, Aurora M.; Smith, Timothy M.</t>
  </si>
  <si>
    <t>No detectable impact of small-scale disturbances on 'blue carbon' within seagrass beds</t>
  </si>
  <si>
    <t>FLOW</t>
  </si>
  <si>
    <t>Seagrass meadows are among the most efficient and long-term carbon sinks on earth, but disturbances could threaten this capacity, so understanding the impacts of disturbance on carbon stored within seagrass meadows-'blue carbon'-is of prime importance. To date, there have been no published studies on the impacts of seagrass loss on 'blue carbon' stocks. We experimentally created several kinds of small-scale disturbances, representative of common grazer and boating impacts, within seagrass (Zostera nigracaulis) meadows in Port Phillip Bay (Australia) and measured the impacts on sediment organic carbon stocks ('C-org', and other geochemical variables-%N, delta C-13, delta N-15). Disturbance had no detectable effect on C-org levels within seagrass sediments, even for high-intensity disturbance treatments, which remained bare (i.e. no seagrass recovery) for 2 years after the disturbance. These findings challenge the widely held assumption that disturbance and concomitant loss of seagrass habitat cause release of carbon, at least for small-scale disturbances. We suggest that larger (e.g. meadow scale) disturbances may be required to trigger losses of 'blue carbon' from seagrass meadows.</t>
  </si>
  <si>
    <t>[Macreadie, Peter I.] Univ Technol Sydney, Plant Funct Biol &amp; Climate Change Cluster C3, Sydney, NSW 2007, Australia; [Macreadie, Peter I.] Deakin Univ, Sch Life &amp; Environm Sci, Ctr Integrat Ecol, Burwood, Vic, Australia; [York, Paul H.] James Cook Univ, Ctr Trop Water &amp; Aquat Ecosyst Res TropWATER, Townsville, Qld 4811, Australia; [Sherman, Craig D. H.; Smith, Timothy M.] Deakin Univ, Sch Life &amp; Environm Sci, Ctr Integrat Ecol, Waurn Ponds, Vic, Australia; [Keough, Michael J.] Univ Melbourne, Dept Zool, Melbourne, Vic, Australia; [Ross, D. Jeff] Univ Tasmania, Inst Marine &amp; Antarctic Studies, Hobart, Tas, Australia; [Ricart, Aurora M.] Univ Barcelona, Dept Ecol, E-08028 Barcelona, Spain</t>
  </si>
  <si>
    <t>University of Technology Sydney; Deakin University; James Cook University; Deakin University; University of Melbourne; Melbourne Bioinformatics; University of Tasmania; University of Barcelona</t>
  </si>
  <si>
    <t>Macreadie, PI (corresponding author), Univ Technol Sydney, Plant Funct Biol &amp; Climate Change Cluster C3, Sydney, NSW 2007, Australia.</t>
  </si>
  <si>
    <t>petermacreadie@gmail.com</t>
  </si>
  <si>
    <t>Smith, Timothy/C-9283-2013; Ricart, Aurora M/P-4061-2019; York, Paul H./C-4120-2009; Sherman, Craig/A-2484-2010; Ross, Donald/F-7607-2012</t>
  </si>
  <si>
    <t>Smith, Timothy/0000-0001-8612-8600; Ricart, Aurora M/0000-0001-7769-1661; York, Paul H./0000-0003-3530-4146; Sherman, Craig/0000-0003-2099-0462; Keough, Michael/0000-0002-3382-3068; Ross, Donald/0000-0002-8659-3833</t>
  </si>
  <si>
    <t>Victorian Department of Sustainability and Environment; Australian Research Council DECRA Fellowship [DE130101084]</t>
  </si>
  <si>
    <t>Victorian Department of Sustainability and Environment; Australian Research Council DECRA Fellowship(Australian Research Council)</t>
  </si>
  <si>
    <t>This study was financially supported by a research grant from the Victorian Department of Sustainability and Environment: 'Seagrass resilience in Port Phillip Bay: aiming to develop better predictions of how seagrass responds to environmental change' and an Australian Research Council DECRA Fellowship (DE130101084). We thank Marcus Huettel, Daniel Nielsen and three anonymous reviewers for providing feedback that improve this paper.</t>
  </si>
  <si>
    <t>10.1007/s00227-014-2558-8</t>
  </si>
  <si>
    <t>WOS:000345050800019</t>
  </si>
  <si>
    <t>McGee, J; Phelan, L; Wenta, J</t>
  </si>
  <si>
    <t>McGee, Jeffrey; Phelan, Liam; Wenta, Joseph</t>
  </si>
  <si>
    <t>WRITING THE FINE PRINT: DEVELOPING REGIONAL INSURANCE FOR CLIMATE CHANGE ADAPTATION IN THE PACIFIC</t>
  </si>
  <si>
    <t>MELBOURNE JOURNAL OF INTERNATIONAL LAW</t>
  </si>
  <si>
    <t>INSURABILITY; ATTRIBUTION; DISASTERS; RISKS</t>
  </si>
  <si>
    <t>Proposals to form an insurance mechanism to support Small Island Developing States' adaptation to climate change were first raised in 1991. At that time, the Alliance of Small Island States proposed an international, state-based insurance framework to assist adaptation to sea level rise. After two decades, an effective agreement and institutional structure on climate change insurance is yet to be realised. However, in the last two years, insurance has resurfaced in negotiations within the United Nations Framework Convention on Climate Change process. The 2013 United Nations climate conference meeting in Warsaw created a loss and damage mechanism and reinvigorated interest in risk transfer mechanisms to assist developing countries in adapting to climate change. This article argues that an existing regional international disaster risk-pooling facility, the Caribbean Catastrophe Risk Insurance Facility, offers an instructive model for a regional risk transfer mechanism to further adaptation to climate change-related extreme weather events in the Pacific. The article concludes that there is a good case, on pragmatic grounds and also under existing burden sharing principles in global climate governance, for leading developed states to take a leadership role in developing regional risk-pooling initiatives in the Pacific.</t>
  </si>
  <si>
    <t>[McGee, Jeffrey] Univ Tasmania, Climate Change Marine &amp; Antarctic Law, Fac Law, Hobart, Tas 7001, Australia; [McGee, Jeffrey] Univ Tasmania, Inst Marine &amp; Antarctic Studies, Hobart, Tas 7001, Australia; [Phelan, Liam] Univ Newcastle, GradSch, Callaghan, NSW, Australia; [Phelan, Liam] Univ Newcastle, Sch Environm Life Sci, Callaghan, NSW, Australia; [Phelan, Liam] Johns Hopkins Univ, Krieger Sch Arts &amp; Sci, Baltimore, MD 21218 USA</t>
  </si>
  <si>
    <t>University of Tasmania; University of Tasmania; University of Newcastle; University of Newcastle; Johns Hopkins University</t>
  </si>
  <si>
    <t>McGee, J (corresponding author), Univ Tasmania, Climate Change Marine &amp; Antarctic Law, Fac Law, Hobart, Tas 7001, Australia.</t>
  </si>
  <si>
    <t>Phelan, Liam/AAS-9320-2020; McGee, Jeffrey/K-7322-2015</t>
  </si>
  <si>
    <t>Phelan, Liam/0000-0002-9306-3216; McGee, Jeffrey/0000-0002-2093-5896</t>
  </si>
  <si>
    <t>UNIV MELBOURNE, MELBOURNE LAW SCH</t>
  </si>
  <si>
    <t>MELBOURNE LAW SCH, MELBOURNE, VIC 3010, AUSTRALIA</t>
  </si>
  <si>
    <t>1444-8602</t>
  </si>
  <si>
    <t>1444-8610</t>
  </si>
  <si>
    <t>MELB J INT LAW</t>
  </si>
  <si>
    <t>Melb. J. Int. Law</t>
  </si>
  <si>
    <t>V00NU</t>
  </si>
  <si>
    <t>WOS:000213542100006</t>
  </si>
  <si>
    <t>Åström, JA; Vallot, D; Schäfer, M; Welty, EZ; O'Neel, S; Bartholomaus, TC; Liu, Y; Riikilä, TI; Zwinger, T; Timonen, J; Moore, JC</t>
  </si>
  <si>
    <t>Astrom, J. A.; Vallot, D.; Schafer, M.; Welty, E. Z.; O'Neel, S.; Bartholomaus, T. C.; Liu, Yan; Riikila, T. I.; Zwinger, T.; Timonen, J.; Moore, J. C.</t>
  </si>
  <si>
    <t>Termini of calving glaciers as self-organized critical systems</t>
  </si>
  <si>
    <t>SIZE DISTRIBUTIONS; ICE; MODEL</t>
  </si>
  <si>
    <t>Over the next century, one of the largest contributions to sea level rise will come from ice sheets and glaciers calving ice into the ocean(1). Factors controlling the rapid and nonlinear variations in calving fluxes are poorly understood, and therefore difficult to include in prognostic climate-forced land-ice models. Here we analyse globally distributed calving data sets from Svalbard, Alaska (USA), Greenland and Antarctica in combination with simulations from a first-principles, particle-based numerical calving model to investigate the size and inter-event time of calving events. We find that calving events triggered by the brittle fracture of glacier ice are governed by the same power-law distributions as avalanches in the canonical Abelian sandpile model(2). This similarity suggests that calving termini behave as self-organized critical systems that readily flip between states of sub-critical advance and super-critical retreat in response to changes in climate and geometric conditions. Observations of sudden ice-shelf collapse and tidewater glacier retreat in response to gradual warming of their environment(3) are consistent with a system fluctuating around its critical point in response to changing external forcing. We propose that self-organized criticality provides a yet unexplored framework for investigations into calving and projections of sea level rise.</t>
  </si>
  <si>
    <t>[Astrom, J. A.; Zwinger, T.] CSC IT Ctr Sci, Espoo 02101, Finland; [Vallot, D.; Moore, J. C.] Uppsala Univ, Dept Earth Sci, S-75236 Uppsala, Sweden; [Vallot, D.; Moore, J. C.] Univ Lapland, Arctic Ctr, Rovaniemi 96100, Finland; [Schafer, M.] Finnish Meteorol Inst, FIN-00101 Helsinki, Finland; [Schafer, M.] Univ Colorado, Inst Arctic &amp; Alpine Res, Boulder, CO 80309 USA; [Welty, E. Z.] US Geol Survey, Alaska Sci Ctr, Anchorage, AK 99508 USA; [O'Neel, S.] Univ Texas Austin, Inst Geophys, Austin, TX 78758 USA; [Bartholomaus, T. C.] Beijing Normal Univ, Coll Global Change &amp; Earth Syst Sci, State Key Lab Earth Surface Proc &amp; Resource Ecol, Beijing 100875, Peoples R China; [Liu, Yan; Moore, J. C.] Univ Jyvaskyla, Dept Phys, Jyvaskyla 40014, Finland; [Riikila, T. I.; Timonen, J.] Univ Jyvaskyla, Nanosci Ctr, Jyvaskyla 40014, Finland; [Timonen, J.] ITMO Univ, St Petersburg 197101, Russia</t>
  </si>
  <si>
    <t>Uppsala University; University of Lapland; Finnish Meteorological Institute; University of Colorado System; University of Colorado Boulder; United States Department of the Interior; United States Geological Survey; University of Texas System; University of Texas Austin; Beijing Normal University; University of Jyvaskyla; University of Jyvaskyla; ITMO University</t>
  </si>
  <si>
    <t>Åström, JA (corresponding author), CSC IT Ctr Sci, POB 405, Espoo 02101, Finland.</t>
  </si>
  <si>
    <t>dorothee.vallot@geo.uu.se; john.moore.bnu@gmail.com</t>
  </si>
  <si>
    <t>Moore, John C/B-2868-2013; Welty, Ethan/JVO-9949-2024; Zwinger, Thomas/H-5163-2018; Bartholomaus, Timothy/C-1781-2015</t>
  </si>
  <si>
    <t>Moore, John C/0000-0001-8271-5787; Zwinger, Thomas/0000-0003-3360-4401; Vallot, Dorothee/0000-0002-0128-3386; Bartholomaus, Timothy/0000-0002-1470-6720; Welty, Ethan/0000-0001-8046-2210</t>
  </si>
  <si>
    <t>SvalGlac (Paierlbreen); SVALI (Tunabreen); US Geological Survey Climate and Land Use Change, Department of Interior Climate Science Center, and Prince William Sound Regional Citizens' Advisory Council (Columbia Glacier); Yahtse Glacier [NSF-EAR-0810313]; National Basic Research Program of China [2012CB957704, 2015CB953600]; Fundamental Research Funds for the Central Universities of China (Antarctic ice shelves) [2013NT5]; Nordic Top-level Research Initiative (TRI)</t>
  </si>
  <si>
    <t>SvalGlac (Paierlbreen); SVALI (Tunabreen); US Geological Survey Climate and Land Use Change, Department of Interior Climate Science Center, and Prince William Sound Regional Citizens' Advisory Council (Columbia Glacier); Yahtse Glacier; National Basic Research Program of China(National Basic Research Program of China); Fundamental Research Funds for the Central Universities of China (Antarctic ice shelves); Nordic Top-level Research Initiative (TRI)</t>
  </si>
  <si>
    <t>We thank J. A. Jania, D. Ignatiuk, M. Laska, B. Luks, M. Cieply, J. Halat, A. Piechota, M. Sund and crews from the Polish Polar Station in Hornsund (Institute of Geophysics, Polish Academy of Sciences) for their help collecting data at Paierlbreen; A. Hodson and D. Benn for their help at Tunabreen; and G. Hamilton for suggesting the Greenland data. Kronebreen geometry was provided by the Norwegian Polar Institute. The European Space Agency provided ENVISAT ASAR imagery for the Antarctic ice shelves. Support provided by: SvalGlac (Paierlbreen); SVALI (Tunabreen); US Geological Survey Climate and Land Use Change, Department of Interior Climate Science Center, and Prince William Sound Regional Citizens' Advisory Council (Columbia Glacier); NSF-EAR-0810313 (Yahtse Glacier); National Basic Research Program of China (2012CB957704 and 2015CB953600) and Fundamental Research Funds for the Central Universities of China (2013NT5) (Antarctic ice shelves). This publication is contribution number 33 of the Nordic Centre of Excellence SVALI, 'Stability and Variations of Arctic Land Ice', funded by the Nordic Top-level Research Initiative (TRI). The simulated graphics have been rendered by J. Hokkanen (CSC-IT Centre for Science).</t>
  </si>
  <si>
    <t>10.1038/NGEO2290</t>
  </si>
  <si>
    <t>AU9LW</t>
  </si>
  <si>
    <t>WOS:000345915300013</t>
  </si>
  <si>
    <t>Thompson, AF; Heywood, KJ; Schmidtko, S; Stewart, AL</t>
  </si>
  <si>
    <t>Thompson, Andrew F.; Heywood, Karen J.; Schmidtko, Sunke; Stewart, Andrew L.</t>
  </si>
  <si>
    <t>Eddy transport as a key component of the Antarctic overturning circulation</t>
  </si>
  <si>
    <t>CIRCUMPOLAR DEEP-WATER; BOTTOM WATER; WEST ANTARCTICA; SOUTHERN-OCEAN; SLOPE FRONT; WEDDELL SEA; SHELF; GLACIER; EDDIES; MODELS</t>
  </si>
  <si>
    <t>The exchange of water masses across the Antarctic continental shelf break regulates the export of dense shelf waters to depth as well as the transport of warm, mid-depth waters towards ice shelves and glacial grounding lines(1). The penetration of the warmer mid-depth waters past the shelf break has been implicated in the pronounced loss of ice shelf mass over much of west Antarctica(2-4). In high-resolution, regional circulation models, the Antarctic shelf break hosts an energetic mesoscale eddy field(5,6), but observations that capture this mesoscale variability have been limited. Here we show, using hydrographic data collected from ocean gliders, that eddy-induced transport is a primary contributor to mass and property fluxes across the slope. Measurements along ten cross-shelf hydrographic sections show a complex velocity structure and a stratification consistent with an onshore eddy mass flux. We show that the eddy transport and the surface wind-driven transport make comparable contributions to the total overturning circulation. Eddy-induced transport is concentrated in the warm, intermediate layers away from frictional boundaries. We conclude that understanding mesoscale dynamics will be critical for constraining circumpolar heat fluxes and future rates of retreat of Antarctic ice shelves.</t>
  </si>
  <si>
    <t>[Thompson, Andrew F.; Stewart, Andrew L.] CALTECH, Pasadena, CA 91125 USA; [Heywood, Karen J.; Schmidtko, Sunke] Univ E Anglia, Sch Environm Sci, Norwich NR4 7TJ, Norfolk, England; [Schmidtko, Sunke] GEOMAR, Helmholtz Ctr Ocean Res, D-24105 Kiel, Germany; [Stewart, Andrew L.] Univ Calif Los Angeles, Los Angeles Dept Atmospher &amp; Ocean Sci, Los Angeles, CA 90095 USA</t>
  </si>
  <si>
    <t>California Institute of Technology; University of East Anglia; Helmholtz Association; GEOMAR Helmholtz Center for Ocean Research Kiel; University of California System; University of California Los Angeles</t>
  </si>
  <si>
    <t>Thompson, AF (corresponding author), CALTECH, 131-24,1200 East Calif Blvd, Pasadena, CA 91125 USA.</t>
  </si>
  <si>
    <t>andrewt@caltech.edu</t>
  </si>
  <si>
    <t>; Schmidtko, Sunke/F-3355-2011; Heywood, Karen/L-1757-2016</t>
  </si>
  <si>
    <t>Stewart, Andrew/0000-0001-5861-4070; Schmidtko, Sunke/0000-0003-3272-7055; Heywood, Karen/0000-0001-9859-0026</t>
  </si>
  <si>
    <t>NSF [OPP-1246460]; NERC Antarctic Funding Initiative [GENTOO NE/H01439X/1]; President's and Director's Fund program at Caltech; Natural Environment Research Council [NE/H01439X/1] Funding Source: researchfish; NERC [NE/H01439X/1] Funding Source: UKRI</t>
  </si>
  <si>
    <t>NSF(National Science Foundation (NSF)); NERC Antarctic Funding Initiative(UK Research &amp; Innovation (UKRI)Natural Environment Research Council (NERC)); President's and Director's Fund program at Caltech; Natural Environment Research Council(UK Research &amp; Innovation (UKRI)Natural Environment Research Council (NERC)); NERC(UK Research &amp; Innovation (UKRI)Natural Environment Research Council (NERC))</t>
  </si>
  <si>
    <t>The authors thank the officers and crew of the RRS James Clark Ross for help in deploying and recovering the gliders. A.F.T. was financially supported by NSF award OPP-1246460. S.S. and K.J.H. were financially supported by the NERC Antarctic Funding Initiative research grant GENTOO NE/H01439X/1. A.L.S. was supported by the President's and Director's Fund program at Caltech.</t>
  </si>
  <si>
    <t>10.1038/NGEO2289</t>
  </si>
  <si>
    <t>WOS:000345915300015</t>
  </si>
  <si>
    <t>Salter, I; Schiebel, R; Ziveri, P; Movellan, A; Lampitt, R; Wolff, GA</t>
  </si>
  <si>
    <t>Salter, Ian; Schiebel, Ralf; Ziveri, Patrizia; Movellan, Aurore; Lampitt, Richard; Wolff, George A.</t>
  </si>
  <si>
    <t>Carbonate counter pump stimulated by natural iron fertilization in the Polar Frontal Zone</t>
  </si>
  <si>
    <t>SOUTHERN-OCEAN; ATMOSPHERIC CO2; EXPORT; CALCIFICATION; DIOXIDE; FLUX</t>
  </si>
  <si>
    <t>The production of organic carbon in the ocean's surface and its subsequent downward export transfers carbon dioxide to the deep ocean. This CO2 drawdown is countered by the biological precipitation of carbonate, followed by sinking of particulate inorganic carbon, which is a source of carbon dioxide to the surface ocean, and hence the atmosphere over 100-1,000 year timescales(1). The net transfer of CO2 to the deep ocean is therefore dependent on the relative amount of organic and inorganic carbon in sinking particles(2). In the Southern Ocean, iron fertilization has been shown to increase the export of organic carbon(3-5), but it is unclear to what degree this effect is compensated by the export of inorganic carbon. Here we assess the composition of sinking particles collected from sediment traps located in the Polar Frontal Zone of the Southern Ocean. We find that in high-nutrient, low-chlorophyll regions that are characterized by naturally high iron concentrations, fluxes of both organic and inorganic carbon are higher than in regions with no iron fertilization. However, the excess flux of inorganic carbon is greater than that of organic carbon. We estimate that the production and flux of carbonate in naturally iron-fertilized waters reduces the overall amount of CO2 transferred to the deep ocean by 6-32%, compared to 1-4% at the non-fertilized site. We suggest that an increased export of organic carbon, stimulated by iron availability in the glacial sub-Antarctic oceans, may have been accompanied by a strengthened carbonate counter pump.</t>
  </si>
  <si>
    <t>[Salter, Ian] Alfred Wegener Inst, Helmholtz Ctr Polar &amp; Marine Res, D-27570 Bremerhaven, Germany; [Salter, Ian] Univ Paris 06, Sorbonne Univ, Lab Oceanog Microbienne, Observ Oceanol,CNRS UMR 7621, F-66650 Banyuls Sur Mer, France; [Schiebel, Ralf; Movellan, Aurore] Univ Angers, LPG BIAF, UMR CNRS 6112, F-49045 Angers, France; [Ziveri, Patrizia] Univ Autonoma Barcelona, ICREA ICTA, E-08193 Barcelona, Spain; [Ziveri, Patrizia] Vrije Univ Amsterdam, FALW, Dept Earth Sci, NL-1081 HV Amsterdam, Netherlands; [Lampitt, Richard] Natl Oceanog Ctr, Southampton SO14 3ZH, Hants, England; [Wolff, George A.] Univ Liverpool, Sch Environm Sci, Liverpool L69 3GP, Merseyside, England</t>
  </si>
  <si>
    <t>Helmholtz Association; Alfred Wegener Institute, Helmholtz Centre for Polar &amp; Marine Research; Sorbonne Universite; Centre National de la Recherche Scientifique (CNRS); CNRS - National Institute for Earth Sciences &amp; Astronomy (INSU); Universite d'Angers; Centre National de la Recherche Scientifique (CNRS); ICREA; Autonomous University of Barcelona; Vrije Universiteit Amsterdam; NERC National Oceanography Centre; University of Liverpool</t>
  </si>
  <si>
    <t>Salter, I (corresponding author), Alfred Wegener Inst, Helmholtz Ctr Polar &amp; Marine Res, Handelshafen 12, D-27570 Bremerhaven, Germany.</t>
  </si>
  <si>
    <t>ian.salter@awi.de</t>
  </si>
  <si>
    <t>Salter, Ian/AAI-1015-2021; Ziveri, Patrizia/I-3856-2015; Wolff, George/B-7982-2018</t>
  </si>
  <si>
    <t>Ziveri, Patrizia/0000-0002-5576-0301; Wolff, George/0000-0002-9380-1039; Schiebel, Ralf/0000-0002-6252-7647; Movellan, Aurore/0000-0002-7113-1193; Salter, Ian/0000-0002-4513-0314</t>
  </si>
  <si>
    <t>NERC programmes CROZeX; NERC programmes CROZeX (PI: Pollard); Benthic Crozet (PI); MinECo [CGL2009-10806]; EC-FP7 [265103]; ICREA Funding Source: Custom; NERC [noc010009] Funding Source: UKRI; Natural Environment Research Council [NER/A/S/2003/00573, noc010009, NER/A/S/2003/00576] Funding Source: researchfish</t>
  </si>
  <si>
    <t>NERC programmes CROZeX; NERC programmes CROZeX (PI: Pollard)(UK Research &amp; Innovation (UKRI)Natural Environment Research Council (NERC)); Benthic Crozet (PI); MinECo(Spanish Government); EC-FP7(European Union (EU)); ICREA(ICREA); NERC(UK Research &amp; Innovation (UKRI)Natural Environment Research Council (NERC)); Natural Environment Research Council(UK Research &amp; Innovation (UKRI)Natural Environment Research Council (NERC))</t>
  </si>
  <si>
    <t>Sediment trap deployments were funded through the NERC programmes CROZeX (PI: Pollard, R.T) and Benthic Crozet (PI: Wolff,G. A.). P.Z. was funded through the projects CGL2009-10806 (MinECo) and 265103 (EC-FP7). We are grateful to the captain and crew of R.R.S. Discovery for their support throughout the cruises D285, D286 and D300. We thank D. Bakker for sharing published DIC and TA data, calculating omega values and her detailed comments. M. Rembauville assisted in the preparation of Fig. 3. We are also grateful to M.C. Nielsdottir and S. Blain for commenting on earlier versions of the manuscript. Finally we acknowledge the scientific participants of the CROZeX and Benthic Crozet programmes.</t>
  </si>
  <si>
    <t>10.1038/NGEO2285</t>
  </si>
  <si>
    <t>WOS:000345915300016</t>
  </si>
  <si>
    <t>Trathan, PN; Emmerson, L</t>
  </si>
  <si>
    <t>Trathan, Philip N.; Emmerson, Louise</t>
  </si>
  <si>
    <t>Animal identification with robot rovers</t>
  </si>
  <si>
    <t>NATURE METHODS</t>
  </si>
  <si>
    <t>CLIMATE-CHANGE; PENGUINS; RELIABILITY</t>
  </si>
  <si>
    <t>Robots can be used to detect marked animals with less disturbance when assessing ecological drivers of population change.</t>
  </si>
  <si>
    <t>[Trathan, Philip N.] British Antarctic Survey, Nat Environm Res Council, Cambridge CB3 0ET, England; [Emmerson, Louise] Australian Antarctic Div, Kingston, Tas, Australia</t>
  </si>
  <si>
    <t>UK Research &amp; Innovation (UKRI); Natural Environment Research Council (NERC); NERC British Antarctic Survey; Australian Antarctic Division</t>
  </si>
  <si>
    <t>Trathan, PN (corresponding author), British Antarctic Survey, Nat Environm Res Council, Cambridge CB3 0ET, England.</t>
  </si>
  <si>
    <t>pnt@bas.ac.uk</t>
  </si>
  <si>
    <t>1548-7091</t>
  </si>
  <si>
    <t>1548-7105</t>
  </si>
  <si>
    <t>NAT METHODS</t>
  </si>
  <si>
    <t>Nat. Methods</t>
  </si>
  <si>
    <t>10.1038/nmeth.3195</t>
  </si>
  <si>
    <t>Biochemical Research Methods</t>
  </si>
  <si>
    <t>AU4FF</t>
  </si>
  <si>
    <t>WOS:000345564600014</t>
  </si>
  <si>
    <t>Le Maho, Y; Whittington, JD; Hanuise, N; Pereira, L; Boureau, M; Brucker, M; Chatelain, N; Courtecuisse, J; Crenner, F; Friess, B; Grosbellet, E; Kernaléguen, L; Oliver, F; Saraux, C; Vetter, N; Viblanc, VA; Thierry, B; Tremblay, P; Groscolas, R; Le Bohec, C</t>
  </si>
  <si>
    <t>Le Maho, Yvon; Whittington, Jason D.; Hanuise, Nicolas; Pereira, Louise; Boureau, Matthieu; Brucker, Mathieu; Chatelain, Nicolas; Courtecuisse, Julien; Crenner, Francis; Friess, Benjamin; Grosbellet, Edith; Kernaleguen, Laetitia; Oliver, Frederique; Saraux, Claire; Vetter, Nathanael; Viblanc, Vincent A.; Thierry, Bernard; Tremblay, Pascale; Groscolas, Rene; Le Bohec, Celine</t>
  </si>
  <si>
    <t>Rovers minimize human disturbance in research on wild animals</t>
  </si>
  <si>
    <t>HEART-RATE; FLIPPER-BANDS; PENGUINS; RESPONSES; SURVIVAL; STRESS; SCIENCE; COLOR; BIRD</t>
  </si>
  <si>
    <t>Investigating wild animals while minimizing human disturbance remains an important methodological challenge. When approached by a remote-operated vehicle (rover) which can be equipped to make radio-frequency identifications, wild penguins had significantly lower and shorter stress responses (determined by heart rate and behavior) than when approached by humans. Upon immobilization, the rover-unlike humans-did not disorganize colony structure, and stress rapidly ceased. Thus, rovers can reduce human disturbance of wild animals and the resulting scientific bias.</t>
  </si>
  <si>
    <t>[Le Maho, Yvon; Whittington, Jason D.; Hanuise, Nicolas; Pereira, Louise; Boureau, Matthieu; Brucker, Mathieu; Chatelain, Nicolas; Courtecuisse, Julien; Crenner, Francis; Friess, Benjamin; Grosbellet, Edith; Kernaleguen, Laetitia; Saraux, Claire; Vetter, Nathanael; Viblanc, Vincent A.; Thierry, Bernard; Groscolas, Rene] Univ Strasbourg, Inst Pluridisciplinaire Hubert Curien, Lab Int Associe LIA BioSensib 647, CSM CNRS UdS, Strasbourg, France; [Le Maho, Yvon; Whittington, Jason D.; Pereira, Louise; Boureau, Matthieu; Brucker, Mathieu; Chatelain, Nicolas; Courtecuisse, Julien; Crenner, Francis; Friess, Benjamin; Grosbellet, Edith; Kernaleguen, Laetitia; Saraux, Claire; Vetter, Nathanael; Viblanc, Vincent A.; Thierry, Bernard; Groscolas, Rene] CNRS, LIA BioSensib 647, Unite Mixte Rech 7178, Strasbourg, France; [Le Maho, Yvon; Whittington, Jason D.; Tremblay, Pascale; Le Bohec, Celine] Ctr Sci Monaco, LIA BioSensib 647, Monaco, Monaco; [Whittington, Jason D.] Univ Oslo, Nord Ctr Res Marine Ecosyst &amp; Resources Climate C, Oslo, Norway; [Whittington, Jason D.] Univ Oslo, Dept Biosci, Ctr Ecol &amp; Evolutionary Synth, Oslo, Norway; [Oliver, Frederique] John Downer Prod Ltd, Bristol, Avon, England; [Oliver, Frederique] Univ Tasmania, Inst Marine &amp; Antarctic Studies, Hobart, Tas, Australia; [Saraux, Claire] IFREMER, F-34203 Sete, France; [Viblanc, Vincent A.] CNRS, Ctr Ecol Fonct &amp; Evolut, Unite Mixte Rech 5158, Montpellier, France</t>
  </si>
  <si>
    <t>Universites de Strasbourg Etablissements Associes; Universite de Strasbourg; Centre National de la Recherche Scientifique (CNRS); Universites de Strasbourg Etablissements Associes; Universite de Strasbourg; University of Oslo; University of Oslo; University of Tasmania; Ifremer; Universite PSL; Ecole Pratique des Hautes Etudes (EPHE); Institut Agro; Montpellier SupAgro; CIRAD; Centre National de la Recherche Scientifique (CNRS); Institut de Recherche pour le Developpement (IRD); Universite Paul-Valery; Universite de Montpellier</t>
  </si>
  <si>
    <t>Le Maho, Y (corresponding author), Univ Strasbourg, Inst Pluridisciplinaire Hubert Curien, Lab Int Associe LIA BioSensib 647, CSM CNRS UdS, Strasbourg, France.</t>
  </si>
  <si>
    <t>yvon.lemaho@iphc.cnrs.fr; celine.lebohec@iphc.cnrs.fr</t>
  </si>
  <si>
    <t>saraux, claire/AAX-8709-2020; Viblanc, Vincent Alexandre/A-7455-2014; LE BOHEC, CELINE/AAD-3589-2022; Whittington, Jason/JFL-0182-2023</t>
  </si>
  <si>
    <t>saraux, claire/0000-0001-5061-4009; Viblanc, Vincent Alexandre/0000-0002-4953-659X; LE BOHEC, Celine/0000-0003-0149-6477; COURTECUISSE, Julien/0000-0002-0179-379X</t>
  </si>
  <si>
    <t>French National Research Agency PICASO grant; CNRS; Centre Scientifique de Monaco (CSM); AXA Research Fund</t>
  </si>
  <si>
    <t>French National Research Agency PICASO grant(Agence Nationale de la Recherche (ANR)); CNRS(Centre National de la Recherche Scientifique (CNRS)); Centre Scientifique de Monaco (CSM); AXA Research Fund(AXA Research Fund)</t>
  </si>
  <si>
    <t>This study was undertaken within Program 137 of the Institut Polaire Francais Paul-Emile Victor (IPEV), with support from the French National Research Agency (A.N.R.) PICASO grant. We are very grateful to the mine-clearing services of the French Ministry of the Interior for the gift of a mine-clearing rover for preliminary tests. All technical developments were supported by Total Corporate Foundation. M. Brucker, N.C., J.C., F.C., B.F., R.G. and Y.L.M. were supported by the CNRS. C.L.B. and P.T. were supported by Centre Scientifique de Monaco (CSM). V.A.V. was supported by the AXA Research Fund. Y.L.M., C.L.B., P.T. and J.D.W. collaborated under the framework of the Laboratoire International Associe 647 BioSensib between the Institut Pluridisciplinaire Hubert Curien (CNRS and University of Strasbourg) and the CSM.</t>
  </si>
  <si>
    <t>10.1038/NMETH.3173</t>
  </si>
  <si>
    <t>WOS:000345564600019</t>
  </si>
  <si>
    <t>Manno, C</t>
  </si>
  <si>
    <t>Manno, Clara</t>
  </si>
  <si>
    <t>Clara Manno</t>
  </si>
  <si>
    <t>OCEANOGRAPHY</t>
  </si>
  <si>
    <t>[Manno, Clara] British Antarctic Survey, Pelag Ecosyst Grp, Cambridge CB3 0ET, England</t>
  </si>
  <si>
    <t>Manno, C (corresponding author), British Antarctic Survey, Pelag Ecosyst Grp, Cambridge CB3 0ET, England.</t>
  </si>
  <si>
    <t>OCEANOGRAPHY SOC</t>
  </si>
  <si>
    <t>ROCKVILLE</t>
  </si>
  <si>
    <t>P.O. BOX 1931, ROCKVILLE, MD USA</t>
  </si>
  <si>
    <t>1042-8275</t>
  </si>
  <si>
    <t>V44BO</t>
  </si>
  <si>
    <t>WOS:000209724700128</t>
  </si>
  <si>
    <t>Robinson, RS; Brzezinski, MA; Beucher, CP; Horn, MGS; Bedsole, P</t>
  </si>
  <si>
    <t>Robinson, Rebecca S.; Brzezinski, Mark A.; Beucher, Charlotte P.; Horn, Matthew G. S.; Bedsole, Patrick</t>
  </si>
  <si>
    <t>The changing roles of iron and vertical mixing in regulating nitrogen and silicon cycling in the Southern Ocean over the last glacial cycle</t>
  </si>
  <si>
    <t>nutrient utilization; Fe fertilization; overturning; Southern Ocean</t>
  </si>
  <si>
    <t>DIATOM-BOUND NITROGEN; ATMOSPHERIC CO2; ISOTOPE FRACTIONATION; NUTRIENT CONSUMPTION; EXPORT PRODUCTION; ANTARCTIC OCEAN; PACIFIC SECTOR; BIOGENIC OPAL; ACID LEAKAGE; DEEP-OCEAN</t>
  </si>
  <si>
    <t>The Southern Ocean plays a critical role in the air-sea CO2 balance through biological and physical mechanisms. Vertical supply of deep waters returns nutrients and CO2 to the surface and stimulates phytoplankton growth. Photosynthesis in the Southern Ocean is limited by iron and only a fraction of the carbon and nutrients that return to the surface are consumed for potential sequestration in the deep sea. Here we present the most spatially extensive data set of silicon and nitrogen isotope measurements from diatom frustules to date to examine the controls on nutrient drawdown during the last glacial period and across the glacial termination in both the Antarctic and Subantarctic zones. The new data confirm existing views that differing silicon and nitrate consumption patterns in the Antarctic zone are likely the result, at least in part, of iron addition during the last glacial maximum (LGM). However, earlier in the glacial, a more coordinated response in the two proxy records, with both reflecting enhanced consumption during episodes of increased iron accumulation and export production, implies a different system response than observed for the LGM. A collapse of the expected equatorward gradient in silicon isotope values and contraction of the nitrogen isotope gradient during the deglaciation suggests that nutrient supply increased not only in the Antarctic Zone, but also in the Subantarctic, perhaps due to enhanced deep mixing locally. Enhanced deep water ventilation across the Southern Ocean likely increased the nutrient content of mode waters during the deglaciation.</t>
  </si>
  <si>
    <t>[Robinson, Rebecca S.; Horn, Matthew G. S.; Bedsole, Patrick] Univ Rhode Isl, Grad Sch Oceanog, Narragansett, RI 02882 USA; [Brzezinski, Mark A.] Univ Calif Santa Barbara, Dept Ecol Evolut &amp; Marine Biol, Santa Barbara, CA 93106 USA; [Brzezinski, Mark A.; Beucher, Charlotte P.] Univ Calif Santa Barbara, Inst Marine Sci, Santa Barbara, CA 93106 USA; [Horn, Matthew G. S.] RPS ASA, South Kingstown, RI USA</t>
  </si>
  <si>
    <t>University of Rhode Island; University of California System; University of California Santa Barbara; University of California System; University of California Santa Barbara</t>
  </si>
  <si>
    <t>Robinson, RS (corresponding author), Univ Rhode Isl, Grad Sch Oceanog, Narragansett, RI 02882 USA.</t>
  </si>
  <si>
    <t>rebecca_r@mail.uri.edu</t>
  </si>
  <si>
    <t>Robinson, Rebecca/0000-0002-8072-1603</t>
  </si>
  <si>
    <t>NSF OCE-MGG Grant [00752191]</t>
  </si>
  <si>
    <t>NSF OCE-MGG Grant</t>
  </si>
  <si>
    <t>Support for this work was provided by funds from NSF OCE-MG&amp;G Grant 00752191 to C.B., M.A.B, and R.S.R. Thanks to R. Anderson for providing samples and advice. Thanks to C.J. Bascom and A. Becker for analytical support. Data are archived in the National Climate Data Center Paleoceanography database, found at URL: http://www.ncdc.noaa.gov/.</t>
  </si>
  <si>
    <t>10.1002/2014PA002686</t>
  </si>
  <si>
    <t>WOS:000348536600005</t>
  </si>
  <si>
    <t>Paillard, D; Donnadieu, Y</t>
  </si>
  <si>
    <t>Paillard, Didier; Donnadieu, Yannick</t>
  </si>
  <si>
    <t>A 100 Myr history of the carbon cycle based on the 400 kyr cycle in marine δ13C benthic records</t>
  </si>
  <si>
    <t>carbon cycle; carbon isotopes; eccentricity; Cenozoic; Mesozoic; atmospheric pCO2</t>
  </si>
  <si>
    <t>ATMOSPHERIC CO2; TIME-SCALE; DIOXIDE; CLIMATE; TEMPERATURE; CHEMISTRY; EVOLUTION; OLIGOCENE</t>
  </si>
  <si>
    <t>Documenting the past coevolution of Earth temperatures and of the carbon cycle is of paramount importance for our understanding of climate dynamics. Atmospheric CO2 is well constrained over the last million years through direct measurements in air bubbles from Antarctic ice cores. For older times, many different and sometimes conflicting proxies have been suggested. Here we provide a new methodology to constrain the carbon cycle in the past, based on marine benthic C-13 records. Marine C-13 data are recording a persistent 400kyr cycle, with an amplitude primarily linked to the total amount of carbon in the ocean, or dissolved inorganic carbon (DIC). By extracting this amplitude from published records, we obtain a new strong constraint on the 100Myr history of Earth's carbon cycle. The obtained Cenozoic evolution of DIC is in surprisingly in a good agreement with existing reconstructions of pCO(2), suggesting that pCO(2) is mostly driven by DIC changes over this period. In contrast, we find no strong decreasing trend in DIC between the Cretaceous and the Cenozoic, suggesting that Cretaceous atmospheric pCO(2) levels were limited, and high temperatures at this time should be explained by other mechanisms. Alternatively, high Cretaceous atmospheric pCO(2) could occur as a consequence of changes in oceanic chemistry but not carbon content.</t>
  </si>
  <si>
    <t>[Paillard, Didier; Donnadieu, Yannick] Lab Sci Climat &amp; Environm CEA CNRS UVSQ IPSL, Gif Sur Yvette, France</t>
  </si>
  <si>
    <t>Universite Paris Saclay; CEA; Centre National de la Recherche Scientifique (CNRS)</t>
  </si>
  <si>
    <t>Paillard, D (corresponding author), Lab Sci Climat &amp; Environm CEA CNRS UVSQ IPSL, Gif Sur Yvette, France.</t>
  </si>
  <si>
    <t>Paillard, Didier/G-4776-2012; donnadieu, yannick/G-7546-2016</t>
  </si>
  <si>
    <t>Paillard, Didier/0000-0002-9995-2794; donnadieu, yannick/0000-0002-7315-2684</t>
  </si>
  <si>
    <t>10.1002/2014PA002693</t>
  </si>
  <si>
    <t>WOS:000348536600009</t>
  </si>
  <si>
    <t>Balarinová, K; Barták, M; Hazdrová, J; Hájek, J; Jílková, J</t>
  </si>
  <si>
    <t>Balarinova, K.; Bartak, M.; Hazdrova, J.; Hajek, J.; Jilkova, J.</t>
  </si>
  <si>
    <t>Changes in photosynthesis, pigment composition and glutathione contents in two Antarctic lichens during a light stress and recovery</t>
  </si>
  <si>
    <t>PHOTOSYNTHETICA</t>
  </si>
  <si>
    <t>carotenoids; chlorophyll fluorescence; performance index; thallus</t>
  </si>
  <si>
    <t>PHYSIOLOGICAL-RESPONSES; UMBILICARIA-ANTARCTICA; PHOTOSYSTEM-II; DESICCATION; PHOTOPROTECTION; GREEN; ANTIOXIDANTS; HOMEOSTASIS; METABOLISM; ZEAXANTHIN</t>
  </si>
  <si>
    <t>Over last decades, several studies have been focused on short-term high light stress in lichens under laboratory conditions. Such studies reported a strong photoinhibition of photosynthesis accompanied by a partial photodestruction of PSII, involvement of photoprotective mechanisms, and resynthetic processes into gradual recovery. In our paper, we applied medium [800 mu mol(photon) m(-2) s(-1)] light stress to induce negative changes in PSII funcioning as well as pigment and glutathione (GSH) content in two Antarctic fruticose lichen species. Chlorophyll (Chl) fluorescence parameters, such as potential and effective quantum yield of photosynthetic processes and fast transients (OJIP) recorded during high light exposition and recovery, revealed that Usnea antarctica was less susceptible to photoinhibition than U. aurantiaco-atra. This might be supported by a more pronounced high light-induced reduction in Chl a and b contents in U. aurantiaco-atra compared with U. antarctica. In both experimental species, total GSH showed an initial increase during the first 30-40 min of high light treatment followed by a decrease (60 min) and an increase during dark recovery. Full GSH recovery, however, was not finished in U. aurantiaco-atra even after 5 h indicating lower capacity of photoprotective mechanisms in the species. OJIP curves showed high light-induced decrease in both species, however, the recovery of the OJIPs shape to pre-photoinhibitory values was faster and more apparent in U. antarctica than in U. aurantiaco-atra. The results are discussed in terms of sensitivity of the two species to photoinhibition and their photosynthetic performance in natural environment.</t>
  </si>
  <si>
    <t>[Balarinova, K.; Bartak, M.; Hazdrova, J.; Hajek, J.; Jilkova, J.] Masaryk Univ, Fac Sci, Dept Expt Biol, Lab Photosynthet Proc, Brno 62500, Czech Republic</t>
  </si>
  <si>
    <t>Masaryk University Brno</t>
  </si>
  <si>
    <t>Barták, M (corresponding author), Masaryk Univ, Fac Sci, Dept Expt Biol, Lab Photosynthet Proc, Kamenice 5, Brno 62500, Czech Republic.</t>
  </si>
  <si>
    <t>mbartak@sci.muni.cz</t>
  </si>
  <si>
    <t>Hájek, Josef/F-4694-2019; Barták, Miloš/F-4714-2019</t>
  </si>
  <si>
    <t>Hájek, Josef/0000-0002-2679-1707; Jilkova, Jana/0009-0004-5537-4015</t>
  </si>
  <si>
    <t>0300-3604</t>
  </si>
  <si>
    <t>1573-9058</t>
  </si>
  <si>
    <t>Photosynthetica</t>
  </si>
  <si>
    <t>10.1007/s11099-014-0060-7</t>
  </si>
  <si>
    <t>AU1QF</t>
  </si>
  <si>
    <t>WOS:000345394500008</t>
  </si>
  <si>
    <t>Dunlop, KM; Barnes, DKA; Bailey, DM</t>
  </si>
  <si>
    <t>Dunlop, Katherine M.; Barnes, David K. A.; Bailey, David M.</t>
  </si>
  <si>
    <t>Variation of scavenger richness and abundance between sites of high and low iceberg scour frequency in Ryder Bay, west Antarctic Peninsula</t>
  </si>
  <si>
    <t>Scavengers; Western Antarctic Peninsula; Iceberg scouring; Baited underwater camera; Patterns of distribution</t>
  </si>
  <si>
    <t>MARINE BENTHIC COMMUNITIES; KING GEORGE ISLAND; SIGNY ISLAND; ICE-SCOUR; POPULATION-STRUCTURE; GRENADIER FISH; DISTURBANCE; IMPACT; GROWTH; COLONIZATION</t>
  </si>
  <si>
    <t>Physical disturbance, particularly from iceberg scour, is a major structuring force in polar benthic communities at shelf depths. Scouring kills and damages benthic organisms providing food for the abundant scavenging fauna of coastal Antarctic waters. This trophic group is likely to be strongly affected by changes in iceberg scouring. A baited underwater camera system was used to examine the distribution of scavenging fauna in relation to the spatial variation in exposure to iceberg impacts experienced at different iceberg scouring conditions and depths within Ryder Bay. The results indicate that the relationships between depth and scavenger abundance and assemblage composition differed between high and low scour sites. Scavenger abundance increased with depth at high scour sites and fell with depth a low scour sites. There was also significant difference in community composition between sites within each scouring condition. Scavenger species richness also exhibited an increase with depth at most sites consistent with the established pattern of declining iceberg scouring frequency with depth. Shannon-Wiener diversity increased with depth but significantly more steeply in highly scoured sites. Our results suggest that depth and exposure to icebergs interact to shape the scavenger community. The significant differences within the high and low scour groups suggest that other factors remain to be investigated and that there is probably a nonlinear relationship between scouring intensity and the favourability of a site for scavengers.</t>
  </si>
  <si>
    <t>[Dunlop, Katherine M.; Bailey, David M.] Univ Glasgow, Inst Biodivers Anim Hlth &amp; Comparat Med, Glasgow G12 8QQ, Lanark, Scotland; [Barnes, David K. A.] British Antarctic Survey, Cambridge CB3 0ET, England</t>
  </si>
  <si>
    <t>University of Glasgow; UK Research &amp; Innovation (UKRI); Natural Environment Research Council (NERC); NERC British Antarctic Survey</t>
  </si>
  <si>
    <t>Dunlop, KM (corresponding author), Univ Glasgow, Inst Biodivers Anim Hlth &amp; Comparat Med, Glasgow G12 8QQ, Lanark, Scotland.</t>
  </si>
  <si>
    <t>kdunlop@mbari.org</t>
  </si>
  <si>
    <t>; Bailey, David/A-6240-2008</t>
  </si>
  <si>
    <t>Dunlop, Katherine/0000-0002-2397-1841; Bailey, David/0000-0002-0824-8823</t>
  </si>
  <si>
    <t>Collaborative Gearing Scheme grant from the Natural Environmental Research Council; British Antarctic Survey; University of Glasgow Faculty Scholarship; NERC [bas0100025] Funding Source: UKRI; Natural Environment Research Council [bas0100025] Funding Source: researchfish</t>
  </si>
  <si>
    <t>Collaborative Gearing Scheme grant from the Natural Environmental Research Council; British Antarctic Survey; University of Glasgow Faculty Scholarship; NERC(UK Research &amp; Innovation (UKRI)Natural Environment Research Council (NERC)); Natural Environment Research Council(UK Research &amp; Innovation (UKRI)Natural Environment Research Council (NERC))</t>
  </si>
  <si>
    <t>This work was supported by the Collaborative Gearing Scheme grant from the Natural Environmental Research Council and the British Antarctic Survey and a University of Glasgow Faculty Scholarship to KMD. We are grateful for the logistical support of the staff at Rothera research station, especially the diving and boating staff, and Marian Scott for her advice on the statistical analysis.</t>
  </si>
  <si>
    <t>10.1007/s00300-014-1558-y</t>
  </si>
  <si>
    <t>WOS:000344728400003</t>
  </si>
  <si>
    <t>de los Ríos, A; Cary, C; Cowan, D</t>
  </si>
  <si>
    <t>de los Rios, Asuncion; Cary, Craig; Cowan, Don</t>
  </si>
  <si>
    <t>The spatial structures of hypolithic communities in the Dry Valleys of East Antarctica</t>
  </si>
  <si>
    <t>Antarctica; Biofilm; Cyanobacteria; EPS; Hypoliths; Moss</t>
  </si>
  <si>
    <t>MICROBIAL COMMUNITIES; ENDOLITHIC MICROORGANISMS; COLONIZATION; ECOLOGY; ROCKS; SOIL; PHOTOSYNTHESIS; CYANOBACTERIA; BIOFILMS; GRANITE</t>
  </si>
  <si>
    <t>Hypolithic communities represent important reservoirs of microbial life in hyper-arid deserts. A number of studies on the diversity and ecology of these communities from different geographic areas have been reported in the past decade, but the spatial distribution of the different components of these communities is still not understood. Moss-and cyanobacteria-dominated hypolithic community morphotypes from Miers Valley (McMurdo Dry Valleys, East Antarctica) were analyzed by electron microscopy in order to characterize the microscale spatial structure. The two communities showed a high degree of internal organization, but differing according to the biological composition. In moss-dominated hypoliths, the moss plantlets are intermixed with mineral fragments of soil origin. However, in cyanobacteria-dominated hypoliths, a layered spatial organization was structured by filamentous cyanobacteria and associated extracellular polymeric components. While moss cells were lacking in cyanobacteria-dominated communities, biofilms formed by cyanobacteria and heterotrophic bacteria were observed in both community morphotypes. The water-holding capacity of both live and dead moss cells and the associated organic matrix, together with the protective properties of the extracellular polymeric substances, could facilitate the survival and activity of these communities. Similar structural strategies can favor the survival of microbial communities in different extreme environments.</t>
  </si>
  <si>
    <t>[de los Rios, Asuncion] CSIC, Museo Nacl Ciencias Nat, E-28006 Madrid, Spain; [Cary, Craig] Univ Waikato, Int Ctr Terr Antarctic Res, Hamilton, New Zealand; [Cowan, Don] Univ Pretoria, Ctr Microbial Ecol &amp; Genom, Dept Genet, ZA-0028 Pretoria, South Africa</t>
  </si>
  <si>
    <t>Consejo Superior de Investigaciones Cientificas (CSIC); CSIC - Museo Nacional de Ciencias Naturales (MNCN); University of Waikato; University of Pretoria</t>
  </si>
  <si>
    <t>de los Ríos, A (corresponding author), CSIC, Museo Nacl Ciencias Nat, Plaza Murillo 2, E-28006 Madrid, Spain.</t>
  </si>
  <si>
    <t>arios@mncn.csic.es</t>
  </si>
  <si>
    <t>de los Rios, Asuncion/L-3694-2014; Cowan, Donald A/E-3991-2012</t>
  </si>
  <si>
    <t>de los Rios, Asuncion/0000-0002-0266-3516; Cowan, Donald A/0000-0001-8059-861X; Cary, Stephen/0000-0002-2876-2387</t>
  </si>
  <si>
    <t>New Zealand Foundation for Research, Science and Technology (FRST); University of Waikato Vice Chancellor's Fund; Department of Biological Sciences, University of Waikato; South African NRF SANAP program; UP Genomics Research Institute; Spanish Education Ministry [CTM2012-38222-C02-02]</t>
  </si>
  <si>
    <t>New Zealand Foundation for Research, Science and Technology (FRST)(New Zealand Foundation for Research, Science and Technology); University of Waikato Vice Chancellor's Fund; Department of Biological Sciences, University of Waikato; South African NRF SANAP program; UP Genomics Research Institute; Spanish Education Ministry(Spanish Government)</t>
  </si>
  <si>
    <t>We are grateful to Antarctica New Zealand (AntNZ) for logistical support. The New Zealand Foundation for Research, Science and Technology (FRST), the University of Waikato Vice Chancellor's Fund, and the Department of Biological Sciences, University of Waikato provided financial support to SCC. DAC acknowledges financial support from the South African NRF SANAP program and the UP Genomics Research Institute. The microscopy study was funded by the Spanish Education Ministry grant CTM2012-38222-C02-02. The authors would like to thank to the ICA and the MNCN microscopy services staff for technical assistance and Glen Stichbury (University of Waikato) for elaborating the maps.</t>
  </si>
  <si>
    <t>10.1007/s00300-014-1564-0</t>
  </si>
  <si>
    <t>WOS:000344728400009</t>
  </si>
  <si>
    <t>Waluda, CM; Dunn, MJ; Curtis, ML; Fretwell, PT</t>
  </si>
  <si>
    <t>Waluda, Claire M.; Dunn, Michael J.; Curtis, Michael L.; Fretwell, Peter T.</t>
  </si>
  <si>
    <t>Assessing penguin colony size and distribution using digital mapping and satellite remote sensing</t>
  </si>
  <si>
    <t>Pygoscelid penguins; Satellite remote sensing; Digital mapping; Population estimate</t>
  </si>
  <si>
    <t>SOUTH ORKNEY ISLANDS; POPULATION-CHANGES; CHINSTRAP PENGUINS; PYGOSCELIS-ANTARCTICA; SIGNY ISLAND; ADELIE; COMPETITION; SEABIRDS; IMAGERY; VARIABILITY</t>
  </si>
  <si>
    <t>Changes in penguin abundance and distribution can be used to understand the response of species to climate change and fisheries pressures, and as a gauge of ecosystem health. Traditionally, population estimates have involved direct counts, but remote sensing and digital mapping methodologies can provide us with alternative techniques for assessing the size and distribution of penguin populations. Here, we demonstrate the use of a field-based digital mapping system (DMS), combining a handheld geographic information system with integrated geographical positioning system as a method for: (a) assessing penguin colony area and (b) ground-truthing colony area as derived from satellite imagery. Work took place at Signy Island, South Orkneys, where colonies of the three congeneric pygoscelid penguins: Adelie Pygoscelis adeliae, chinstrap P. antarctica and gentoo P. papua were surveyed. Colony areas were derived by mapping colony boundaries using the DMS with visual counts of the number of nesting birds made concurrently. Area was found to be a good predictor for number of nests for all three species of penguin. Using a maximum likelihood multivariate classification of remotely sensed satellite imagery (QuickBird2, 18 January 2010; Digital Globe ID: 01001000B90AD00), we were able to identify penguin colonies from the spectral signature of guano and differentiate between colonies of Adelie and chinstrap penguins. The area classified (all species combined) from satellite imagery versus area from DMS data was closely related (R-2 = 0.88). Combining these techniques gives a simple and transferrable methodology for examining penguin distribution and abundance at local and regional scales.</t>
  </si>
  <si>
    <t>[Waluda, Claire M.; Dunn, Michael J.; Curtis, Michael L.; Fretwell, Peter T.] British Antarctic Survey, Nat Environm Res Council, Cambridge CB3 0ET, England</t>
  </si>
  <si>
    <t>Waluda, CM (corresponding author), British Antarctic Survey, Nat Environm Res Council, Madingley Rd, Cambridge CB3 0ET, England.</t>
  </si>
  <si>
    <t>clwa@bas.ac.uk</t>
  </si>
  <si>
    <t>Curtis, Mike/HKV-6176-2023</t>
  </si>
  <si>
    <t>Dunn, Michael/0000-0003-4633-5466</t>
  </si>
  <si>
    <t>Natural Environment Research Council [bas010011, bas0100025] Funding Source: researchfish; NERC [bas0100025, bas010011] Funding Source: UKRI</t>
  </si>
  <si>
    <t>10.1007/s00300-014-1566-y</t>
  </si>
  <si>
    <t>WOS:000344728400011</t>
  </si>
  <si>
    <t>Banks, JC; Cary, SC; Hogg, ID</t>
  </si>
  <si>
    <t>Banks, Jonathan C.; Cary, S. Craig; Hogg, Ian D.</t>
  </si>
  <si>
    <t>Isolated faecal bacterial communities found for Weddell seals, Leptonychotes weddellii, at White Island, McMurdo Sound, Antarctica</t>
  </si>
  <si>
    <t>16S; ARISA; Clone libraries; Enteric microbiota; Isolation by distance</t>
  </si>
  <si>
    <t>INTERGENIC SPACER ANALYSIS; SP-NOV.; ISOLATED POPULATION; EDWARDSIELLA-TARDA; GUT MICROBIOME; DIVERSITY; IDENTIFICATION; BIOGEOGRAPHY; ENDEMICITY; MAMMALS</t>
  </si>
  <si>
    <t>The microbial diversity of faecal communities co-existing with mega fauna is not well understood even though these faecal communities are critical for health and development. Additionally, the transfer of microbial taxa among host animals is little studied. Here, we used 16S sequences obtained from clone libraries to characterise the faecal microbiota of Weddell seals breeding in McMurdo Sound and at White Island, Antarctica. Faecal bacterial communities were dominated by four phyla; Actinobacteria (20 %), Bacteroidetes (13 %), Firmicutes (23 %), and Proteobacteria (13 %). We also used automated ribosomal intergenic spacer analysis to examine the dispersal of bacteria between populations of Weddell seals breeding at White Island and in McMurdo Sound. The Weddell seals at White Island are isolated by the Ross Ice Shelf from the larger population of Weddell seals breeding in McMurdo Sound. We found that the faecal bacteria communities of the seals at White Island had lower diversity and that the community composition was significantly different compared with the seals in the McMurdo Sound area.</t>
  </si>
  <si>
    <t>[Banks, Jonathan C.; Cary, S. Craig; Hogg, Ian D.] Univ Waikato, Dept Biol Sci, Waikato Mail Ctr, Hamilton 3240, New Zealand</t>
  </si>
  <si>
    <t>University of Waikato</t>
  </si>
  <si>
    <t>Banks, JC (corresponding author), Cawthron Inst, Envirotech, Nelson, New Zealand.</t>
  </si>
  <si>
    <t>jonathan.banks@cawthron.org.nz</t>
  </si>
  <si>
    <t>Banks, Jonathan C/B-9767-2008; Hogg, Ian D./HNS-7393-2023</t>
  </si>
  <si>
    <t>Hogg, Ian D./0000-0002-6685-0089; Cary, Stephen/0000-0002-2876-2387; Banks, Jonathan/0000-0001-9174-2779</t>
  </si>
  <si>
    <t>New Zealand Foundation for Research Science and Technology [UOWX0504, UOWX0505]; University of Waikato Vice Chancellor's research fund</t>
  </si>
  <si>
    <t>New Zealand Foundation for Research Science and Technology(New Zealand Foundation for Research, Science and Technology); University of Waikato Vice Chancellor's research fund</t>
  </si>
  <si>
    <t>Thanks to Charles Lee, Ian McDonald, Andreas Rueckert, and Susie Wood for advice and comments on the manuscript. Logistic support was provided through Antarctica New Zealand. Financial support was provided by the New Zealand Foundation for Research Science and Technology through a postdoctoral fellowship for JCB (UOWX0504) and research contract UOWX0505, and from the University of Waikato Vice Chancellor's research fund. This work contributes to the New Zealand Latitudinal Gradient Project (LGP) and the Evolution and Biodiversity in the Antarctic (EBA) programme and its successor Antarctic Thresholds, Resilience and Adaptation (AnT-ERA).</t>
  </si>
  <si>
    <t>10.1007/s00300-014-1567-x</t>
  </si>
  <si>
    <t>WOS:000344728400012</t>
  </si>
  <si>
    <t>Phartiyal, B</t>
  </si>
  <si>
    <t>Phartiyal, Binita</t>
  </si>
  <si>
    <t>Holocene paleoclimatic variation in the Schirmacher Oasis, East Antarctica: A mineral magnetic approach</t>
  </si>
  <si>
    <t>Holocene; Schirmacher Oasis; Lacustrine sediments; Mineral remanent magnetism; Paleoclimate</t>
  </si>
  <si>
    <t>LAKE; SEDIMENTS; RECORD; HILLS</t>
  </si>
  <si>
    <t>An analysis of remanent magnetism and radiocarbon ages in the dry lacustrine/sediment fills of the Schirmacher Oasis (SO) in East Antarctica was conducted to reconstruct past climatic condition. The statistically run mineral magnetic data on paleontological statistics software package (multivariate cluster analysis) placed on accelerator mass spectrometer radiocarbon chronology of the three sediment sections, trace 6 phases of climatic fluctuation between 13 and 3 ka, (Phases 1, 3 and 5 represent cold periods while Phases 2, 4, and 6 represent warm periods). One short warm period (Phase 2, ca. 12.5 ka) occurred in the late Pleistocene, and two marked warm periods (Phase 4, 11-8.7 ka; Phase 6, 4.4-3 ka) occurred in the Holocene. High magnetic susceptibility (chi), saturation isothermal remanent magnetism (SIRM), and soft isothermal remanent magnetism (soft IRM) values correspond to colder periods and low values reflect comparatively warmer lacustrine phases. Holocene Optima (Phase 4) and Mid Holocene Hypsithermal (Phase 6) are distinguished by decreased values of concentrations dependent parameters. Remanence is preserved in the low-coercive minerals. Heavy metals in the sediments include, Fe, Rb, Zn, Mo, Co, Pb, Mn, Cu, and As in order of decreasing abundance. (C) 2014 Elsevier B.V. and NIPR. All rights reserved.</t>
  </si>
  <si>
    <t>Birbal Sahni Inst Paleobot, Lucknow 226007, Uttar Pradesh, India</t>
  </si>
  <si>
    <t>Department of Science &amp; Technology (India); Birbal Sahni Institute of Palaeobotany (BSIP)</t>
  </si>
  <si>
    <t>Phartiyal, B (corresponding author), Birbal Sahni Inst Paleobot, 53 Univ Rd, Lucknow 226007, Uttar Pradesh, India.</t>
  </si>
  <si>
    <t>binitaphartiyal@gmail.com</t>
  </si>
  <si>
    <t>Phartiyal, Binita/0000-0003-3086-8735</t>
  </si>
  <si>
    <t>Deutscher Akademischer Austauschdienst (DAAD)</t>
  </si>
  <si>
    <t>Deutscher Akademischer Austauschdienst (DAAD)(Deutscher Akademischer Austausch Dienst (DAAD))</t>
  </si>
  <si>
    <t>I sincerely thank Directors, Birbal Sahni Institute of Palaeobotany, Lucknow, India and National Centre for Antarctic and Ocean Research (NCAOR), Goa, India for their encouragement. I thank NCAOR, Goa, for selection to participate in the 25th Indian Antarctic Expedition (IAE), 2005-06. I am grateful to the field teams and all members of the 24th and 25th IAEs for help during fieldwork. I also thank Deutscher Akademischer Austauschdienst (DAAD) for the Wiedereinladungen Programme Fellowship, and Professor Erwin Appel of Universitat Tubingen for assistance. I am grateful to Dr. Santosh K. Shah for assistance with the statistical analyses. I also thank the anonymous reviewers for useful suggestions and comments, which helped to bring the manuscript into its present form. Laboratory facilities provided by the Wadia Institute of Himalayan Geology, Dehradun, India; the Directorate of Mining, Lucknow, India; and the Institut fur Geologie und Palaontologie, Universitat Tubingen, Germany; as well as the chronology provided by the Silesian University of Technology, Gliwice, Poland, and NOSAMS, USA, are duly acknowledged.</t>
  </si>
  <si>
    <t>10.1016/j.polar.2014.06.001</t>
  </si>
  <si>
    <t>WOS:000346894800004</t>
  </si>
  <si>
    <t>Pawlak-Szukalska, A; Wanarska, M; Popinigis, AT; Kur, J</t>
  </si>
  <si>
    <t>Pawlak-Szukalska, Anna; Wanarska, Marta; Popinigis, Arkadiusz Tomasz; Kur, Jozef</t>
  </si>
  <si>
    <t>A novel cold-active β-D-galactosidase with transglycosylation activity from the Antarctic Arthrobacter sp 32cB-Gene cloning, purification and characterization</t>
  </si>
  <si>
    <t>PROCESS BIOCHEMISTRY</t>
  </si>
  <si>
    <t>beta-D-Galactosidase; Cold-active enzyme; Arthrobacter sp 32cB; Lactose hydrolysis; Transglycosylation</t>
  </si>
  <si>
    <t>PSEUDOALTEROMONAS SP 22B; LACTOSE HYDROLYSIS; ENZYMATIC-SYNTHESIS; GENE CLONING; BACTERIUM; OLIGOSACCHARIDES; GALACTOSYLATION; DERIVATIVES; FORMS</t>
  </si>
  <si>
    <t>A gene encoding a novel beta-D-galactosidase from the psychrotolerant Antarctic bacterium Arthrobacter sp. 32cB was isolated, cloned and expressed in Escherichia coli. The active form of recombinant beta-D-galactosidase consists of two subunits with a combined molecular weight of approximately 257 kDa. The enzyme's maximum activity towards o-nitrophenyl-beta-D-galactopyranoside was determined as occurring at 28 degrees C and pH 8.0. However, it exhibited 42% of maximum activity at 10 degrees C and was capable of hydrolyzing both lactose and o-nitrophenyl-beta-D-galactopyranoside at that temperature, with K-m, values of 1.52 and 16.56 mM, and k(cat) values 30.55 and 31.84 s(-1), respectively. Two units of the enzyme hydrolyzed 90% of the lactose in 1 mL of milk at 10 degrees C in 24 h. The transglycosylation activity of Arthrobacter sp. 32cB beta-D-galactosidase was also examined. It synthesized galactooligosaccharides in a temperature range from 10 to 30 degrees C. Moreover, it catalyzed the synthesis of heterooligosaccharides such as lactulose, galactosyl-xylose and galactosyl-arabinose, alkyl glycosides, and glycosylated salicin from lactose and the appropriate acceptor at 30 degrees C. The properties of Arthrobacter sp. 32cB beta-D-galactosidase make it a candidate for use in the industrial removal of lactose from milk and a promising tool for the glycosylation of various acceptors, especially those which are thermosensitive. (C) 2014 The Authors. Published by Elsevier Ltd. This is an open access article under the CC BY-NC-ND license.</t>
  </si>
  <si>
    <t>[Pawlak-Szukalska, Anna; Wanarska, Marta; Popinigis, Arkadiusz Tomasz; Kur, Jozef] Gdansk Univ Technol, Fac Chem, Dept Mol Biotechnol &amp; Microbiol, PL-80233 Gdansk, Poland</t>
  </si>
  <si>
    <t>Fahrenheit Universities; Gdansk University of Technology</t>
  </si>
  <si>
    <t>Wanarska, M (corresponding author), Gdansk Univ Technol, Fac Chem, Dept Mol Biotechnol &amp; Microbiol, Narutowicza 11-12, PL-80233 Gdansk, Poland.</t>
  </si>
  <si>
    <t>annpawla@student.pg.gda.pl; marwanar@pg.gda.pl; apopinigis@wp.pl; kur@pg.gda.pl</t>
  </si>
  <si>
    <t>Wanarska, Marta/0000-0001-5343-4302</t>
  </si>
  <si>
    <t>1359-5113</t>
  </si>
  <si>
    <t>1873-3298</t>
  </si>
  <si>
    <t>PROCESS BIOCHEM</t>
  </si>
  <si>
    <t>Process Biochem.</t>
  </si>
  <si>
    <t>10.1016/j.procbio.2014.09.018</t>
  </si>
  <si>
    <t>Biochemistry &amp; Molecular Biology; Biotechnology &amp; Applied Microbiology; Engineering, Chemical</t>
  </si>
  <si>
    <t>Biochemistry &amp; Molecular Biology; Biotechnology &amp; Applied Microbiology; Engineering</t>
  </si>
  <si>
    <t>AY7TG</t>
  </si>
  <si>
    <t>WOS:000347761100014</t>
  </si>
  <si>
    <t>Fedorenko, Y; Tereshchenko, E; Pilgaev, S; Grigoryev, V; Blagoveshchenskaya, N</t>
  </si>
  <si>
    <t>Fedorenko, Yu.; Tereshchenko, E.; Pilgaev, S.; Grigoryev, V.; Blagoveshchenskaya, N.</t>
  </si>
  <si>
    <t>Polarization of ELF waves generated during beat-wave heating experiment near cutoff frequency of the Earth-ionosphere waveguide</t>
  </si>
  <si>
    <t>HF heating; Earth-ionosphere waveguide; polarization</t>
  </si>
  <si>
    <t>COMBINATION FREQUENCIES; VLF; ELECTROJET; RADIATION; ATMOSPHERICS; REGION</t>
  </si>
  <si>
    <t>High-frequency heating of the ionosphere is effective for generating extremely low frequencies (ELF, 3-3000 Hz) through modulation of the auroral electrojet current. While the amplitudes of the resulting ELF waves depend on the auroral electrojet current strength, the polarization of their horizontal magnetic field remains relatively stable. In this work, we determined that at the distance of several wavelengths from an ionospheric ELF source created by two HF heating waves separated by an ELF frequency, polarization parameters are influenced by the Earth-ionosphere waveguide. Previous experiments in the vicinity of the ionospheric ELF source have determined that the right-hand polarization of the magnetic field measured at the ground typically prevails, whereas in this paper we demonstrate that at the distance of 660 km to the east of the European Incoherent Scatter, a circular left-hand polarization dominates. We interpret this effect as a result of trapping of the left-hand mode between the upper and lower boundaries of the Earth-ionosphere waveguide, while the right-hand or whistler mode leaks into the ionosphere.</t>
  </si>
  <si>
    <t>[Fedorenko, Yu.; Tereshchenko, E.; Pilgaev, S.; Grigoryev, V.] Russian Acad Sci, Kola Sci Ctr, Polar Geophys Inst, Apatity, Russia; [Blagoveshchenskaya, N.] Arctic &amp; Antarctic Res Inst, St Petersburg 199226, Russia</t>
  </si>
  <si>
    <t>Russian Academy of Sciences; Kola Science Centre of the Russian Academy of Sciences; Polar Geophysical Institute; Arctic &amp; Antarctic Research Institute</t>
  </si>
  <si>
    <t>Fedorenko, Y (corresponding author), Russian Acad Sci, Kola Sci Ctr, Polar Geophys Inst, Apatity, Russia.</t>
  </si>
  <si>
    <t>Yury.Fedorenko@gmail.com</t>
  </si>
  <si>
    <t>Fedorenko, Yury V/A-8571-2017; Blagoveshchenskaya, Nataly F./S-4342-2017; Grigoriev, Valerii/E-7123-2017; Tereshchenko, Evgeny D./F-3005-2017; Blagoveshchenskaya, Nataly/AAE-4093-2022; Pilgaev, Sergey/A-5784-2017</t>
  </si>
  <si>
    <t>Fedorenko, Yury V/0000-0002-9957-0921; Blagoveshchenskaya, Nataly F./0000-0003-1752-3273; Grigoriev, Valerii/0000-0003-0010-0944; Tereshchenko, Evgeny D./0000-0002-6605-8622; Blagoveshchenskaya, Nataly/0000-0003-1752-3273; Pilgaev, Sergey/0000-0001-5774-2468</t>
  </si>
  <si>
    <t>Russian Foundation of Basic Research [13-05-12005]; Presidium of the Russian Academy of Sciences [22]</t>
  </si>
  <si>
    <t>Russian Foundation of Basic Research(Russian Foundation for Basic Research (RFBR)); Presidium of the Russian Academy of Sciences(Russian Academy of Sciences)</t>
  </si>
  <si>
    <t>Our work was supported by the Russian Foundation of Basic Research under grant 13-05-12005 and Programme 22 of the Presidium of the Russian Academy of Sciences. We are very grateful to Mike Rietveld for the HF heater operation at Tromso and are thankful to the Lovozero staff for their efforts during our measurements.</t>
  </si>
  <si>
    <t>10.1002/2013RS005336</t>
  </si>
  <si>
    <t>CA0XU</t>
  </si>
  <si>
    <t>WOS:000348637600011</t>
  </si>
  <si>
    <t>Ojeda, J; Rosenfeld, S; Marambio, J; Rozzi, R; Mansilla, A</t>
  </si>
  <si>
    <t>Ojeda, Jaime; Rosenfeld, Sebastian; Marambio, Johanna; Rozzi, Ricardo; Mansilla, Andres</t>
  </si>
  <si>
    <t>Seasonal and spatial patterns of intertidal molluscs diversity of Robalo Bay, Beagle Channel, Biosphere Reserve Cape Horn, Chile</t>
  </si>
  <si>
    <t>Sub-Antarctic channels; seasonal changes; rocky intertidal; Naticidae; Nacella</t>
  </si>
  <si>
    <t>SOUTHERN SOUTH-AMERICA; MAGELLAN REGION; COMMUNITY; STRAIT; GASTROPODA; ZONE; BIODIVERSITY; BIOGEOGRAPHY; ASSEMBLAGES; ABUNDANCE</t>
  </si>
  <si>
    <t>Chilean sub-Antarctic Channels region is one of the most diverse regions in molluscs species of the South Pacific Ocean in South America. This region exhibit intertidal zones with a high environmental heterogeneity at a local scale, including seasonal changes in photoperiod, rocky substrate diversity, salinity and temperature gradients. This study characterized molluscs assemblages in Robalo bay 54 degrees 55'S (Beagle Channel), identifying spatial-temporal changes in assemblage composition, species richness, abundance, functional groups, and diversity of molluscs species. We registered 34 species comprising 4 functional groups, being mobile herbivores the most diverse group (21 species). The most abundant molluscs were Mytilus edulis platensis and Perumytilus purpuratus. Considering the mobile species only, the most abundant were Laevilitorina caliginosa and Siphonaria lessonii. In seasonal terms, species richness and abundance of mobile herbivores showed an increase during the austral summer. While the abundance of M. edulis platensis and mobile carnivores remained stable during the seasons. Regarding vertical zonation within the intertidal, we found that L. caliginosa is mainly associated with high intertidal, Pareuthria plumbea to the mid-zone, and N. deaurata to the low intertidal zone. Robalo Bay high beta molluscs diversity was associated to the spatial variability of intertidal zones. These changes can be detected in between sites separated only by hundreds of meters, where local environmental heterogeneity likely plays a role structuring ecological assemblages and communities Sub-Antarctic channels.</t>
  </si>
  <si>
    <t>[Ojeda, Jaime; Rosenfeld, Sebastian; Marambio, Johanna; Mansilla, Andres] Univ Magallanes, LMAS, Punta Arenas, Chile; [Ojeda, Jaime; Rozzi, Ricardo; Mansilla, Andres] Univ Magallanes, Puerto Williams, Chile; [Ojeda, Jaime; Rosenfeld, Sebastian; Marambio, Johanna; Rozzi, Ricardo; Mansilla, Andres] Univ Chile, Fac Ciencias, IEB, Santiago, Chile; [Rozzi, Ricardo] Univ N Texas, Dept Philosophy &amp; Relig Studies, Subantarctic Biocultural Conservat Program, Denton, TX 76203 USA; [Rozzi, Ricardo] Univ N Texas, Dept Biol Sci, Denton, TX 76203 USA</t>
  </si>
  <si>
    <t>Universidad de Magallanes; Universidad de Magallanes; Universidad de Chile; University of North Texas System; University of North Texas Denton; University of North Texas System; University of North Texas Denton</t>
  </si>
  <si>
    <t>Ojeda, J (corresponding author), Univ Magallanes, LMAS, Casilla 113-D, Punta Arenas, Chile.</t>
  </si>
  <si>
    <t>jaimeojedavillarroel@yahoo.es</t>
  </si>
  <si>
    <t>Rozzi, Ricardo/G-1047-2012; Ojeda, Jaime/HHN-1455-2022</t>
  </si>
  <si>
    <t>Rozzi, Ricardo/0000-0001-5265-8726; Mansilla, Andres/0000-0003-3505-7018; ojeda, jaime/0000-0003-3863-9750</t>
  </si>
  <si>
    <t>10.4067/S0718-19572014000300007</t>
  </si>
  <si>
    <t>WOS:000345746000007</t>
  </si>
  <si>
    <t>Sumida, PYG; Smith, CR; Bernardino, AF; Polito, PS; Vieira, DR</t>
  </si>
  <si>
    <t>Sumida, P. Y. G.; Smith, C. R.; Bernardino, A. F.; Polito, P. S.; Vieira, D. R.</t>
  </si>
  <si>
    <t>Seasonal dynamics of megafauna on the deep West Antarctic Peninsula shelf in response to variable phytodetrital influx (vol 1, 140294, 2014)</t>
  </si>
  <si>
    <t>ROYAL SOCIETY OPEN SCIENCE</t>
  </si>
  <si>
    <t>Polito, Paulo S./F-3040-2013; Sumida, Paulo Y G/F-2561-2011</t>
  </si>
  <si>
    <t>Sumida, Paulo Y G/0000-0001-7549-4541</t>
  </si>
  <si>
    <t>2054-5703</t>
  </si>
  <si>
    <t>ROY SOC OPEN SCI</t>
  </si>
  <si>
    <t>R. Soc. Open Sci.</t>
  </si>
  <si>
    <t>10.1098/rsos.140464</t>
  </si>
  <si>
    <t>V44EK</t>
  </si>
  <si>
    <t>WOS:000209732100008</t>
  </si>
  <si>
    <t>Gupta, H; Nayak, S; Ellsworth, W; Rao, YJB; Rajan, S; Bansal, BK; Rao, NP; Roy, S; Arora, K; Mohan, R; Tiwari, VM; Satyanarayana, HVS; Patro, PK; Shashidhar, D; Mallika, K</t>
  </si>
  <si>
    <t>Gupta, H.; Nayak, S.; Ellsworth, W.; Rao, Y.; Rajan, S.; Bansal, B.; Rao, N.; Roy, S.; Arora, K.; Mohan, R.; Tiwari, V.; Satyanarayana, H.; Patro, P.; Shashidhar, D.; Mallika, K.</t>
  </si>
  <si>
    <t>Probing reservoir-triggered earthquakes in Koyna, India, through scientific deep drilling</t>
  </si>
  <si>
    <t>SCIENTIFIC DRILLING</t>
  </si>
  <si>
    <t>We report here the salient features of the recently concluded International Continental Scientific Drilling Program (ICDP) workshop in Koyna, India. This workshop was a sequel to the earlier held ICDP workshop in Hyderabad and Koyna in 2011. A total of 49 experts (37 from India and 12 from 8 other countries) spent 3 days reviewing the work carried out during the last 3 years based on the recommendations of the 2011 workshop and suggesting the future course of action, including detailed planning for a full deep drilling proposal in Koyna, India. It was unanimously concluded that Koyna is one of the best sites anywhere in the world to investigate genesis of triggered earthquakes from near-field observations. A broad framework of the activities for the next phase leading to deep drilling has been worked out.</t>
  </si>
  <si>
    <t>[Gupta, H.] Natl Disaster Management Author, New Delhi, India; [Nayak, S.; Bansal, B.] Prithvi Bhavan, Minist Earth Sci MoES, New Delhi 110003, India; [Ellsworth, W.] US Geol Survey, Earthquake Sci Ctr, Menlo Pk, CA 94025 USA; [Rao, Y.; Rao, N.; Roy, S.; Arora, K.; Tiwari, V.; Satyanarayana, H.; Patro, P.; Shashidhar, D.; Mallika, K.] Natl Geophys Res Inst, CSIR, Hyderabad 500007, Andhra Pradesh, India; [Rajan, S.; Mohan, R.] Natl Ctr Antarctic &amp; Ocean Res, Moes 403804, Goa, India</t>
  </si>
  <si>
    <t>Ministry of Earth Sciences (MoES) - India; United States Department of the Interior; United States Geological Survey; Council of Scientific &amp; Industrial Research (CSIR) - India; CSIR - National Geophysical Research Institute (NGRI); Ministry of Earth Sciences (MoES) - India; National Centre for Polar and Ocean Research (NCPOR)</t>
  </si>
  <si>
    <t>Gupta, H (corresponding author), Natl Disaster Management Author, New Delhi, India.</t>
  </si>
  <si>
    <t>harshg123@gmail.com</t>
  </si>
  <si>
    <t>ROY, SUKANTA/F-8664-2010; Nayak, Shailesh/AAC-7784-2021; Bansal, Brijesh/AAS-7133-2021</t>
  </si>
  <si>
    <t>ROY, SUKANTA/0000-0003-3798-9601;</t>
  </si>
  <si>
    <t>Ministry of Earth Sciences, Government of India; International Continental Scientific Drilling Program (ICDP), Potsdam</t>
  </si>
  <si>
    <t>Ministry of Earth Sciences, Government of India(Ministry of Earth Science (MoES), Government of India); International Continental Scientific Drilling Program (ICDP), Potsdam</t>
  </si>
  <si>
    <t>We are grateful to all the participants for their contribution to the workshop at a short notice. We thank Hans Kuempel and Art McGarr for providing constructive reviews. Brian Horsfield and Uli Harms facilitated the workshop. The workshop was funded by the Ministry of Earth Sciences, Government of India and the International Continental Scientific Drilling Program (ICDP), Potsdam.</t>
  </si>
  <si>
    <t>1816-8957</t>
  </si>
  <si>
    <t>1816-3459</t>
  </si>
  <si>
    <t>SCI DRILL</t>
  </si>
  <si>
    <t>Sci. Drill.</t>
  </si>
  <si>
    <t>10.5194/sd-18-5-2014</t>
  </si>
  <si>
    <t>V53GR</t>
  </si>
  <si>
    <t>WOS:000210346400003</t>
  </si>
  <si>
    <t>Poblete, F; Roperch, P; Hervé, F; Diraison, M; Espinoza, M; Arriagada, C</t>
  </si>
  <si>
    <t>Poblete, F.; Roperch, P.; Herve, F.; Diraison, M.; Espinoza, M.; Arriagada, C.</t>
  </si>
  <si>
    <t>The curved Magallanes fold and thrust belt: Tectonic insights from a paleomagnetic and anisotropy of magnetic susceptibility study</t>
  </si>
  <si>
    <t>TECTONICS</t>
  </si>
  <si>
    <t>paleomagnetism; tectonics; Patagonia; Magallanes; Chile</t>
  </si>
  <si>
    <t>TIERRA-DEL-FUEGO; SOUTHERNMOST SOUTH-AMERICA; ALTERNATING-FIELD DEMAGNETIZATION; DARWIN METAMORPHIC COMPLEX; FORELAND BASIN; BACK-ARC; PLATE BOUNDARY; STRATIGRAPHIC RECORD; PATAGONIAN OROCLINE; ANTARCTIC PENINSULA</t>
  </si>
  <si>
    <t>The Magallanes fold and thrust belt (FTB) presents a large-scale curvature from N-S oriented structures north of 52 degrees S to nearly E-W in Tierra del Fuego Island. We present a paleomagnetic and anisotropy of magnetic susceptibility (AMS) study from 85 sites sampled in Cretaceous to Miocene marine sediments. Magnetic susceptibility is lower than 0.0005 SI for 76 sites and mainly controlled by paramagnetic minerals. AMS results indicate that the sedimentary fabric is preserved in the undeformed areas of Tierra del Fuego and the more external thrust sheets units, where an incipient lineation due to layer parallel shortening is recorded. Prolate AMS ellipsoids, indicating a significant tectonic imprint in the AMS fabric, are observed in the internal units of the belt. AMS results show a good correlation between the orientation of the magnetic lineation and the fold axes. However, in Peninsula Brunswick, the AMS lineations are at similar to 20 degrees counterclockwise to the strike of the fold axes. Pretectonic stable characteristic remanent magnetizations (ChRM) were determined in seven sites. A counterclockwise rotation (21.2 degrees 9.2 degrees) is documented by ChRM data from four sites near the hinge of the belt in Peninsula Brunswick and near Canal Whiteside while there is no evidence of rotation near the nearly E-W oriented Vicuna thrust within Tierra del Fuego. The curved shape of the Cenozoic Magallanes FTB is not related to vertical axis rotation, and thus, the Magallanes FTB can be considered as a primary arc.</t>
  </si>
  <si>
    <t>[Poblete, F.; Herve, F.; Espinoza, M.; Arriagada, C.] Univ Chile, Dept Geol, Santiago, Chile; [Poblete, F.; Roperch, P.] Univ Rennes 1, Geosci Rennes, Rennes, France; [Herve, F.] Univ Andres Bello, Santiago, Chile; [Diraison, M.] Univ Strasbourg, Ecole &amp; Observ Sci Terre, EOST, Strasbourg, France</t>
  </si>
  <si>
    <t>Universidad de Chile; Universite de Rennes; Universidad Andres Bello; Universites de Strasbourg Etablissements Associes; Universite de Strasbourg</t>
  </si>
  <si>
    <t>Poblete, F (corresponding author), Univ Chile, Dept Geol, Santiago, Chile.</t>
  </si>
  <si>
    <t>ferpoble2@gmail.com</t>
  </si>
  <si>
    <t>Arriagada, César/I-6336-2016; Herve, Francisco/HDO-6628-2022</t>
  </si>
  <si>
    <t>Poblete, Fernando/0000-0002-2140-5483</t>
  </si>
  <si>
    <t>CONICYT; IRD; Proyecto Anillo Antartico [ACT 105]</t>
  </si>
  <si>
    <t>CONICYT(Comision Nacional de Investigacion Cientifica y Tecnologica (CONICYT)); IRD; Proyecto Anillo Antartico(Comision Nacional de Investigacion Cientifica y Tecnologica (CONICYT)CONICYT PIA/ANILLOS)</t>
  </si>
  <si>
    <t>We thank Peter Cobbold and Denis Gapais from Geosciences Rennes for supporting the first paleomagnetic sampling trip to Patagonia by P.R. and M.D. in February 1997. F.B. also thanks Keith Klepeis and Peter Cobbold for inviting him to different field works and for numerous discussions about the tectonics of the Southern Andes. F.B. thanks Paul Betka for several and fruitful discussions. We thank the Associate Editor and the reviewers G. Eagles and M. Maffione for their thorough reviews. We thank Constantino Mpodozis especially for the very detailed review of the geology. F.B. acknowledges funding from CONICYT and IRD. Funding for the field works was mainly provided by Proyecto Anillo Antartico ACT 105. We greatly appreciated the help of P. Castillo, C. Sanchez, M. Calderon, S. Catano, and G. Dunnage during parts of the field work. We thank Captain Hugo and the Chonos crew during the Seno Otway field work. We would like to thank to Parque Karukinka, N. Navarrete, V. Kuhlman, and P. Maclean for their logistic support.</t>
  </si>
  <si>
    <t>0278-7407</t>
  </si>
  <si>
    <t>1944-9194</t>
  </si>
  <si>
    <t>Tectonics</t>
  </si>
  <si>
    <t>10.1002/2014TC003555</t>
  </si>
  <si>
    <t>CA2BE</t>
  </si>
  <si>
    <t>Green Published, Green Submitted, Bronze</t>
  </si>
  <si>
    <t>WOS:000348713100012</t>
  </si>
  <si>
    <t>Dantas, GPD; de Oliveira, LR; Marasco, ACM; de Araujo, J; Hurtado, R; Durigon, EL; Fillipo, LFS; Morgante, JS</t>
  </si>
  <si>
    <t>de Mendonca Dantas, Gisele Pires; de Oliveira, Larissa Rosa; Milo Marasco, Anna Carolina; de Araujo, Jansen; Hurtado, Renata; Durigon, Edison Luiz; San Fillipo, Luis Francisco; Morgante, Joao Stenghel</t>
  </si>
  <si>
    <t>Demographic History of the Gentoo Penguin (Pygoscelis papua) and the Adelie Penguin (Pygoscelis adeliae) on Admiralty Bay, King George Island, Antarctica</t>
  </si>
  <si>
    <t>WATERBIRDS</t>
  </si>
  <si>
    <t>Adelie Penguin; Gentoo Penguin; global warming; mtDNA; population size; Pygoscelis adeliae; Pygoscelis papua</t>
  </si>
  <si>
    <t>SOUTH SHETLAND; CLIMATE-CHANGE; GENE FLOW; DNA; POPULATION; NEUTRALITY; DISPERSAL; RESPONSES; TESTS</t>
  </si>
  <si>
    <t>There is growing evidence that during the past 100 years the climate of the Antarctic Peninsula has changed from a relatively cold environment to an increasingly warmer one. The penguins that breed in the region are sensitive to oceanographic environmental and climatic conditions. They are considered the bellwether sentinels of the ocean because of their sensitivity to environmental changes. The present study aimed to determine the evolutionary history of the Gentoo Penguin (Pygoscelis papua) and Adelie Penguin (Pygoscelis adeliae) at Admiralty Bay, King George Island A population genetics approach was used to examine the genetic variability of the two penguin species, searching to infer their demographics histories. The D-loop region from the mitochondrial DNA was sequenced in Adelie (n = 53) and Gentoo (n = 29) penguins. These species showed high genetic diversity, reflecting a large ancestral population size. The results also revealed that the Gentoo Penguin has had a stable population over the last 500,000 years, whereas Adelie Penguins showed a signal of population expansion estimated to have occurred between 300,000 to 400,000 years ago. Results indicate that penguin species respond differently to climate change and that Adelie Penguins are more sensitive to such changes. High genetic diversity and stability of the populations in recent centuries could be important for predicting the response to future events.</t>
  </si>
  <si>
    <t>[de Mendonca Dantas, Gisele Pires] Univ Catolica Minas Gerais, Belo Horizonte, MG, Brazil; [de Mendonca Dantas, Gisele Pires; Milo Marasco, Anna Carolina; Morgante, Joao Stenghel] Univ Sao Paulo, Inst Biociencias, Sao Paulo, Brazil; [de Oliveira, Larissa Rosa] Unisinos Univ Vale Rio dos Sinos, Sao Leopoldo, RS, Brazil; [de Araujo, Jansen; Hurtado, Renata; Durigon, Edison Luiz; San Fillipo, Luis Francisco] Univ Sao Paulo, Inst Ciencias Biomed, BSL Lab Virol Clin &amp;Mol ICBII 3, Sao Paulo, Brazil</t>
  </si>
  <si>
    <t>Pontificia Universidade Catolica de Minas Gerais; Universidade de Sao Paulo; Universidade do Vale do Rio dos Sinos (Unisinos); Universidade de Sao Paulo</t>
  </si>
  <si>
    <t>Dantas, GPD (corresponding author), Univ Catolica Minas Gerais, Ave Dom Jose Gaspar 500,Predio 41, Belo Horizonte, MG, Brazil.</t>
  </si>
  <si>
    <t>dantasgpm@gmail.com</t>
  </si>
  <si>
    <t>Dantas, Gisele PM/T-6782-2019; Oliveira, Larissa Rosa de/I-5640-2012</t>
  </si>
  <si>
    <t>Dantas, Gisele PM/0000-0001-5282-7577; Oliveira, Larissa Rosa de/0000-0002-5735-3697; Araujo, Jansen/0000-0002-7250-3024</t>
  </si>
  <si>
    <t>National Council of Scientific and Technological Development (CNPq - PROANTAR) [Proc.: 558837/2005-0]; Fundacao de Amparo a Pesquisa de Sao Paulo (FAPESP) [05/55438-4, 2008/51287-0]</t>
  </si>
  <si>
    <t>National Council of Scientific and Technological Development (CNPq - PROANTAR)(Conselho Nacional de Desenvolvimento Cientifico e Tecnologico (CNPQ)); Fundacao de Amparo a Pesquisa de Sao Paulo (FAPESP)(Fundacao de Amparo a Pesquisa do Estado de Sao Paulo (FAPESP))</t>
  </si>
  <si>
    <t>This work was supported by the National Council of Scientific and Technological Development (CNPq - PROANTAR Proc.: 558837/2005-0) and the Fundacao de Amparo a Pesquisa de Sao Paulo (FAPESP process 05/55438-4 and a post-doctoral fellowship to Dr. Dantas FAPESP process 2008/51287-0). We thank the Secretary of the Inter-Ministerial Commission for Resources of the Sea (SECIRM-Marinha Brasileira) for logistical support and the MMA (Ministerio do Meio Ambiente) for the permit. We are grateful to several friends who helped with the fieldwork. We would like to thank Marta Svartam for reviewing the English and commenting on the manuscript. The present manuscript was revised by Edanz editing global. Stephen Dobson provided useful comments that improved this manuscript.</t>
  </si>
  <si>
    <t>WATERBIRD SOC</t>
  </si>
  <si>
    <t>NATL MUSEUM NATURAL HISTORY SMITHSONIAN INST, WASHINGTON, DC 20560 USA</t>
  </si>
  <si>
    <t>1524-4695</t>
  </si>
  <si>
    <t>1938-5390</t>
  </si>
  <si>
    <t>Waterbirds</t>
  </si>
  <si>
    <t>AY2RI</t>
  </si>
  <si>
    <t>WOS:000347436500007</t>
  </si>
  <si>
    <t>O'Brien, KM; Mueller, IA; Orczewska, JI; Dullen, KR; Ortego, M</t>
  </si>
  <si>
    <t>O'Brien, K. M.; Mueller, I. A.; Orczewska, J. I.; Dullen, K. R.; Ortego, M.</t>
  </si>
  <si>
    <t>Hearts of some Antarctic fishes lack mitochondrial creatine kinase</t>
  </si>
  <si>
    <t>COMPARATIVE BIOCHEMISTRY AND PHYSIOLOGY A-MOLECULAR &amp; INTEGRATIVE PHYSIOLOGY</t>
  </si>
  <si>
    <t>Creatine kinase; Cardiac muscle; Mitochondria; Antarctic fish</t>
  </si>
  <si>
    <t>CHAENOCEPHALUS-ACERATUS; NOTOTHENIOID FISHES; ENERGY-METABOLISM; MUSCLE-FIBERS; VENTRICULAR MYOCARDIUM; OXIDATIVE MUSCLE; SKELETAL-MUSCLE; EXPRESSION; ICEFISHES; MYOGLOBIN</t>
  </si>
  <si>
    <t>Creatine kinase (CM; EC 2.73.2) functions as a spatial and temporal energy buffer, dampening fluctuations in ATP levels as ATP supply and demand change. There are four CM isoforms in mammals, two cytosolic isoforms (muscle [M-CM] and brain [B-CM]), and two mitochondrial isoforms (ubiquitous [uMtCK] and sarcomeric [sMtCK]). Mammalian oxidative muscle couples expression of sMtCK with M-CM, creating an energy shuttle between mitochondria and myofibrils. We hypothesized that the expression pattern and activity of CM would differ between hearts of red- and white-blooded Antarctic notothenioid fishes due to their striking differences in cardiac ultrastructure. Hearts of white-blooded icefishes (family Channichthyidae) have significantly higher mitochondrial densities compared to red-blooded species, decreasing the diffusion distance for ATP between mitochondria and myofibrils and potentially minimizing the need for CM. The distribution of CM isoforms was evaluated using western blotting and maximal activity of CM was measured in mitochondrial and cytosolic fractions and tissue homogenates of heart ventricles of red- and white-blooded notothenioids. Transcript abundance of sMtCK and M-CK was also quantified. Overall, CM activity is similar between hearts of red- and white-blooded notothenioids but hearts of icefishes lack MtCK and have higher activities of M-CM in the cytosol compared to red-blooded fishes. The absence of MtCK may compromise cardiac function under stressful conditions when ATP supply becomes limiting. (C) 2014 Elsevier Inc All rights reserved.</t>
  </si>
  <si>
    <t>[O'Brien, K. M.; Mueller, I. A.; Orczewska, J. I.; Dullen, K. R.; Ortego, M.] Univ Alaska Fairbanks, Inst Arctic Biol, Fairbanks, AK 99775 USA</t>
  </si>
  <si>
    <t>University of Alaska System; University of Alaska Fairbanks</t>
  </si>
  <si>
    <t>O'Brien, KM (corresponding author), Univ Alaska Fairbanks, Inst Arctic Biol, POB 757000, Fairbanks, AK 99775 USA.</t>
  </si>
  <si>
    <t>kmobrien@alaska.edu</t>
  </si>
  <si>
    <t>National Science Foundation [ANT 0741301, ANT 1043781]; Directorate For Geosciences; Office of Polar Programs (OPP) [1043781] Funding Source: National Science Foundation</t>
  </si>
  <si>
    <t>National Science Foundation(National Science Foundation (NSF)); Directorate For Geosciences; Office of Polar Programs (OPP)(National Science Foundation (NSF)NSF - Directorate for Geosciences (GEO))</t>
  </si>
  <si>
    <t>We gratefully acknowledge the outstanding support of the Masters and Crew of the R/V the Laurence M. Gould, and the Raytheon support staff at the US Antarctic Research Station, Palmer Station. We also thank Megan Aspelund for research assistance. This research was supported by grants from the National Science Foundation (ANT 0741301 and ANT 1043781) to KMO.</t>
  </si>
  <si>
    <t>360 PARK AVE SOUTH, NEW YORK, NY 10010-1710 USA</t>
  </si>
  <si>
    <t>1095-6433</t>
  </si>
  <si>
    <t>1531-4332</t>
  </si>
  <si>
    <t>COMP BIOCHEM PHYS A</t>
  </si>
  <si>
    <t>Comp. Biochem. Physiol. A-Mol. Integr. Physiol.</t>
  </si>
  <si>
    <t>10.1016/j.cbpa.2014.08.003</t>
  </si>
  <si>
    <t>Biochemistry &amp; Molecular Biology; Physiology; Zoology</t>
  </si>
  <si>
    <t>AR5HW</t>
  </si>
  <si>
    <t>WOS:000343616700005</t>
  </si>
  <si>
    <t>Pearson, LE; Liwanag, HEM; Hammill, MO; Burns, JM</t>
  </si>
  <si>
    <t>Pearson, Linnea E.; Liwanag, Heather E. M.; Hammill, Mike O.; Burns, Jennifer M.</t>
  </si>
  <si>
    <t>To each its own: Thermoregulatory strategy varies among neonatal polar phocids</t>
  </si>
  <si>
    <t>Blubber; Harp seal; Hooded seal; Lanugo; Nonshivering thermogenesis; Thermal conductivity; Thermoregulation; Weddell seal</t>
  </si>
  <si>
    <t>SOUTHERN ELEPHANT SEAL; BROWN ADIPOSE-TISSUE; ATLANTIC HARP SEALS; HOODED SEAL; WEDDELL SEAL; THERMAL-PROPERTIES; ZALOPHUS-CALIFORNIANUS; TEMPERATURE REGULATION; MAMMALIAN INSULATION; MIROUNGA-LEONINA</t>
  </si>
  <si>
    <t>Cold environmental conditions and small body size promote heat loss and may create thermoregulatory challenges for marine mammals born in polar regions. However, among polar-born phocid seal species there are variations in physical attributes and environmental conditions at birth, allowing for an interesting contrast in thermoregulatory strategy. We compared thermoregulatory strategies through morphometrics, sculp attributes (conductivity and resistance), nonshivering thermogenesis (NST via uncoupling protein 1; UCP1), and muscle thermogenesis (via enzyme activity) in neonatal harp (Pagophilus groenlandicus), hooded (Cystophora cristata), and Weddell seals (Leptonychotes weddellii). Harp seals are the smallest at birth (9.8 +/- 0.7 kg), rely on lanugo (82.49 +/- 3.70% of thermal resistance), and are capable of NST through expression of UCP1 in brown adipose tissue (BAT). In contrast, hooded seal neonates (26.8 +/- 1.3 kg) have 2.06 +/- 0.23 cm of blubber, accounting for 38.19 +/- 6.07% of their thermal resistance. They are not capable of NST, as UCP1 is not expressed. The large Weddell seal neonates (31.5 +/- 4.9 kg) rely on lanugo (89.85 +/- 1.25% of thermal resistance) like harp seals, but no evidence of BAT was found. Muscle enzyme activity was highest in Weddell seal neonates, suggesting that they rely primarily on muscle thermogenesis. Similar total thermal resistance, combined with marked differences in thermogenic capacity of NST and ST among species, strongly supports that thermoregulatory strategy in neonatal phocids is more closely tied to pups' surface area to volume ratio (SA:V) and potential for early water immersion rather than mass and ambient environmental conditions. (C) 2014 Elsevier Inc. All rights reserved.</t>
  </si>
  <si>
    <t>[Pearson, Linnea E.] Univ Alaska Fairbanks, Sch Fisheries &amp; Ocean Sci, Fairbanks, AK 99775 USA; [Pearson, Linnea E.; Burns, Jennifer M.] Univ Alaska Anchorage, Dept Biol, Anchorage, AK 99508 USA; [Liwanag, Heather E. M.] Adelphi Univ, Dept Biol, Garden City, NY 11530 USA; [Hammill, Mike O.] Maurice Lamontagne Inst, Dept Fisheries &amp; Oceans, Mont Joli, PQ H5H 3Z4, Canada</t>
  </si>
  <si>
    <t>University of Alaska System; University of Alaska Fairbanks; University of Alaska System; University of Alaska Anchorage; Adelphi University; Fisheries &amp; Oceans Canada</t>
  </si>
  <si>
    <t>Pearson, LE (corresponding author), Univ Alaska Fairbanks, Sch Fisheries &amp; Ocean Sci, 3101 Sci Cir, Anchorage, AK 99508 USA.</t>
  </si>
  <si>
    <t>lepearson@alaska.edu</t>
  </si>
  <si>
    <t>Burns, Jennifer/AAC-8243-2019; Burns, Jennifer M/C-4159-2013</t>
  </si>
  <si>
    <t>Burns, Jennifer/0000-0001-9652-2943; Liwanag, Heather/0000-0003-3250-2542</t>
  </si>
  <si>
    <t>University of Wisconsin-Madison Antarctic Meteorological Research Center for the Antarctic weather observations [NSF ANT-1141908]; Alaska EPSCoR [NSF EPS-0346770]; UAA; LGL Alaska Research Associates Inc. [NSF ANT-0838937]; Department of Fisheries and Oceans Canada; Raytheon Polar Services</t>
  </si>
  <si>
    <t>University of Wisconsin-Madison Antarctic Meteorological Research Center for the Antarctic weather observations; Alaska EPSCoR; UAA; LGL Alaska Research Associates Inc.; Department of Fisheries and Oceans Canada; Raytheon Polar Services</t>
  </si>
  <si>
    <t>We would like to thank the Canadian Coast Guard, Harrison McRae, Samuel Turgeon, and The Chateau Madelinot for their support with collecting samples in Canada, the captain and crew of the R/V Jan Mayen, Lars Folkow, and Samuel Geiesler for their field support in Norway, Raytheon Polar Services and the Crary Lab Staff at McMurdo Station for their support in Antarctica, and Lara Horstmann-Dehn and JoAnn Mellish for their comments on previous versions of this manuscript. Additionally, the authors appreciate the support of the University of Wisconsin-Madison Antarctic Meteorological Research Center for the Antarctic weather observations (NSF ANT-1141908). This project was funded with support from a graduate research fellowship to L Pearson from Alaska EPSCoR (NSF EPS-0346770), Student Research Grant with funds provided by UAA to L. Pearson, LGL Alaska Research Associates Inc. Graduate Research award to L. Pearson, NSF ANT-0838937 to J. Burns, and the Department of Fisheries and Oceans Canada.</t>
  </si>
  <si>
    <t>10.1016/j.cbpa.2014.08.006</t>
  </si>
  <si>
    <t>WOS:000343616700009</t>
  </si>
  <si>
    <t>Zaoui, A; Sekkal, W</t>
  </si>
  <si>
    <t>Zaoui, A.; Sekkal, W.</t>
  </si>
  <si>
    <t>Mechanisms behind the ikaite-to-calcite phase transformation from molecular dynamics calculations</t>
  </si>
  <si>
    <t>GEODERMA</t>
  </si>
  <si>
    <t>Ikaite soil; Thermal expansion coefficient; X-ray diffraction; Phase changes</t>
  </si>
  <si>
    <t>CARBONATE POLYMORPHS; THERMAL-EXPANSION; SURFACE-STRUCTURE; CACO3; MORPHOLOGY; WATER; SIMULATION; ARAGONITE; STABILITY; MINERALS</t>
  </si>
  <si>
    <t>Since the discovery of ikaite (CaCO3 center dot 6H(2)O) in Antarctic marine sediments and east Arctic polar oceans, studying the ikaite-to-calcite phase transformation above 100 K has attracted a lot of interest, both experimentally and theoretically. Despite intensive efforts, details about the thermal behavior and the mechanisms of the phase transformation of ikaite at ambient temperature are still ambiguous. To unlock the secrets of this rare and unstable mineral, we provide here a clear picture about the structural phase changes as well as the thermodynamic behavior of ikaite from 2 K to 400K. The obtained results demonstrate the presence of an anisotropic thermal expansion character more pronounced above T = 80 K. Our X-ray diffraction patterns show that the structure of ikaite breaks down gradually during thermal expansion from 2 K to 200 K. At 200 K, it transforms into a vaterite-like structure, at short range, then further heating up to 300 K, leads the structure to be in the vaterite phase. However, at 338 K, the latest phase changes quickly to the calcite structure. Our data show that the thermal expansion coefficients of ikaite obtained from 2 K to 80 K increase with temperature, and are greater than those of ice (1h). However, above T = 100 K, the situation is inverse and the relative expansion of ikaite is found to be smaller than that of ice. A larger volume thermal expansion is noticed from T = 300 K to 400 K, due to the contribution of extensive H bonds. These bonds allow greater flexibility of ikaite during expansion. (C) 2014 Elsevier B.V. All rights reserved.</t>
  </si>
  <si>
    <t>[Zaoui, A.; Sekkal, W.] Univ Sci &amp; Tech Lille, Polytech Lille, Civil Engn &amp; Geoenvironm Lab LGCgE, EA Lille Nord France 4515, F-59655 Villeneuve Dascq, France</t>
  </si>
  <si>
    <t>Universite de Lille</t>
  </si>
  <si>
    <t>Zaoui, A (corresponding author), Univ Sci &amp; Tech Lille, Polytech Lille, Civil Engn &amp; Geoenvironm Lab LGCgE, EA Lille Nord France 4515, Ave Paul Langevin, F-59655 Villeneuve Dascq, France.</t>
  </si>
  <si>
    <t>azaoui@polytech-lille.fr</t>
  </si>
  <si>
    <t>0016-7061</t>
  </si>
  <si>
    <t>1872-6259</t>
  </si>
  <si>
    <t>Geoderma</t>
  </si>
  <si>
    <t>10.1016/j.geoderma.2014.07.021</t>
  </si>
  <si>
    <t>AQ1PH</t>
  </si>
  <si>
    <t>WOS:000342552800035</t>
  </si>
  <si>
    <t>Slezak, M</t>
  </si>
  <si>
    <t>Slezak, Michael</t>
  </si>
  <si>
    <t>Ice, Antarctic ice baby, and lots of it</t>
  </si>
  <si>
    <t>NEW SCIENTIST</t>
  </si>
  <si>
    <t>REED BUSINESS INFORMATION LTD</t>
  </si>
  <si>
    <t>SUTTON</t>
  </si>
  <si>
    <t>QUADRANT HOUSE THE QUADRANT, SUTTON SM2 5AS, SURREY, ENGLAND</t>
  </si>
  <si>
    <t>0262-4079</t>
  </si>
  <si>
    <t>NEW SCI</t>
  </si>
  <si>
    <t>New Sci.</t>
  </si>
  <si>
    <t>NOV 29</t>
  </si>
  <si>
    <t>AU6TY</t>
  </si>
  <si>
    <t>WOS:000345735700007</t>
  </si>
  <si>
    <t>Langley, K; Kohler, J; Sinisalo, A; Oyan, MJ; Hamran, SE; Hattermann, T; Matsuoka, K; Nost, OA; Isaksson, E</t>
  </si>
  <si>
    <t>Langley, Kirsty; Kohler, Jack; Sinisalo, Anna; Oyan, Mats Jorgen; Hamran, Svein Erik; Hattermann, Tore; Matsuoka, Kenichi; Nost, Ole Anders; Isaksson, Elisabeth</t>
  </si>
  <si>
    <t>Low melt rates with seasonal variability at the base of Fimbul Ice Shelf, East Antarctica, revealed by in situ interferometric radar measurements</t>
  </si>
  <si>
    <t>interferometric radar; ice shelves; basal melting</t>
  </si>
  <si>
    <t>PINE ISLAND GLACIER; PHASE-SENSITIVE RADAR; WEST ANTARCTICA; BENEATH; OCEAN; RETREAT</t>
  </si>
  <si>
    <t>Basal melt is a major cause of ice shelf thinning affecting the stability of the ice shelf and reducing its buttressing effect on the inland ice. The Fimbul ice shelf (FIS) in Dronning Maud Land (DML), East Antarctica, is fed by the fast-flowing Jutulstraumen glacier, responsible for 10% of ice discharge from the DML sector of the ice sheet. Current estimates of the basal melt rates of the FIS come from regional ocean models, autosub measurements, and satellite observations, which vary considerably. This discrepancy hampers evaluation of the stability of the Jutulstraumen catchment. Here, we present estimates of basal melt rates of the FIS using ground-based interferometric radar. We find a low average basal melt rate on the order of 1m/yr, with the highest rates located at the ice shelf front, which extends beyond the continental shelf break. Furthermore, our results provide evidence for a significant seasonal variability.</t>
  </si>
  <si>
    <t>[Langley, Kirsty; Sinisalo, Anna] Univ Oslo, Dept Geosci, Oslo, Norway; [Langley, Kirsty; Kohler, Jack; Matsuoka, Kenichi; Nost, Ole Anders; Isaksson, Elisabeth] Norwegian Polar Res Inst, Tromso, Norway; [Oyan, Mats Jorgen; Hamran, Svein Erik] Norwegian Def Res Estab, N-2007 Kjeller, Norway; [Hattermann, Tore; Nost, Ole Anders] Akvaplan Niva, Tromso, Norway</t>
  </si>
  <si>
    <t>University of Oslo; Norwegian Polar Institute; Norwegian Defence Research Establishment; Akvaplan-niva</t>
  </si>
  <si>
    <t>Langley, K (corresponding author), Univ Oslo, Dept Geosci, Oslo, Norway.</t>
  </si>
  <si>
    <t>kirstyl@geo.uio.no</t>
  </si>
  <si>
    <t>Matsuoka, Kenichi/0000-0002-3587-3405; Sinisalo, Anna/0000-0002-7587-1877; Kohler, Jack/0000-0003-1963-054X; Nost, Ole Anders/0000-0002-6139-4088; Hattermann, Tore/0000-0002-5538-2267</t>
  </si>
  <si>
    <t>Norwegian Research Council through Norwegian Antarctic Research Expedition; Center for Ice, Climate, and Ecosystems at the Norwegian Polar Institute; NORKLIMA Norwegian Research Council program [229764/E10]</t>
  </si>
  <si>
    <t>Norwegian Research Council through Norwegian Antarctic Research Expedition(Research Council of Norway); Center for Ice, Climate, and Ecosystems at the Norwegian Polar Institute; NORKLIMA Norwegian Research Council program(Research Council of Norway)</t>
  </si>
  <si>
    <t>The data used to create the figures are given in Table 1. All data used in the study are available from the Norwegian Polar Institute. We are grateful to all members of the Fimbulisen Expedition 2009/10 and 2010/11 for support in the field. This study was financed by the Norwegian Research Council through Norwegian Antarctic Research Expedition and the Center for Ice, Climate, and Ecosystems at the Norwegian Polar Institute. T. Hattermann was supported by project 229764/E10 of the NORKLIMA Norwegian Research Council program. We thank Laurie Padman and one anonymous reviewer and the Editor for useful comments.</t>
  </si>
  <si>
    <t>NOV 28</t>
  </si>
  <si>
    <t>10.1002/2014GL061782</t>
  </si>
  <si>
    <t>AX0LT</t>
  </si>
  <si>
    <t>WOS:000346644600049</t>
  </si>
  <si>
    <t>Silvester, JM; Lenn, YD; Polton, JA; Rippeth, TP; Maqueda, MM</t>
  </si>
  <si>
    <t>Silvester, J. Mead; Lenn, Yueng-Djern; Polton, Jeff A.; Rippeth, Tom P.; Maqueda, M. Morales</t>
  </si>
  <si>
    <t>Observations of a diapycnal shortcut to adiabatic upwelling of Antarctic Circumpolar Deep Water</t>
  </si>
  <si>
    <t>dissipation; diapycnal mixing; adiabatic upwelling; meridional overturning circulation; Southern Ocean; internal tide</t>
  </si>
  <si>
    <t>INTERNAL TIDE GENERATION; OCEAN; CIRCULATION; MODEL</t>
  </si>
  <si>
    <t>In the Southern Ocean, small-scale turbulence causes diapycnal mixing which influences important water mass transformations, in turn impacting large-scale ocean transports such as the Meridional Overturning Circulation (MOC), a key controller of Earth's climate. We present direct observations of mixing over the Antarctic continental slope between water masses that are part of the Southern Ocean MOC. A 12 h time series of microstructure turbulence measurements, hydrography, and velocity observations off Elephant Island, north of the Antarctic Peninsula, reveals two concurrent bursts of elevated dissipation of O(10(-6))Wkg(-1), resulting in heat fluxes approximate to 10 times higher than basin-integrated Drake Passage estimates. This occurs across the boundary between adjacent adiabatic upwelling and downwelling overturning cells. Ray tracing to nearby topography shows mixing between 300 and 400 m is consistent with the breaking of locally generated internal tidal waves. Since similar conditions extend to much of the Antarctic continental slope where these water masses outcrop, diapycnal mixing may contribute significantly to upwelling.</t>
  </si>
  <si>
    <t>[Silvester, J. Mead; Polton, Jeff A.; Maqueda, M. Morales] Natl Oceanog Ctr, Liverpool, Merseyside, England; [Silvester, J. Mead; Lenn, Yueng-Djern; Rippeth, Tom P.] Bangor Univ, Sch Ocean Sci, Menai Bridge, Gwynedd, Wales</t>
  </si>
  <si>
    <t>NERC National Oceanography Centre; Bangor University</t>
  </si>
  <si>
    <t>Silvester, JM (corresponding author), Natl Oceanog Ctr, Liverpool, Merseyside, England.</t>
  </si>
  <si>
    <t>j.mead.silvester@bangor.ac.uk</t>
  </si>
  <si>
    <t>Polton, Jeff/O-2289-2019</t>
  </si>
  <si>
    <t>Polton, Jeff/0000-0003-0131-5250; Lenn, Yueng-Djern/0000-0001-6031-523X</t>
  </si>
  <si>
    <t>NERC's National Capability project, ACCLAIM; NERC [NE/K500938/1, NE/H016007/1]; NOC Modelling National Capability, FASTNEt [NE/I030259/1]; Irish Sea Observatory National Capability; OSCAR [NE/I022868/1]; TEA-COSI [NE/1029226/1]; OSMOSIS [NE/1019794/1]; NERC [NE/I022868/1, NE/I030259/1, noc010010, NE/I030224/1, NE/H016007/1, NE/L003325/1] Funding Source: UKRI; Natural Environment Research Council [NE/L003325/1, NE/I022868/1, noc010012, NE/H016007/1, noc010010, NE/I030224/1, 1225161, NE/I030259/1] Funding Source: researchfish</t>
  </si>
  <si>
    <t>NERC's National Capability project, ACCLAIM; NERC(UK Research &amp; Innovation (UKRI)Natural Environment Research Council (NERC)); NOC Modelling National Capability, FASTNEt; Irish Sea Observatory National Capability; OSCAR; TEA-COSI; OSMOSIS; NERC(UK Research &amp; Innovation (UKRI)Natural Environment Research Council (NERC)); Natural Environment Research Council(UK Research &amp; Innovation (UKRI)Natural Environment Research Council (NERC))</t>
  </si>
  <si>
    <t>We thank the officers and crew of the RRS James Clark Ross and the British Antarctic Survey IT and ETS personnel for their support during the science cruises JR195 and JR198. This work was carried out under the auspices of NERC's National Capability project, ACCLAIM. Additionally, J.M.S. was supported by NERC studentship (NE/K500938/1); Y.D.L. by NERC Fellowship (NE/H016007/1); J.P. by NOC Modelling National Capability, FASTNEt (NE/I030259/1) and Irish Sea Observatory National Capability; M.A.M.M. by OSCAR (NE/I022868/1); and T.P.R. by TEA-COSI (NE/1029226/1) and OSMOSIS (NE/1019794/1). Data can be requested from the British Oceanographic Data Centre, BODC. Finally, we thank two anonymous reviewers for their constructive comments that led to a substantially improved manuscript.</t>
  </si>
  <si>
    <t>10.1002/2014GL061538</t>
  </si>
  <si>
    <t>hybrid, Green Published, Green Accepted</t>
  </si>
  <si>
    <t>WOS:000346644600025</t>
  </si>
  <si>
    <t>Creyts, TT; Ferraccioli, F; Bell, RE; Wolovick, M; Corr, H; Rose, KC; Frearson, N; Damaske, D; Jordan, T; Braaten, D; Finn, C</t>
  </si>
  <si>
    <t>Creyts, Timothy T.; Ferraccioli, Fausto; Bell, Robin E.; Wolovick, Michael; Corr, Hugh; Rose, Kathryn C.; Frearson, Nicholas; Damaske, Detlef; Jordan, Tom; Braaten, David; Finn, Carol</t>
  </si>
  <si>
    <t>Freezing of ridges and water networks preserves the Gamburtsev Subglacial Mountains for millions of years</t>
  </si>
  <si>
    <t>glaciology; Antarctica; ice sheet; freezing</t>
  </si>
  <si>
    <t>RICH BASAL ICE; ON MECHANISM; EROSION; LANDSCAPE; EVOLUTION; SEDIMENT; SHEET; MODEL; GLACIATION; GLACIERS</t>
  </si>
  <si>
    <t>Once an ice sheet grows beyond a critical thickness, the basal thermal regime favors melting and development of subglacial water networks. Subglacial water is necessary for bedrock erosion, but the exact mechanisms that lead to preservation of subglacial topography are unclear. Here we resolve the freezing mechanisms that lead to long-term, high-altitude preservation across the Gamburtsev Subglacial Mountains in East Antarctica. Analyses of a comprehensive geophysical data set reveal a large-scale water network along valley floors. The ice sheet often drives subglacial water up steep topography where it freezes along high ridges beneath thinner ice. Statistical tests of hypsometry show the Gamburtsevs resemble younger midlatitude mountains, indicating exceptional preservation. We conclude that the Gamburtsevs have been shielded from erosion since the latest Eocene (approximate to 34 Ma). These freezing mechanisms likely account for the spatial and temporal patterns of erosion and preservation seen in other glaciated mountain ranges.</t>
  </si>
  <si>
    <t>[Creyts, Timothy T.; Bell, Robin E.; Wolovick, Michael; Frearson, Nicholas] Columbia Univ, Lamont Doherty Earth Observ, Palisades, NY 10964 USA; [Ferraccioli, Fausto; Corr, Hugh; Jordan, Tom] British Antarctic Survey, Cambridge CB3 0ET, England; [Rose, Kathryn C.] Univ Bristol, Sch Geog Sci, Bristol, Avon, England; [Damaske, Detlef] Geozentrum Hannover, BGR, Hannover, Germany; [Braaten, David] Univ Kansas, Ctr Remote Sensing Ice Sheets, Lawrence, KS 66045 USA; [Finn, Carol] US Geol Survey, Denver Fed Ctr, Denver, CO 80225 USA</t>
  </si>
  <si>
    <t>Columbia University; UK Research &amp; Innovation (UKRI); Natural Environment Research Council (NERC); NERC British Antarctic Survey; University of Bristol; University of Kansas; United States Department of the Interior; United States Geological Survey</t>
  </si>
  <si>
    <t>Creyts, TT (corresponding author), Columbia Univ, Lamont Doherty Earth Observ, Palisades, NY 10964 USA.</t>
  </si>
  <si>
    <t>tcreyts@ldeo.columbia.edu</t>
  </si>
  <si>
    <t>Finn, Carol A/HKN-9277-2023; Wolovick, Michael/JZE-0247-2024; Corr, Hugh/C-5398-2011</t>
  </si>
  <si>
    <t>Finn, Carol A/0000-0002-6178-0405; Wolovick, Michael/0000-0002-9345-7039; Ferraccioli, Fausto/0000-0002-9347-4736; Creyts, Timothy/0000-0003-1756-5211</t>
  </si>
  <si>
    <t>U.S. NSF Polar Program; UK NERC; Federal Institute for Geosciences and Resources, Germany; Directorate For Geosciences; Office of Polar Programs (OPP) [1043481] Funding Source: National Science Foundation; Natural Environment Research Council [bas0100026] Funding Source: researchfish; NERC [bas0100026] Funding Source: UKRI</t>
  </si>
  <si>
    <t>U.S. NSF Polar Program; UK NERC(UK Research &amp; Innovation (UKRI)Natural Environment Research Council (NERC)); Federal Institute for Geosciences and Resources, Germany;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</si>
  <si>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We thank field party members of the AGAP research campaign. We thank V.K. Pedersen and D.L. Egholm for providing hypsometric data for global mountain ranges. Members of Center For Remote Sensing of Ice Sheets (CReSIS) kindly provided algorithms and data products used during this analysis. We are grateful to R. Alley, M. Fahnestock, G. Flowers, and C. Schoof for reviews of early versions of this manuscript. We are grateful for the help of H. Abdi with figure preparation. Radar data are served online by L-DEO and BAS. The resultant ice thickness data have been incorporated into BEDMAP2 project and are served online by BAS. We thank Stuart Thomson and an anonymous referee for constructive comments on this manuscript. This work was made possible through support from the U.S. NSF Polar Program, UK NERC, and the Federal Institute for Geosciences and Resources, Germany.</t>
  </si>
  <si>
    <t>10.1002/2014GL061491</t>
  </si>
  <si>
    <t>WOS:000346644600046</t>
  </si>
  <si>
    <t>Rott, H; Floricioiu, D; Wuite, J; Scheiblauer, S; Nagler, T; Kern, M</t>
  </si>
  <si>
    <t>Rott, Helmut; Floricioiu, Dana; Wuite, Jan; Scheiblauer, Stefan; Nagler, Thomas; Kern, Michael</t>
  </si>
  <si>
    <t>Mass changes of outlet glaciers along the Nordensjkold Coast, northern Antarctic Peninsula, based on TanDEM-X satellite measurements</t>
  </si>
  <si>
    <t>Antarctic Peninsula; glaciers; volume change; mass balance; TanDEM-X; radar interferometry</t>
  </si>
  <si>
    <t>LARSEN ICE SHELF; BALANCE; COLLAPSE; SHEET</t>
  </si>
  <si>
    <t>We analyzed volume change and mass balance of outlet glaciers of the northern Antarctic Peninsula over the period 2011 to 2013, using topographic data of high vertical accuracy and great spatial detail, acquired by bistatic radar interferometry of the TanDEM-X/TerraSAR-X satellite formation. The study area includes glaciers draining into the Larsen-A, Larsen Inlet, and Prince-Gustav-Channel embayments. After collapse of buttressing ice shelves in 1995 the glaciers became tidewater calving glaciers and accelerated, resulting in increased ice export. Downwasting of most glaciers is going on, but at reduced rates compared to previous years in accordance with deceleration of ice flow. The rate of mass depletion is 4.20.4Gta(-1), with the largest contribution by Drygalski Glacier amounting to 2.20.2Gta(.)(-1) On the technological side, the investigations demonstrate the capability of satellite-borne single-pass radar interferometry as a new tool for accurate and detailed monitoring of glacier volume change.</t>
  </si>
  <si>
    <t>[Rott, Helmut; Wuite, Jan; Scheiblauer, Stefan; Nagler, Thomas] ENVEO IT GmbH, Innsbruck, Austria; [Rott, Helmut] Univ Innsbruck, Inst Meteorol &amp; Geophys, A-6020 Innsbruck, Austria; [Floricioiu, Dana] German Aerosp Ctr, Inst Remote Sensing Technol, Oberpfaffenhofen, Germany; [Kern, Michael] ESA ESTEC, Noordwijk, Netherlands</t>
  </si>
  <si>
    <t>University of Innsbruck; Helmholtz Association; German Aerospace Centre (DLR); European Space Agency</t>
  </si>
  <si>
    <t>Rott, H (corresponding author), ENVEO IT GmbH, Innsbruck, Austria.</t>
  </si>
  <si>
    <t>Helmut.Rott@enveo.at</t>
  </si>
  <si>
    <t>Scheiblauer, Stefan/0000-0002-5614-8296; Wuite, Jan/0000-0001-9333-1586</t>
  </si>
  <si>
    <t>DLR [XTI_GLAC0457]; European Space Agency, ESA [4000105776/12/NL/CBi]</t>
  </si>
  <si>
    <t>DLR(Helmholtz AssociationGerman Aerospace Centre (DLR)); European Space Agency, ESA(European Space Agency)</t>
  </si>
  <si>
    <t>The authors would like to thank A. Cook (Swansea University, UK) for providing outlines of glacier basins, and M. van Wessem and M. van der Broeke (Utrecht University, NL) for providing surface mass balance data generated by the RACMO model. The TanDEM-X data were made available by DLR through project XTI_GLAC0457. This work was supported by the European Space Agency, ESA, contract 4000105776/12/NL/CBi.</t>
  </si>
  <si>
    <t>10.1002/2014GL061613</t>
  </si>
  <si>
    <t>WOS:000346644600047</t>
  </si>
  <si>
    <t>Velicogna, I; Sutterley, TC; van den Broeke, MR</t>
  </si>
  <si>
    <t>Velicogna, I.; Sutterley, T. C.; van den Broeke, M. R.</t>
  </si>
  <si>
    <t>Regional acceleration in ice mass loss from Greenland and Antarctica using GRACE time-variable gravity data</t>
  </si>
  <si>
    <t>mass balance; time-variable gravity; Greenland; sea level; Antarctica; remote sensing</t>
  </si>
  <si>
    <t>SEA-LEVEL; RECONCILED ESTIMATE; WEST ANTARCTICA; SHEET; GLACIER; DISCHARGE; FIELD</t>
  </si>
  <si>
    <t>We use Gravity Recovery and Climate Experiment (GRACE) monthly gravity fields to determine the regional acceleration in ice mass loss in Greenland and Antarctica for 2003-2013. We find that the total mass loss is controlled by only a few regions. In Greenland, the southeast and northwest generate 70% of the loss (28058 Gt/yr) mostly from ice dynamics, the southwest accounts for 54% of the total acceleration in loss (25.41.2 Gt/yr(2)) from a decrease in surface mass balance (SMB), followed by the northwest (34%), and we find no significant acceleration in the northeast. In Antarctica, the Amundsen Sea (AS) sector and the Antarctic Peninsula account for 64% and 17%, respectively, of the total loss (18010 Gt/yr) mainly from ice dynamics. The AS sector contributes most of the acceleration in loss (114 Gt/yr(2)), and Queen Maud Land, East Antarctica, is the only sector with a significant mass gain due to a local increase in SMB (63 +/- 5 Gt/yr).</t>
  </si>
  <si>
    <t>[Velicogna, I.; Sutterley, T. C.] Univ Calif Irvine, Dept Earth Syst Sci, Irvine, CA 92697 USA; [Velicogna, I.] CALTECH, Jet Prop Lab, Pasadena, CA USA; [van den Broeke, M. R.] Univ Utrecht, Inst Marine &amp; Atmospher Res, Utrecht, Netherlands</t>
  </si>
  <si>
    <t>University of California System; University of California Irvine; California Institute of Technology; National Aeronautics &amp; Space Administration (NASA); NASA Jet Propulsion Laboratory (JPL); Utrecht University</t>
  </si>
  <si>
    <t>Velicogna, I (corresponding author), Univ Calif Irvine, Dept Earth Syst Sci, Irvine, CA 92697 USA.</t>
  </si>
  <si>
    <t>isabella@uci.edu</t>
  </si>
  <si>
    <t>Sutterley, Tyler/Q-8325-2016; Velicogna, Isabella/R-5561-2018; Van den Broeke, Michiel R./F-7867-2011</t>
  </si>
  <si>
    <t>Sutterley, Tyler/0000-0002-6964-1194; Van den Broeke, Michiel R./0000-0003-4662-7565</t>
  </si>
  <si>
    <t>NASA [JPL-1390432, UTA12-000609, UTA13-000917]</t>
  </si>
  <si>
    <t>This work was performed at the UCI and JPL-Caltech; it was supported by the NASA's Cryosphere, Terrestrial Hydrology and IDS Programs, JPL-1390432, UTA12-000609, and UTA13-000917 contracts. Data used in this paper are available upon request to the authors.</t>
  </si>
  <si>
    <t>10.1002/2014GL061052</t>
  </si>
  <si>
    <t>WOS:000346644600048</t>
  </si>
  <si>
    <t>Gryschka, M; Fricke, J; Raasch, S</t>
  </si>
  <si>
    <t>Gryschka, Micha; Fricke, Jens; Raasch, Siegfried</t>
  </si>
  <si>
    <t>On the impact of forced roll convection on vertical turbulent transport in cold air outbreaks</t>
  </si>
  <si>
    <t>LARGE-EDDY SIMULATION; ATMOSPHERIC BOUNDARY-LAYER; ARCTIC SEA-ICE; MOIST CONVECTION; HORIZONTAL ROLL; CLOUD STREET; MODEL; SURFACE; MASS; STRATOCUMULUS</t>
  </si>
  <si>
    <t>We investigated the impact of roll convection on the convective boundary layer and vertical transports in different cold air outbreak (CAO) scenarios using large eddy simulations (LES). The organization of convection into rolls was triggered by upstream heterogeneities in the surface temperature, representing ice and water. By changing the sea ice distribution in our LES, we were able to simulate a roll and a nonroll case for each scenario. Furthermore, the roll wavelength was varied by changing the scale of the heterogeneity. The characteristics of the simulated rolls and cloud streets, such as aspect ratios, orientation of the roll axes, and downstream extensions of single rolls agreed closely with observations in CAO situations. The vertical turbulent fluxes, calculated for each simulation, were decomposed into contributions from rolls and from unorganized turbulence. Even though our results confirmed that rolls triggered by upstream heterogeneities can substantially contribute to vertical turbulent fluxes, the total fluxes were not affected by the rolls.</t>
  </si>
  <si>
    <t>[Gryschka, Micha; Fricke, Jens; Raasch, Siegfried] Leibniz Univ Hannover, Inst Meteorol &amp; Klimatol, D-30167 Hannover, Germany</t>
  </si>
  <si>
    <t>Leibniz University Hannover</t>
  </si>
  <si>
    <t>Gryschka, M (corresponding author), Leibniz Univ Hannover, Inst Meteorol &amp; Klimatol, D-30167 Hannover, Germany.</t>
  </si>
  <si>
    <t>gryschka@muk.uni-hannover.de</t>
  </si>
  <si>
    <t>Gryschka, Micha/0000-0002-5120-1932</t>
  </si>
  <si>
    <t>Deutsche Forschungsgemeinschaft (DFG) [RA 617/24-1]</t>
  </si>
  <si>
    <t>Deutsche Forschungsgemeinschaft (DFG)(German Research Foundation (DFG))</t>
  </si>
  <si>
    <t>This work was supported by the Deutsche Forschungsgemeinschaft (DFG) in the framework of the priority programme Antarctic research with comparative investigations in Arctic ice areas by grant RA 617/24-1. All data were produced with the LES-model PALM (Revision 979) developed at Leibniz Universitat Hannover. PALM is freely available at http://palm.muk.uni-hannover.de. Parameter files of the simulations of the present study can be requested from the corresponding author. All simulations were performed on the SGI Altix ICE at the North-German Supercomputing Alliance (HLRN), Hannover/Berlin. We would like to thank J. Hartmann for providing data from the ARTIST experiment. We are pleased to thank Christof Lupkes and Vladimir Gryanik for the helpful discussions.</t>
  </si>
  <si>
    <t>NOV 27</t>
  </si>
  <si>
    <t>10.1002/2014JD022160</t>
  </si>
  <si>
    <t>AW5YA</t>
  </si>
  <si>
    <t>WOS:000346345600006</t>
  </si>
  <si>
    <t>Kingsley, CN; Bierma, JC; Pham, V; Martin, RW</t>
  </si>
  <si>
    <t>Kingsley, Carolyn N.; Bierma, Jan C.; Pham, Vyvy; Martin, Rachel W.</t>
  </si>
  <si>
    <t>γS-Crystallin Proteins from the Antarctic Nototheniid Toothfish: A Model System for Investigating Differential Resistance to Chemical and Thermal Denaturation</t>
  </si>
  <si>
    <t>JOURNAL OF PHYSICAL CHEMISTRY B</t>
  </si>
  <si>
    <t>EYE LENS CRYSTALLINS; ALPHA-CRYSTALLIN; BETA-S; DISSOSTICHUS-MAWSONI; GUANIDINIUM CHLORIDE; GLOBULAR-PROTEINS; COLD DENATURATION; PHASE-SEPARATION; STABILITY; EVOLUTION</t>
  </si>
  <si>
    <t>The gamma S1- and gamma S2-crystallins, structural eye lens proteins from the Antarctic toothfish (Dissostichus mawsoni), are homologues of the human lens protein gamma S-crystallin. Although gamma S1 has the higher thermal stability of the two, it is more susceptible to chemical denaturation by urea. The lower thermodynamic stability of both toothfish crystallins relative to human gamma S-crystallin is consistent with the current picture of how proteins from organisms endemic to perennially cold environments have achieved low-temperature functionality via greater structural flexibility. In some respects, the sequences of gamma S1- and gamma S2-crystallin are typical of psychrophilic proteins; however, their amino acid compositions also reflect their selection for a high refractive index increment. Like their counterparts in the human lens and those of mesophilic fish, both toothfish crystallins are relatively enriched in aromatic residues and methionine and exiguous in aliphatic residues. The sometimes contradictory requirements of selection for cold tolerance and high refractive index make the toothfish crystallins an excellent model system for further investigation of the biophysical properties of structural proteins.</t>
  </si>
  <si>
    <t>[Kingsley, Carolyn N.; Pham, Vyvy; Martin, Rachel W.] Univ Calif Irvine, Dept Chem, Irvine, CA 92697 USA; [Bierma, Jan C.; Martin, Rachel W.] Univ Calif Irvine, Dept Mol Biol &amp; Biochem, Irvine, CA 92697 USA</t>
  </si>
  <si>
    <t>University of California System; University of California Irvine; University of California System; University of California Irvine</t>
  </si>
  <si>
    <t>Martin, RW (corresponding author), Univ Calif Irvine, Dept Chem, 1102 Nat Sci 2, Irvine, CA 92697 USA.</t>
  </si>
  <si>
    <t>rwmartin@uci.edu</t>
  </si>
  <si>
    <t>Bierma, Jan/0000-0003-2100-3801; Kingsley, Carolyn/0000-0001-8564-7345</t>
  </si>
  <si>
    <t>UCI UROP program; NIH [R01EY021514]; NSF DMR [1410415]; Direct For Mathematical &amp; Physical Scien [1410415] Funding Source: National Science Foundation; Division Of Materials Research [1410415] Funding Source: National Science Foundation</t>
  </si>
  <si>
    <t>UCI UROP program; NIH(United States Department of Health &amp; Human ServicesNational Institutes of Health (NIH) - USA); NSF DMR(National Science Foundation (NSF)); Direct For Mathematical &amp; Physical Scien(National Science Foundation (NSF)NSF - Directorate for Mathematical &amp; Physical Sciences (MPS)); Division Of Materials Research(National Science Foundation (NSF)NSF - Directorate for Mathematical &amp; Physical Sciences (MPS))</t>
  </si>
  <si>
    <t>The authors thank Dmitry Fishman for excellent management of the UCI Optical Spectroscopy Facility. V.P. acknowledges support from the UCI UROP program. This work was supported by NIH Grant R01EY021514 and NSF DMR Grant 1410415 to R.W.M.</t>
  </si>
  <si>
    <t>AMER CHEMICAL SOC</t>
  </si>
  <si>
    <t>1155 16TH ST, NW, WASHINGTON, DC 20036 USA</t>
  </si>
  <si>
    <t>1520-6106</t>
  </si>
  <si>
    <t>J PHYS CHEM B</t>
  </si>
  <si>
    <t>J. Phys. Chem. B</t>
  </si>
  <si>
    <t>10.1021/jp509134d</t>
  </si>
  <si>
    <t>Chemistry, Physical</t>
  </si>
  <si>
    <t>AU6OU</t>
  </si>
  <si>
    <t>WOS:000345722900029</t>
  </si>
  <si>
    <t>O'Toole, MD; Lea, MA; Guinet, C; Hindell, MA</t>
  </si>
  <si>
    <t>O'Toole, Malcolm D.; Lea, Mary-Anne; Guinet, Christophe; Hindell, Mark A.</t>
  </si>
  <si>
    <t>Estimating Trans-Seasonal Variability in Water Column Biomass for a Highly Migratory, Deep Diving Predator</t>
  </si>
  <si>
    <t>SOUTHERN ELEPHANT SEALS; BIOOPTICAL PROPERTIES; MIROUNGA-LEONINA; CASE-1 WATERS; CHLOROPHYLL; PHYTOPLANKTON; SCALE; TEMPERATURE; ABSORPTION; TILETAMINE</t>
  </si>
  <si>
    <t>The deployment of animal-borne electronic tags is revolutionizing our understanding of how pelagic species respond to their environment by providing in situ oceanographic information such as temperature, salinity, and light measurements. These tags, deployed on pelagic animals, provide data that can be used to study the ecological context of their foraging behaviour and surrounding environment. Satellite-derived measures of ocean colour reveal temporal and spatial variability of surface chlorophyll-a (a useful proxy for phytoplankton distribution). However, this information can be patchy in space and time resulting in poor correspondence with marine animal behaviour. Alternatively, light data collected by animal-borne tag sensors can be used to estimate chlorophyll-a distribution. Here, we use light level and depth data to generate a phytoplankton index that matches daily seal movements. Time-depth-light recorders (TDLRs) were deployed on 89 southern elephant seals (Mirounga leonina) over a period of 6 years (1999-2005). TDLR data were used to calculate integrated light attenuation of the top 250 m of the water column (LA(250)), which provided an index of phytoplankton density at the daily scale that was concurrent with the movement and behaviour of seals throughout their entire foraging trip. These index values were consistent with typical seasonal chl-a patterns as measured from 8-daySea-viewing Wide Field-of-view Sensor (SeaWiFs) images. The availability of data recorded by the TDLRs was far greater than concurrent remotely sensed chl-a at higher latitudes and during winter months. Improving the spatial and temporal availability of phytoplankton information concurrent with animal behaviour has ecological implications for understanding the movement of deep diving predators in relation to lower trophic levels in the Southern Ocean. Light attenuation profiles recorded by animal-borne electronic tags can be used more broadly and routinely to estimate lower trophic distribution at sea in relation to deep diving predator foraging behaviour.</t>
  </si>
  <si>
    <t>[O'Toole, Malcolm D.; Lea, Mary-Anne; Hindell, Mark A.] Univ Tasmania, Inst Marine &amp; Antarctic Studies, Hobart, Tas, Australia; [Guinet, Christophe] Ctr Eud Biol Chize, Marine Predator Dept, Villiers En Bois, France</t>
  </si>
  <si>
    <t>O'Toole, MD (corresponding author), Univ Tasmania, Inst Marine &amp; Antarctic Studies, Hobart, Tas, Australia.</t>
  </si>
  <si>
    <t>Hindell, Mark/0000-0002-7823-7185; Lea, Mary-Anne/0000-0001-8318-9299</t>
  </si>
  <si>
    <t>Australian Research Council; Natural Sciences and Engineering Research Council of Canada; Sea World Research and Rescue Foundation Inc.; Australian Antarctic Science Programme; Australian Postgraduate Award</t>
  </si>
  <si>
    <t>Australian Research Council(Australian Research Council); Natural Sciences and Engineering Research Council of Canada(Natural Sciences and Engineering Research Council of Canada (NSERC)CGIAR); Sea World Research and Rescue Foundation Inc.; Australian Antarctic Science Programme; Australian Postgraduate Award(Australian Government)</t>
  </si>
  <si>
    <t>This research was funded by the Australian Research Council, the Natural Sciences and Engineering Research Council of Canada, Sea World Research and Rescue Foundation Inc., and the Australian Antarctic Science Programme. MO was supported by an Australian Postgraduate Award. The funders had no role in study design, data collection and analysis, decision to publish, or preparation of the manuscript.</t>
  </si>
  <si>
    <t>NOV 26</t>
  </si>
  <si>
    <t>e113171</t>
  </si>
  <si>
    <t>10.1371/journal.pone.0113171</t>
  </si>
  <si>
    <t>CA8CZ</t>
  </si>
  <si>
    <t>Green Submitted, Green Published, gold, Green Accepted</t>
  </si>
  <si>
    <t>WOS:000349145400036</t>
  </si>
  <si>
    <t>Lopes, RP; Kinoshita, A; Baffa, O; Figueiredo, AMG; Dillenburg, SR; Schultz, CL; Pereira, JC</t>
  </si>
  <si>
    <t>Lopes, Renato P.; Kinoshita, Angela; Baffa, Oswaldo; Graciano Figueiredo, Ana Maria; Dillenburg, Sergio Rebello; Schultz, Cesar Leandro; Pereira, Jamil Correa</t>
  </si>
  <si>
    <t>ESR dating of Pleistocene mammals and marine shells from the coastal plain of Rio Grande do Sul state, southern Brazil</t>
  </si>
  <si>
    <t>QUATERNARY INTERNATIONAL</t>
  </si>
  <si>
    <t>CLIMATIC CHANGES; ANTARCTIC ZONE; FOSSIL SHELLS; U-UPTAKE; TOOTH; TEETH; AGE; BIOSTRATIGRAPHY; LUMINESCENCE; ARGENTINA</t>
  </si>
  <si>
    <t>The Coastal Plain of Rio Grande do Sul state (CPRS), in southern Brazil, encompasses four barrier-lagoon depositional systems formed by marine highstands during the Quaternary, but the ages of the Pleistocene systems older than similar to 125 ka are not precisely known due to the lack of numerical dates. In order to refine the chronology of these deposits, several fossils of terrestrial mammals collected in the fluvial facies of the Lagoon System III and fossil shells from the marine facies of the Barrier System II, exposed in the southern sector of the CPRS, were subject to dating by electron spin resonance (ESR). The ages of the mammalian remains range from 90 +/- 10 to 43 +/- 3 ka, thus representing the last glacial cycle (MIS 4 and 3). The mean EU age of the shells is 224 +/- 24.6 ka, but this value is considered younger than the ` real' age because of excessive Uranium uptake observed among the younger shells. An estimated mean age of some 235-238 ka would agree with other ESR and TL ages obtained for fossils and sediments collected from beds overlying the shells, and would be consistent with the sea-level highstand at the early MIS 7 (substage 7e). The presence of bivalves and foraminifers that indicate ocean temperatures higher than at present seems to corroborate this estimate, given that MIS 7e was characterized by hypsithermal conditions. (C) 2013 Elsevier Ltd and INQUA. All rights reserved.</t>
  </si>
  <si>
    <t>[Lopes, Renato P.; Dillenburg, Sergio Rebello; Schultz, Cesar Leandro] Univ Fed Rio Grande do Sul, Programa Posgrad Geociencias, BR-91540000 Porto Alegre, RS, Brazil; [Kinoshita, Angela] Univ Sagrado Coracao, PRPPG, BR-17011160 Bauru, SP, Brazil; [Baffa, Oswaldo] Univ Sao Paulo, FFLCRP, BR-14040901 Sao Paulo, Brazil; [Graciano Figueiredo, Ana Maria] IPEN, BR-05508000 Sao Paulo, Brazil; [Pereira, Jamil Correa] Museu Coronel Tancredo Fernandes de Mello, BR-96230000 Santa Vitoria Do Palmar, RS, Brazil</t>
  </si>
  <si>
    <t>Universidade Federal do Rio Grande do Sul; Universidade do Sagrado Coracao; Universidade de Sao Paulo; Comissao Nacional de Energia Nuclear (CNEN); Instituto de Pesquisas Energeticas e Nucleares (IPEN)</t>
  </si>
  <si>
    <t>Lopes, RP (corresponding author), Univ Fed Rio Grande do Sul, Programa Posgrad Geociencias, Ave Bento Goncalves 9500, BR-91540000 Porto Alegre, RS, Brazil.</t>
  </si>
  <si>
    <t>paleonto_furg@yahoo.com.br; angelamitie@gmail.com; baffa@ffclrp.usp.br; anamaria@ipen.br; sergio.dillenburg@ufrgs.br; cesar.schultz@ufrgs.br; jamil_pereira@terra.com.br</t>
  </si>
  <si>
    <t>Baffa, Oswaldo/E-3251-2012; Schultz, Cesar/I-4127-2013; Kinoshita, Angela/C-6946-2012; Figueiredo, Ana/GWU-6748-2022; Figueiredo, Ana Laura Marcondes de Souza/KFA-9743-2024; Dillenburg, Sergio/C-4027-2013; Lopes, Renato Pereira/AFQ-4934-2022</t>
  </si>
  <si>
    <t>Baffa, Oswaldo/0000-0002-0622-2814; Schultz, Cesar/0000-0001-7121-0409; Kinoshita, Angela/0000-0002-5057-1667; Dillenburg, Sergio/0000-0003-0072-7018; Lopes, Renato Pereira/0000-0002-4865-6426</t>
  </si>
  <si>
    <t>CNPq; FAPESP; CAPES</t>
  </si>
  <si>
    <t>CNPq(Conselho Nacional de Desenvolvimento Cientifico e Tecnologico (CNPQ)); FAPESP(Fundacao de Amparo a Pesquisa do Estado de Sao Paulo (FAPESP)); CAPES(Coordenacao de Aperfeicoamento de Pessoal de Nivel Superior (CAPES))</t>
  </si>
  <si>
    <t>This work was funded by CNPq, ( PhD fellowship for R. P. Lopes and research assistantship to O. Baffa) and partial financial support from FAPESP and CAPES.</t>
  </si>
  <si>
    <t>1040-6182</t>
  </si>
  <si>
    <t>1873-4553</t>
  </si>
  <si>
    <t>QUATERN INT</t>
  </si>
  <si>
    <t>Quat. Int.</t>
  </si>
  <si>
    <t>10.1016/j.quaint.2013.07.020</t>
  </si>
  <si>
    <t>AU3OD</t>
  </si>
  <si>
    <t>WOS:000345522100014</t>
  </si>
  <si>
    <t>Porfirio, LL; Harris, RMB; Lefroy, EC; Hugh, S; Gould, SF; Lee, G; Bindoff, NL; Mackey, B</t>
  </si>
  <si>
    <t>Porfirio, Luciana L.; Harris, Rebecca M. B.; Lefroy, Edward C.; Hugh, Sonia; Gould, Susan F.; Lee, Greg; Bindoff, Nathaniel L.; Mackey, Brendan</t>
  </si>
  <si>
    <t>Improving the Use of Species Distribution Models in Conservation Planning and Management under Climate Change</t>
  </si>
  <si>
    <t>EXTINCTION RISK; IMPACTS; UNCERTAINTIES; PROJECTIONS; PREDICTION; ENSEMBLE; SELECTION; RESERVE; AREAS; QUANTIFICATION</t>
  </si>
  <si>
    <t>Choice of variables, climate models and emissions scenarios all influence the results of species distribution models under future climatic conditions. However, an overview of applied studies suggests that the uncertainty associated with these factors is not always appropriately incorporated or even considered. We examine the effects of choice of variables, climate models and emissions scenarios can have on future species distribution models using two endangered species: one a short-lived invertebrate species (Ptunarra Brown Butterfly), and the other a long-lived paleo-endemic tree species (King Billy Pine). We show the range in projected distributions that result from different variable selection, climate models and emissions scenarios. The extent to which results are affected by these choices depends on the characteristics of the species modelled, but they all have the potential to substantially alter conclusions about the impacts of climate change. We discuss implications for conservation planning and management, and provide recommendations to conservation practitioners on variable selection and accommodating uncertainty when using future climate projections in species distribution models.</t>
  </si>
  <si>
    <t>[Porfirio, Luciana L.; Hugh, Sonia] Australian Natl Univ, Fenner Sch Environm &amp; Soc, Coll Med Biol &amp; Environm, Canberra, ACT, Australia; [Harris, Rebecca M. B.; Lee, Greg; Bindoff, Nathaniel L.] Antarctic Climate &amp; Ecosyst Cooperat Res Ctr, Hobart, Tas, Australia; [Lefroy, Edward C.] Univ Tasmania, Ctr Environm, Hobart, Tas, Australia; [Gould, Susan F.; Mackey, Brendan] Griffith Univ, Griffith Climate Change Response Program, Gold Coast, Qld, Australia; [Bindoff, Nathaniel L.] Australia Res Council, Ctr Excellence Climate Syst Sci, Hobart, Tas, Australia; [Bindoff, Nathaniel L.] Commonwealth Sci &amp; Ind Res Org, Oceans &amp; Atmosphere Flagship, Hobart, Tas, Australia</t>
  </si>
  <si>
    <t>Australian National University; Antarctic Climate &amp; Ecosystems Cooperative Research Centre (ACE CRC); University of Tasmania; Griffith University; Griffith University - Gold Coast Campus; Commonwealth Scientific &amp; Industrial Research Organisation (CSIRO)</t>
  </si>
  <si>
    <t>Porfirio, LL (corresponding author), Australian Natl Univ, Fenner Sch Environm &amp; Soc, Coll Med Biol &amp; Environm, Canberra, ACT, Australia.</t>
  </si>
  <si>
    <t>Luciana.Porfirio@anu.edu.au</t>
  </si>
  <si>
    <t>Mackey, Brendan/ABE-3805-2020; Bindoff, Nathaniel Lee/IVV-0333-2023; Bindoff, Nathaniel Lee/C-8050-2011; Gould, Sue/AAY-6889-2021; Gould, Sue/T-6979-2019; Harris, Rebecca/N-2790-2013; Lefroy, Edward/J-7144-2014</t>
  </si>
  <si>
    <t>Bindoff, Nathaniel Lee/0000-0001-5662-9519; Bindoff, Nathaniel Lee/0000-0001-5662-9519; Mackey, Brendan/0000-0003-1996-4064; Harris, Rebecca/0000-0002-6426-2179; Lefroy, Edward/0000-0002-3164-8948</t>
  </si>
  <si>
    <t>Australian Government's National Environmental Research Programme</t>
  </si>
  <si>
    <t>Australian Government's National Environmental Research Programme(Australian Government)</t>
  </si>
  <si>
    <t>This research is an output from the Landscapes and Policy Research Hub. The hub is supported through funding from the Australian Government's National Environmental Research Programme and involves researchers from the University of Tasmania (UTAS), The Australian National University (ANU), Murdoch University, the Antarctic Climate and Ecosystems Cooperative Research Centre (ACE CRC), Griffith University and Charles Sturt University (CSU). The funders had no role in study design, data collection and analysis, decision to publish, or preparation of the manuscript.</t>
  </si>
  <si>
    <t>NOV 24</t>
  </si>
  <si>
    <t>e113749</t>
  </si>
  <si>
    <t>10.1371/journal.pone.0113749</t>
  </si>
  <si>
    <t>AX2IM</t>
  </si>
  <si>
    <t>WOS:000346766900068</t>
  </si>
  <si>
    <t>Brand, U; Came, RE; Affek, H; Azmy, K; Mooi, R; Layton, K</t>
  </si>
  <si>
    <t>Brand, Uwe; Came, Rosemarie E.; Affek, Hagit; Azmy, Karem; Mooi, Randy; Layton, Kara</t>
  </si>
  <si>
    <t>Climate-forced change in Hudson Bay seawater composition and temperature, Arctic Canada</t>
  </si>
  <si>
    <t>CHEMICAL GEOLOGY</t>
  </si>
  <si>
    <t>Hudson Bay brachiopods; Carbon; Oxygen and clumped isotopes; Acidification; Warming; Polar amplification</t>
  </si>
  <si>
    <t>SEA-SURFACE TEMPERATURE; CLUMPED ISOTOPE; FRESH-WATER; INTERANNUAL VARIABILITY; KINETIC FRACTIONATION; CHANGE SCENARIOS; CARBON-ISOTOPE; ICE; CO2; OCEAN</t>
  </si>
  <si>
    <t>Global climate change impacts marine ecosystems, directly and indirectly, especially in the Arctic and Antarctic. We show the first long-term (1920-2011) time-series of oceanographic change in Hudson Bay, an arcticmarine ecosystem, based on coupled brachiopod-calcite stable and clumped isotope results. Long-term decrease in brachiopod delta C-13 parallels that of seawater-DIC in Hudson Bay, and after considering its seasonal sea ice coverage, it is similar to that of the C-13-Suess effect observed in the North Atlantic and other regions. Acidification of Hudson Bay seawater leads warming by about 10-20 years, and with intensified warming from the 1970s to 2010s closely coupled to earlier sea-ice breakup. Post-industrial warming of Hudson Bay is initially slow, but in later years, faster and of greater magnitude than of the coeval global oceans. Our observations for the past 90 years suggest that climate-forced change contributed to an average increase of about 0.1 degrees C and 3.6 degrees C in sea-surface water temperature of Hudson Bay over the first 50 and subsequent 40 years, respectively. This 3.7 degrees C post-industrial warming of Hudson Bay seawater is about six times the 0.67 degrees C increase observed during the past 100 years in global ocean sea-surface temperature, which is about double the postulated increase of about 2 degrees C for polar regions. Our results are consistent with the general notion that polar marine environments, such as Hudson Bay, can serve as sensitive indicators of change in climate, and of change still to come for lower latitude ecosystems. (C) 2014 Elsevier B.V. All rights reserved.</t>
  </si>
  <si>
    <t>[Brand, Uwe] Brock Univ, Dept Earth Sci, St Catharines, ON L2S 3A1, Canada; [Came, Rosemarie E.] Univ New Hampshire, Dept Earth Sci, Durham, NH 03824 USA; [Affek, Hagit] Yale Univ, Dept Geol &amp; Geophys, New Haven, CT 06520 USA; [Azmy, Karem] Mem Univ Newfoundland, Dept Earth Sci, St John, NF A1B 3X5, Canada; [Mooi, Randy] Manitoba Museum, Dept Zool, Winnipeg, MB R3B 0N2, Canada; [Layton, Kara] Univ Guelph, Dept Integrat Biol, Guelph, ON N1G 2W1, Canada</t>
  </si>
  <si>
    <t>Brock University; University System Of New Hampshire; University of New Hampshire; Yale University; Memorial University Newfoundland; University of Guelph</t>
  </si>
  <si>
    <t>Brand, U (corresponding author), Brock Univ, Dept Earth Sci, St Catharines, ON L2S 3A1, Canada.</t>
  </si>
  <si>
    <t>uwe.brand@brocku.ca</t>
  </si>
  <si>
    <t>Layton, Kara/AAC-6007-2019; Affek, Hagit P/B-6950-2008</t>
  </si>
  <si>
    <t>Layton, Kara/0000-0002-4302-3048; Wang, yonghui/0000-0001-8120-2584</t>
  </si>
  <si>
    <t>NSERC [7961]; Brock University [2008-1]</t>
  </si>
  <si>
    <t>NSERC(Natural Sciences and Engineering Research Council of Canada (NSERC)); Brock University</t>
  </si>
  <si>
    <t>We thank George Lundie and Jack Batstone (Churchill, MB) for field assistance, and CNSC (Churchill Northern Studies Centre) for its hospitality. We also thank the journal reviewers for their valuable comments. NSERC (grant #7961) and a Brock University grant #2008-1 (Chancellor's Research Chair Award) provided financial support to UB.</t>
  </si>
  <si>
    <t>0009-2541</t>
  </si>
  <si>
    <t>1872-6836</t>
  </si>
  <si>
    <t>CHEM GEOL</t>
  </si>
  <si>
    <t>Chem. Geol.</t>
  </si>
  <si>
    <t>NOV 21</t>
  </si>
  <si>
    <t>10.1016/j.chemgeo.2014.08.028</t>
  </si>
  <si>
    <t>AU2IN</t>
  </si>
  <si>
    <t>WOS:000345441500008</t>
  </si>
  <si>
    <t>Morash, AJ; Vanderveken, M; McClelland, GB</t>
  </si>
  <si>
    <t>Morash, Andrea J.; Vanderveken, Mark; McClelland, Grant B.</t>
  </si>
  <si>
    <t>Muscle metabolic remodeling in response to endurance exercise in salmonids</t>
  </si>
  <si>
    <t>FRONTIERS IN PHYSIOLOGY</t>
  </si>
  <si>
    <t>endurance exercise; salmonids; muscle remodeling; metabolism; migration; fuel selection</t>
  </si>
  <si>
    <t>TROUT ONCORHYNCHUS-MYKISS; ACTIVATED PROTEIN-KINASE; JUVENILE RAINBOW-TROUT; HUMAN SKELETAL-MUSCLE; SPAWNING MIGRATION; SOCKEYE-SALMON; GENE-EXPRESSION; SWIMMING PERFORMANCE; MESSENGER-RNA; CPT I</t>
  </si>
  <si>
    <t>Phenotypic plasticity of skeletal muscle is relevant to swimming performance and metabolism in fishes, especially those that undergo extreme locomotory feats, such as seasonal migration. However, the in fluence of endurance exercise and the molecular mechanisms coordinating this remodeling are not well understood. The present study examines muscle metabolic remodeling associated with endurance exercise in fed rainbow trout as compared to migrating salmon. Trout were swum for 4 weeks at 1.5BL/s, a speed similar to that of migrating salmon and red and white muscles were sampled after each week. We quantified changes in key enzymes in aerobic and carbohydrate metabolism [citrate synthase (CS), beta-hydroxyacyl-CoA dehydrogenase (HOAD), hexokinase (HK)] and changes in mRNA expression of major regulators of metabolic phenotype (AMPK, PPARs) and lipid (carnitinepalmitoyltransferase, CPTI), protein (aspartate aminotransferase, AST) and carbohydrate (HK) oxidation pathways. After 1 week of swimming substantial increases were seen in AMPK and PPAR alpha mRNA expression and of their downstream target genes, CPTI and HK in red muscle. However, significant changes in CS and HK activity occurred only after 4 weeks. In contrast, there were few changes in mRNA expression and enzyme activities in white muscle over the 4-weeks. Red muscle results mimic those found in migrating salmon suggesting a strong influence of exercise on red muscle phenotype. In white muscle, only changes in AMPK and PPAR expression were similar to that seen with migrating salmon. However, in contrast to exercise alone, in natural migration HK decreased while AST increased suggesting that white muscle plays a role in supplying fuel and intermediates possibly through tissue breakdown during prolonged fasting. Dissecting individual and potentially synergistic effects of multiple stressors wille nable us to determine major drivers of the metabolic phenotype and their impacts on whole animal performance.</t>
  </si>
  <si>
    <t>[Morash, Andrea J.; Vanderveken, Mark; McClelland, Grant B.] McMaster Univ, Dept Biol, Hamilton, ON L8S 4K1, Canada; [Morash, Andrea J.] Univ Tasmania, Inst Marine &amp; Antarctic Studies, Hobart, Tas, Australia</t>
  </si>
  <si>
    <t>McMaster University; University of Tasmania</t>
  </si>
  <si>
    <t>McClelland, GB (corresponding author), McMaster Univ, Dept Biol, 1280 Main St W, Hamilton, ON L8S 4K1, Canada.</t>
  </si>
  <si>
    <t>grantm@mcmaster.ca</t>
  </si>
  <si>
    <t>McClelland, Grant/D-1369-2012</t>
  </si>
  <si>
    <t>McClelland, Grant/0000-0003-1500-9983</t>
  </si>
  <si>
    <t>Natural Sciences and Engineering Research Council of Canada (NSERC) Discovery Grant; NSERC postgraduate scholarship</t>
  </si>
  <si>
    <t>Natural Sciences and Engineering Research Council of Canada (NSERC) Discovery Grant(Natural Sciences and Engineering Research Council of Canada (NSERC)); NSERC postgraduate scholarship(Natural Sciences and Engineering Research Council of Canada (NSERC))</t>
  </si>
  <si>
    <t>This work was funded by a Natural Sciences and Engineering Research Council of Canada (NSERC) Discovery Grant to Grant B. McClelland. AndreaJ. Morash was supported by a NSERC postgraduate scholarship.</t>
  </si>
  <si>
    <t>PO BOX 110, EPFL INNOVATION PARK, BUILDING I, LAUSANNE, 1015, SWITZERLAND</t>
  </si>
  <si>
    <t>1664-042X</t>
  </si>
  <si>
    <t>FRONT PHYSIOL</t>
  </si>
  <si>
    <t>Front. Physiol.</t>
  </si>
  <si>
    <t>10.3389/fphys.2014.00452</t>
  </si>
  <si>
    <t>AX9HB</t>
  </si>
  <si>
    <t>WOS:000347213100001</t>
  </si>
  <si>
    <t>Worsfold, PJ; Lohan, MC; Ussher, SJ; Bowie, AR</t>
  </si>
  <si>
    <t>Worsfold, Paul J.; Lohan, Maeve C.; Ussher, Simon J.; Bowie, Andrew R.</t>
  </si>
  <si>
    <t>Determination of dissolved iron in seawater: A historical review</t>
  </si>
  <si>
    <t>MARINE CHEMISTRY</t>
  </si>
  <si>
    <t>Iron biogeochemistry; Sampling; Sample treatment; Iron determination; Data quality</t>
  </si>
  <si>
    <t>PLASMA-MASS SPECTROMETRY; FLOW INJECTION-CHEMILUMINESCENCE; CATHODIC STRIPPING VOLTAMMETRY; COASTAL UPWELLING REGIMES; SOLID-PHASE EXTRACTION; TRACE-METALS; SOUTHERN-OCEAN; REDOX SPECIATION; SURFACE WATERS; HYDROXAMATE SIDEROPHORES</t>
  </si>
  <si>
    <t>This paper overviews the evolution of suitable analytical approaches for the determination of dissolved iron in seawater. The focus is on sampling and sample treatment, detection methods and quality assurance of the data. Iron is a vital trace element for the growth of marine organisms and is the limiting micronutrient for primary production in many parts of the world's oceans. The concentration of dissolved iron in seawater therefore influences the past and present day global carbon cycle and consequently Earth's climate. Hence it is important to understand the marine biogeochemistry of iron and quantify the spatial and temporal distribution of the element. In order to do this, it is essential that robust and validated methods with appropriate detection limits, precision and accuracy are available for the determination of iron species in seawater. (C) 2014 Elsevier B.V. All rights reserved.</t>
  </si>
  <si>
    <t>[Worsfold, Paul J.; Lohan, Maeve C.; Ussher, Simon J.] Univ Plymouth, Biogeochem Res Ctr, Plymouth PL4 8AA, Devon, England; [Bowie, Andrew R.] Antarctic Climate &amp; Ecosyst CRC, Hobart, Tas 7001, Australia; [Bowie, Andrew R.] Univ Tasmania, Inst Marine &amp; Antarctic Studies, Hobart, Tas 7001, Australia</t>
  </si>
  <si>
    <t>University of Plymouth; University of Tasmania; University of Tasmania</t>
  </si>
  <si>
    <t>Worsfold, PJ (corresponding author), Univ Plymouth, Biogeochem Res Ctr, Sch Geog Earth &amp; Environm Sci, Plymouth PL4 8AA, Devon, England.</t>
  </si>
  <si>
    <t>pworsfold@plymouth.ac.uk</t>
  </si>
  <si>
    <t>Bowie, Andrew/C-8677-2013</t>
  </si>
  <si>
    <t>Bowie, Andrew/0000-0002-5144-7799; Worsfold, Paul/0000-0002-2262-7723; Ussher, Simon/0000-0001-6724-9212; Lohan, Maeve/0000-0002-5340-3108</t>
  </si>
  <si>
    <t>EMRP [JRP-ENV05-REG1]; EMRP participating countries within EURAMET; European Union; Marine Institute, Plymouth University; European Commission via a Marie Curie Career Integration Grant [PCIG-GA-2012-333143 DISCOSAT]; Natural Environment Research Council (NERC) [NE/H0004475/1]; Australian Research Council [FT130100037]; Antarctic Climate and Ecosystems Cooperative Research Centre; Natural Environment Research Council [NE/H004475/1] Funding Source: researchfish; NERC [NE/H004475/1] Funding Source: UKRI</t>
  </si>
  <si>
    <t>EMRP; EMRP participating countries within EURAMET; European Union(European Union (EU)); Marine Institute, Plymouth University; European Commission via a Marie Curie Career Integration Grant; Natural Environment Research Council (NERC)(UK Research &amp; Innovation (UKRI)Natural Environment Research Council (NERC)); Australian Research Council(Australian Research Council); Antarctic Climate and Ecosystems Cooperative Research Centre(Australian GovernmentDepartment of Industry, Innovation and ScienceCooperative Research Centres (CRC) Programme); Natural Environment Research Council(UK Research &amp; Innovation (UKRI)Natural Environment Research Council (NERC)); NERC(UK Research &amp; Innovation (UKRI)Natural Environment Research Council (NERC))</t>
  </si>
  <si>
    <t>The authors thank Dr. Robert Clough for helpful discussions on the Quality Assurance section. Dr Clough is funded by the EMRP via JRP-ENV05-REG1 (Metrology for ocean salinity and acidity). The EMRP is jointly funded by the EMRP participating countries within EURAMET and the European Union. P.J.W. acknowledges funding from the Marine Institute, Plymouth University. S.J.U. acknowledges funding from the European Commission via a Marie Curie Career Integration Grant (PCIG-GA-2012-333143 DISCOSAT). M.C.L. acknowledges funding from the Natural Environment Research Council (NERC) grant NE/H0004475/1. A.R.B. acknowledges funding from the Australian Research Council (FT130100037) and the Antarctic Climate and Ecosystems Cooperative Research Centre.</t>
  </si>
  <si>
    <t>0304-4203</t>
  </si>
  <si>
    <t>1872-7581</t>
  </si>
  <si>
    <t>MAR CHEM</t>
  </si>
  <si>
    <t>Mar. Chem.</t>
  </si>
  <si>
    <t>NOV 20</t>
  </si>
  <si>
    <t>10.1016/j.marchem.2014.08.009</t>
  </si>
  <si>
    <t>Chemistry, Multidisciplinary; Oceanography</t>
  </si>
  <si>
    <t>Chemistry; Oceanography</t>
  </si>
  <si>
    <t>AT6PE</t>
  </si>
  <si>
    <t>WOS:000345060500003</t>
  </si>
  <si>
    <t>Purcell, AM; Mikucki, JA; Achberger, AM; Alekhina, IA; Barbante, C; Christner, BC; Ghosh, D; Michaud, AB; Mitchell, AC; Priscu, JC; Scherer, R; Skidmore, ML; Vick-Majors, TJ</t>
  </si>
  <si>
    <t>Purcell, Alicia M.; Mikucki, Jill A.; Achberger, Amanda M.; Alekhina, Irina A.; Barbante, Carlo; Christner, Brent C.; Ghosh, Dhritiman; Michaud, Alexander B.; Mitchell, Andrew C.; Priscu, John C.; Scherer, Reed; Skidmore, Mark L.; Vick-Majors, Trista J.</t>
  </si>
  <si>
    <t>WISSARD Sci Team</t>
  </si>
  <si>
    <t>Microbial sulfur transformations in sediments from Subglacial Lake Whillans</t>
  </si>
  <si>
    <t>Antarctic subglacial aquatic environments; geomicrobiology; chemosynthesis; sulfur oxidation; sulfate reduction</t>
  </si>
  <si>
    <t>SULFATE-REDUCING BACTERIA; HAUT-GLACIER-DAROLLA; 16S RIBOSOMAL-RNA; SP NOV.; OXIDIZING BACTERIA; MOLECULAR ANALYSIS; WEST ANTARCTICA; GEN. NOV.; ANAEROBIC DEGRADATION; SULFITE REDUCTASE</t>
  </si>
  <si>
    <t>Diverse microbial assemblages inhabit subglacial aquatic environments. While few of these environments have been sampled, data reveal that subglacial organisms gain energy for growth from reduced minerals containing nitrogen, iron, and sulfur. Here we investigate the role of microbially mediated sulfur transformations in sediments from Subglacial Lake Whillans (SLW), Antarctica, by examining key genes involved in dissimilatory sulfur oxidation and reduction. The presence of sulfur transformation genes throughout the top 34 cm of SLW sediments changes with depth. SLW surficial sediments were dominated by genes related to known sulfur-oxidizing chemoautotrophs. Sequences encoding the adenosine-5'-phosphosulfate (APS) reductase gene, involved in both dissimilatory sulfate reduction and sulfur oxidation, were present in all samples and clustered into 16 distinct operational taxonomic units. The majority of APS reductase sequences (74%) clustered with known sulfur oxidizers including those within the Sideroxydans and Thiobacillus genera. Reverse-acting dissimilatory sulfite reductase (rDSR) and 16S rRNA gene sequences further support dominance of Sideroxydans and Thiobacillus phylotypes in the top 2 cm of SLW sediments. The SLW microbial community has the genetic potential for sulfate reduction which is supported by experimentally measured low rates (1.4 pmol cm(-3)d(-1)) of biologically mediated sulfate reduction and the presence of APS reductase and DSR gene sequences related to Desulfobacteraceae and Desulfotomaculum. Our results also infer the presence of sulfur oxidation, which can be a significant energetic pathway for chemosynthetic biosynthesis in SLW sediments. The water in SLW ultimately flows into the Ross Sea where intermediates from subglacial sulfur transformations can influence the flux of solutes to the Southern Ocean.</t>
  </si>
  <si>
    <t>[Purcell, Alicia M.; Mikucki, Jill A.; Ghosh, Dhritiman] Univ Tennessee, Dept Microbiol, Knoxville, TN 37996 USA; [Achberger, Amanda M.; Christner, Brent C.] Louisiana State Univ, Dept Biol Sci, Baton Rouge, LA 70803 USA; [Alekhina, Irina A.] Arctic &amp; Antarctic Res Inst, Climate &amp; Environm Res Lab, St Petersburg 199226, Russia; [Barbante, Carlo] CaFoscari Univ Venice, CNR, Inst Dynam Environm Proc, Venice, Italy; [Barbante, Carlo] CaFoscari Univ Venice, Dept Environm Sci Informat &amp; Stat, Venice, Italy; [Michaud, Alexander B.; Priscu, John C.; Vick-Majors, Trista J.] Montana State Univ, Dept Land Resources &amp; Environm Sci, Bozeman, MT 59717 USA; [Mitchell, Andrew C.] Aberystwyth Univ, Ceredigion, Wales; [Scherer, Reed] No Illinois Univ, Dept Geol &amp; Environm Sci, De Kalb, IL 60115 USA; [Skidmore, Mark L.] Montana State Univ, Dept Earth Sci, Bozeman, MT 59717 USA</t>
  </si>
  <si>
    <t>University of Tennessee System; University of Tennessee Knoxville; Louisiana State University System; Louisiana State University; Arctic &amp; Antarctic Research Institute; Consiglio Nazionale delle Ricerche (CNR); Istituto per la Dinamica dei Processi Ambientali (IDPA-CNR); Universita Ca Foscari Venezia; Universita Ca Foscari Venezia; Montana State University System; Montana State University Bozeman; Aberystwyth University; Northern Illinois University; Montana State University System; Montana State University Bozeman</t>
  </si>
  <si>
    <t>Mikucki, JA (corresponding author), Univ Tennessee, Dept Microbiol, M409 Walters Life Sci,1414 West Cumberland Ave, Knoxville, TN 37996 USA.</t>
  </si>
  <si>
    <t>jmikucki@utk.edu</t>
  </si>
  <si>
    <t>Michaud, Alex/AAC-4890-2020; Barbante, Carlo/B-3195-2011; Skidmore, Mark L/I-4317-2018; Vick-Majors, Trista/AAQ-6258-2020; Tulaczyk, Slawek/O-7375-2018; Alekhina, Irina/L-2163-2016</t>
  </si>
  <si>
    <t>Michaud, Alex/0000-0001-5714-8741; Vick-Majors, Trista/0000-0002-6868-4010; Tulaczyk, Slawek/0000-0002-9711-4332; Alekhina, Irina/0000-0001-9820-8675; Barbante, Carlo/0000-0003-4177-2288; Achberger, Amanda/0000-0001-5738-2255; Fricker, Helen Amanda/0000-0002-0921-1432</t>
  </si>
  <si>
    <t>National Science Foundation Office of Polar Programs (NSF-OPP) as part of the WISSARD Project [0838896, 0839059, 0838941, 0838933]; Directorate For Geosciences; Office of Polar Programs (OPP) [0839107] Funding Source: National Science Foundation; Division Of Polar Programs; Directorate For Geosciences [0838933] Funding Source: National Science Foundation; Office of Polar Programs (OPP); Directorate For Geosciences [0838896, 0839059, 0839142] Funding Source: National Science Foundation</t>
  </si>
  <si>
    <t>National Science Foundation Office of Polar Programs (NSF-OPP) as part of the WISSARD Project(National Science Foundation (NSF));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</si>
  <si>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research was supported by the National Science Foundation Office of Polar Programs (NSF-OPP grants 0838896 to Jill A. Mikucki, we are grateful to R. Virginia for assistance; 0839059 to Reed Scherer; 0838941 to Brent C. Christher; 0838933 to John C. Priscu) as part of the WISSARD Project. This research would not have been possible without a wide array of logistic and technical support at all stages of the project. We thank the Antarctic Support Contractor, in particular the traverse crews and the Crary Lab staff, Ken Borek Air, the University of Nebraska, Lincoln hot water drilling team, and the full WISSARD Project science team which includes: V. R Adkins, S. Anandakrishnan, G. Barcheck, L. Beem, A. Behar, M. Beitch, R. Bolsey, C. Branecky, S. Carter, K. Christianson, R. Edwards, A. Fisher, H. Fricker, N. Foley, B. Guthrie, T. Hodson, R. Jacobel, S. Kelley, K. Mankoff, E. McBryan, R. Powell, D. Sampson, J. Severinghaus, J. Sherve, M. Siegfried, and S. Tulaczyk. We would like to thank K. Lloyd for fruitful discussions related to this manuscript.</t>
  </si>
  <si>
    <t>NOV 19</t>
  </si>
  <si>
    <t>10.3389/fmicb.2014.00594</t>
  </si>
  <si>
    <t>AU6ZG</t>
  </si>
  <si>
    <t>WOS:000345749700001</t>
  </si>
  <si>
    <t>Menk, F; Kale, Z; Sciffer, M; Robinson, P; Waters, C; Grew, R; Clilverd, M; Mann, I</t>
  </si>
  <si>
    <t>Menk, Frederick; Kale, Zoe; Sciffer, Murray; Robinson, Peter; Waters, Colin; Grew, Russell; Clilverd, Mark; Mann, Ian</t>
  </si>
  <si>
    <t>Remote sensing the plasmasphere, plasmapause, plumes and other features using ground-based magnetometers</t>
  </si>
  <si>
    <t>JOURNAL OF SPACE WEATHER AND SPACE CLIMATE</t>
  </si>
  <si>
    <t>Magnetosphere (inner); Plasma waves; Space weather; Monitoring; Density</t>
  </si>
  <si>
    <t>FIELD LINE RESONANCES; GEOMAGNETIC-FIELD; ELECTRON-DENSITY; MAGNETIC-FIELDS; ART.; MODEL; MAGNETOSPHERE; PULSATIONS; DAYSIDE; CLUSTER</t>
  </si>
  <si>
    <t>The plasmapause is a highly dynamic boundary between different magnetospheric particle populations and convection regimes. Some of the most important space weather processes involve wave-particle interactions in this region, but wave properties may also be used to remote sense the plasmasphere and plasmapause, contributing to plasmasphere models. This paper discusses the use of existing ground magnetometer arrays for such remote sensing. Using case studies we illustrate measurement of plasmapause location, shape and movement during storms; refilling of flux tubes within and outside the plasmasphere; storm-time increase in heavy ion concentration near the plasmapause; and detection and mapping of density irregularities near the plasmapause, including drainage plumes, biteouts and bulges. We also use a 2D MHD model of wave propagation through the magnetosphere, incorporating a realistic ionosphere boundary and Alfven speed profile, to simulate ground array observations of power and cross-phase spectra, hence confirming the signatures of plumes and other density structures.</t>
  </si>
  <si>
    <t>[Menk, Frederick; Sciffer, Murray; Robinson, Peter; Waters, Colin; Grew, Russell] Univ Newcastle, Sch Math &amp; Phys Sci, Callaghan, NSW 2308, Australia; [Kale, Zoe; Mann, Ian] Univ Alberta, Dept Phys, Edmonton, AB T6G 2J1, Canada; [Clilverd, Mark] British Antarctic Survey, Cambridge CB3 0ET, England</t>
  </si>
  <si>
    <t>University of Newcastle; University of Alberta; UK Research &amp; Innovation (UKRI); Natural Environment Research Council (NERC); NERC British Antarctic Survey</t>
  </si>
  <si>
    <t>Menk, F (corresponding author), Univ Newcastle, Sch Math &amp; Phys Sci, Callaghan, NSW 2308, Australia.</t>
  </si>
  <si>
    <t>fred.menk@newcastle.edu.au</t>
  </si>
  <si>
    <t>Waters, Colin L/B-3086-2011; Sciffer, Murray D/B-3061-2011; Menk, Frederick/A-2640-2009</t>
  </si>
  <si>
    <t>Waters, Colin L/0000-0003-2121-6962; Menk, Frederick/0000-0002-1154-6223</t>
  </si>
  <si>
    <t>NERC Antarctic Funding Initiative; Australian Research Council [DP0559544]; NERC [bas0100023] Funding Source: UKRI; Natural Environment Research Council [bas0100023] Funding Source: researchfish; Australian Research Council [DP0559544] Funding Source: Australian Research Council</t>
  </si>
  <si>
    <t>NERC Antarctic Funding Initiative(UK Research &amp; Innovation (UKRI)Natural Environment Research Council (NERC)); Australian Research Council(Australian Research Council); NERC(UK Research &amp; Innovation (UKRI)Natural Environment Research Council (NERC)); Natural Environment Research Council(UK Research &amp; Innovation (UKRI)Natural Environment Research Council (NERC)); Australian Research Council(Australian Research Council)</t>
  </si>
  <si>
    <t>We thank all those involved in operating and providing data for the various instrument arrays. The IMAGE magnetometer array is operated by a multinational consortium headed by the Finnish Meteorological Institute, while SAMNET is operated by the Space Plasma Environment and Radio Science (SPEARS) group, Department of Physics, Lancaster University. The MEASURE magnetometer array is operated by Florida Institute of Technology and UCLA IGPP; the PI is M. Moldwin. Vernadksy magnetometer data were kindly supplied by G. Milinevski from the Ukranian Antarctic Center, while Rothera magnetometer and VLF data were obtained under the auspices of the NERC Antarctic Funding Initiative with logistic support from the British Antarctic Survey. RPI electron density data were supplied by Richard Denton, Phillip Webb, Jerry Goldstein, Jillian Redfern and Bodo Reinisch. IMAGE satellite EUV data were supplied by B. Sandel via the EUV web site at Arizona University. TEC tomographic data were kindly provided by E. Yizengaw of Boston College, having been obtained from the FedSat satellite developed and operated by the CRC for Satellite Systems under the Commonwealth of Australia Cooperative Research Centers Program. Aspects of this work were supported by the Australian Research Council through project no. DP0559544. FWM thanks the hospitality of the Department of Electronic Engineering at La Trobe University, Melbourne, during preparation of this report. The editor thanks Mark B. Moldwin and one anonymous referee for their assistance in evaluating this paper.</t>
  </si>
  <si>
    <t>2115-7251</t>
  </si>
  <si>
    <t>J SPACE WEATHER SPAC</t>
  </si>
  <si>
    <t>J. Space Weather Space Clim.</t>
  </si>
  <si>
    <t>NOV 18</t>
  </si>
  <si>
    <t>A34</t>
  </si>
  <si>
    <t>10.1051/swsc/2014030</t>
  </si>
  <si>
    <t>Astronomy &amp; Astrophysics; Geochemistry &amp; Geophysics; Meteorology &amp; Atmospheric Sciences</t>
  </si>
  <si>
    <t>AU8MY</t>
  </si>
  <si>
    <t>WOS:000345851600001</t>
  </si>
  <si>
    <t>Murphy, DJ; Alexander, SP; Klekociuk, AR; Love, PT; Vincent, RA</t>
  </si>
  <si>
    <t>Murphy, D. J.; Alexander, S. P.; Klekociuk, A. R.; Love, P. T.; Vincent, R. A.</t>
  </si>
  <si>
    <t>Radiosonde observations of gravity waves in the lower stratosphere over Davis, Antarctica</t>
  </si>
  <si>
    <t>gravity wave; stratosphere; Antarctica</t>
  </si>
  <si>
    <t>GENERAL-CIRCULATION; LOWER ATMOSPHERE; MOMENTUM FLUX; JET; PACKETS; MOTIONS</t>
  </si>
  <si>
    <t>Radiosonde observations made from Davis station, Antarctica, (68.6 degrees S, 78.0 degrees E) between 2001 and 2012 are used to compile a climatology of lower stratosphere inertial gravity wave characteristics. Wavelet analysis extracts single wave packets from the wind and temperature perturbations. Wavelet parameters, combined with linear gravity wave theory, allow for the derivation of a wide range of wave characteristics. Observational filtering associated with this analysis preferentially selects inertial gravity waves with vertical wavelengths less than 2-3 km. The vertical propagation statistics show strong temporal and height variations. The waves propagate close to the horizontal and are strongly advected by the background wind in the wintertime. Notably, around half of the waves observed in the stratosphere above Davis between early May and mid-October propagate downward. This feature is distributed over the observed stratospheric height range. Based on the similarity between the upward and downward propagating waves and on the vertical structure of the nonlinear balance residual in the polar winter stratosphere, it is concluded that a source due to imbalanced flow that is distributed across the winter lower stratosphere best explains the observations. Calculations of kinetic and potential energies and momentum fluxes highlight the potential for variations in results due to different analysis techniques.</t>
  </si>
  <si>
    <t>[Murphy, D. J.; Alexander, S. P.; Klekociuk, A. R.; Love, P. T.] Australian Antarctic Div, Dept Environm, Kingston, Tas, Australia; [Vincent, R. A.] Univ Adelaide, Dept Phys, Adelaide, SA, Australia</t>
  </si>
  <si>
    <t>Australian Antarctic Division; University of Adelaide</t>
  </si>
  <si>
    <t>Murphy, DJ (corresponding author), Australian Antarctic Div, Dept Environm, Kingston, Tas, Australia.</t>
  </si>
  <si>
    <t>damian.murphy@aad.gov.au</t>
  </si>
  <si>
    <t>Love, Peter/O-6421-2017; Vincent, Robert A/E-5450-2013; Klekociuk, Andrew/A-4498-2015</t>
  </si>
  <si>
    <t>Love, Peter/0000-0001-7840-0467; Vincent, Robert A/0000-0001-6559-6544; Murphy, Damian/0000-0003-1738-5560; Klekociuk, Andrew/0000-0003-3335-0034; Alexander, Simon/0000-0001-6823-8857</t>
  </si>
  <si>
    <t>Australian Antarctic Science [4025]</t>
  </si>
  <si>
    <t>Radiosonde data are archived by the Australian Bureau of Meteorology and are available on request from www.bom.gov.au. Analysis methods used to extract gravity wave parameters are described in the text, appendices, and in Tables 1-3. The authors would like to thank the many expeditioners from the Bureau of Meteorology for their tireless efforts in launching radiosondes in conditions that are often challenging. This research has been supported through Australian Antarctic Science project 4025.</t>
  </si>
  <si>
    <t>NOV 16</t>
  </si>
  <si>
    <t>10.1002/2014JD022448</t>
  </si>
  <si>
    <t>AU6EQ</t>
  </si>
  <si>
    <t>WOS:000345696600001</t>
  </si>
  <si>
    <t>Kosch, MJ; Vickers, H; Ogawa, Y; Senior, A; Blagoveshchenskaya, N</t>
  </si>
  <si>
    <t>Kosch, M. J.; Vickers, H.; Ogawa, Y.; Senior, A.; Blagoveshchenskaya, N.</t>
  </si>
  <si>
    <t>First observation of the anomalous electric field in the topside ionosphere by ionospheric modification over EISCAT</t>
  </si>
  <si>
    <t>ION-ACOUSTIC FLUCTUATIONS; OPTICAL-EMISSIONS; RADIO-WAVES; VOLUME DISTRIBUTION; AURORAL IONOSPHERE; PLASMA; RESISTIVITY; ENERGIZATION; DEPENDENCE; ACCELERATION</t>
  </si>
  <si>
    <t>We have developed an active ground-based technique to estimate the steady state field-aligned anomalous electric field (E*) in the topside ionosphere, up to similar to 600 km, using the European Incoherent Scatter (EISCAT) ionospheric modification facility and UHF incoherent scatter radar. When pumping the ionosphere with high-power high-frequency radio waves, the F region electron temperature is significantly raised, increasing the plasma pressure gradient in the topside ionosphere, resulting in ion upflow along the magnetic field line. We estimate E* using a modified ion momentum equation and the Mass Spectrometer Incoherent Scatter model. From an experiment on 23 October 2013, E* points downward with an average amplitude of similar to 1.6 mu V/m, becoming weaker at higher altitudes. The mechanism for anomalous resistivity is thought to be low-frequency ion acoustic waves generated by the pump-induced flux of suprathermal electrons. These high-energy electrons are produced near the pump wave reflection altitude by plasma resonance and also result in observed artificially induced optical emissions.</t>
  </si>
  <si>
    <t>[Kosch, M. J.; Ogawa, Y.] Natl Inst Polar Res, Tokyo, Japan; [Kosch, M. J.] South African Natl Space Agcy, Hermanus, South Africa; [Kosch, M. J.; Senior, A.] Univ Lancaster, Dept Phys, Lancaster, England; [Vickers, H.] Univ Tromso, Inst Phys &amp; Technol, Tromso, Norway; [Ogawa, Y.] Grad Univ Adv Studies, Sch Multidisciplinary Sci, Dept Polar Sci, Tokyo, Japan; [Blagoveshchenskaya, N.] Arctic &amp; Antarctic Res Inst, St Petersburg 199226, Russia</t>
  </si>
  <si>
    <t>Research Organization of Information &amp; Systems (ROIS); National Institute of Polar Research (NIPR) - Japan; Lancaster University; UiT The Arctic University of Tromso; Graduate University for Advanced Studies - Japan; Arctic &amp; Antarctic Research Institute</t>
  </si>
  <si>
    <t>Kosch, MJ (corresponding author), Natl Inst Polar Res, Tokyo, Japan.</t>
  </si>
  <si>
    <t>mkosch@sansa.org.za</t>
  </si>
  <si>
    <t>Blagoveshchenskaya, Nataly F./S-4342-2017; Blagoveshchenskaya, Nataly/AAE-4093-2022</t>
  </si>
  <si>
    <t>Blagoveshchenskaya, Nataly F./0000-0003-1752-3273; Blagoveshchenskaya, Nataly/0000-0003-1752-3273; Ogawa, Yasunobu/0000-0002-8118-4475; Kosch, Michael Jurgen/0000-0003-2846-3915</t>
  </si>
  <si>
    <t>China (CRIRP); Finland (SA); Japan (NIPR); Japan (STEL); Norway (NFR); Sweden (VR); United Kingdom (NERC); National Institute for Polar Research; NIPR</t>
  </si>
  <si>
    <t>China (CRIRP); Finland (SA); Japan (NIPR); Japan (STEL); Norway (NFR)(Research Council of Norway); Sweden (VR)(Swedish Research Council); United Kingdom (NERC)(UK Research &amp; Innovation (UKRI)Natural Environment Research Council (NERC)); National Institute for Polar Research; NIPR(National Institute of Polar Research (NIPR) - Japan)</t>
  </si>
  <si>
    <t>EISCAT is an international association supported by research organizations in China (CRIRP), Finland (SA), Japan (NIPR and STEL), Norway (NFR), Sweden (VR), and the United Kingdom (NERC). M.J.K. was supported by the National Institute for Polar Research in the form of a visiting professorship. The production of this paper was supported by a NIPR publication subsidy. The EISCAT data used in this paper are available through the Madrigal database (http://www.eiscat.se/madrigal/). The optical data are available from M.J.K. or A.S.</t>
  </si>
  <si>
    <t>10.1002/2014GL061679</t>
  </si>
  <si>
    <t>AU3MT</t>
  </si>
  <si>
    <t>WOS:000345518300003</t>
  </si>
  <si>
    <t>Marsay, CM; Sedwick, PN; Dinniman, MS; Barrett, PM; Mack, SL; McGillicuddy, DJ</t>
  </si>
  <si>
    <t>Marsay, C. M.; Sedwick, P. N.; Dinniman, M. S.; Barrett, P. M.; Mack, S. L.; McGillicuddy, D. J., Jr.</t>
  </si>
  <si>
    <t>Estimating the benthic efflux of dissolved iron on the Ross Sea continental shelf</t>
  </si>
  <si>
    <t>ANTARCTIC CIRCUMPOLAR CURRENT; VERTICAL EDDY DIFFUSION; SOUTHERN-OCEAN; PHYTOPLANKTON GROWTH; ICE; DISTRIBUTIONS; WATERS; FE; 170-DEGREES-W; PRODUCTIVITY</t>
  </si>
  <si>
    <t>Continental margin sediments provide a potentially large but poorly constrained source of dissolved iron (dFe) to the upper ocean. The Ross Sea continental shelf is one region where this benthic supply is thought to play a key role in regulating the magnitude of seasonal primary production. Here we present data collected during austral summer 2012 that reveal contrasting low surface (0.08 +/- 0.07 nM) and elevated near-seafloor (0.74 +/- 0.47 nM) dFe concentrations. Combining these observations with results from a high-resolution physical circulation model, we estimate dFe efflux of 5.8 x 10(7) mol yr(-1) from the deeper portions (&gt;400m) of the Ross Sea continental shelf; more than sufficient to account for the inferred winter reserve dFe inventory at the onset of the growing season. In addition, elevated dFe concentrations observed over shallower bathymetry suggest that such features provide additional inputs of dFe to the euphotic zone throughout the year.</t>
  </si>
  <si>
    <t>[Marsay, C. M.; Sedwick, P. N.] Old Dominion Univ, Norfolk, VA USA; [Dinniman, M. S.; Mack, S. L.] Old Dominion Univ, Ctr Coastal Phys Oceanog, Norfolk, VA USA; [Barrett, P. M.] Univ Washington, Sch Oceanog, Seattle, WA 98195 USA; [Barrett, P. M.] NOAA PMEL, Seattle, WA USA; [McGillicuddy, D. J., Jr.] Woods Hole Oceanog Inst, Woods Hole, MA 02543 USA</t>
  </si>
  <si>
    <t>Old Dominion University; Old Dominion University; University of Washington; University of Washington Seattle; National Oceanic Atmospheric Admin (NOAA) - USA; Woods Hole Oceanographic Institution</t>
  </si>
  <si>
    <t>Marsay, CM (corresponding author), Univ S Carolina, Dept Earth &amp; Ocean Sci, Columbia, SC 29208 USA.</t>
  </si>
  <si>
    <t>cmarsay@geol.sc.edu</t>
  </si>
  <si>
    <t>Barrett, Pamela Louise/JEZ-8259-2023; Mack, Stefanie L/I-1592-2019</t>
  </si>
  <si>
    <t>Mack, Stefanie L/0000-0002-0995-9678; Marsay, Christopher/0000-0003-1244-0444; Dinniman, Michael/0000-0001-7519-9278; McGillicuddy, Dennis/0000-0002-1437-2425; Sedwick, Peter/0000-0003-0663-8323; Barrett, Pamela/0000-0003-3405-5328</t>
  </si>
  <si>
    <t>NSF [ANT-0944174, ANT-0944165, OCE-0649505]; Office of Polar Programs (OPP); Directorate For Geosciences [0944174] Funding Source: National Science Foundation</t>
  </si>
  <si>
    <t>Data relating to figures are available as supporting information to this manuscript (Tables S1 and S2). This research was supported by NSF awards ANT-0944174 to P.N.S. and ANT-0944165 to D.J.M. P.M.B. was also funded by NSF OCE-0649505 to J. Resing. This is JISAO publication #2199 and PMEL publication #4118. The authors gratefully acknowledge Bettina Sohst, Candace Wall, and Jennifer Bennett for their assistance with collection, processing, and analysis of water samples. We also thank the other members of the PRISM science team, the officers and crew of the RVIB Nathaniel B. Palmer, and the support personnel of Raytheon Polar Services Company for their contributions to this work.</t>
  </si>
  <si>
    <t>10.1002/2014GL061684</t>
  </si>
  <si>
    <t>WOS:000345518300022</t>
  </si>
  <si>
    <t>Welker, C; Martius, O; Froidevaux, P; Reijmer, CH; Fischer, H</t>
  </si>
  <si>
    <t>Welker, Christoph; Martius, Olivia; Froidevaux, Paul; Reijmer, Carleen H.; Fischer, Hubertus</t>
  </si>
  <si>
    <t>A climatological analysis of high-precipitation events in Dronning Maud Land, Antarctica, and associated large-scale atmospheric conditions</t>
  </si>
  <si>
    <t>high precipitation in Dronning Maud Land; Antarctica; large-scale atmospheric conditions; ERA-Interim; AMPS; snow accumulation measurements from AWS; objective cyclone and blocking detection</t>
  </si>
  <si>
    <t>EAST ANTARCTICA; SPATIAL VARIABILITY; MOISTURE ORIGIN; DOME FUJI; ICE; ACCUMULATION; BLOCKING; STATION; SNOW; ASSIMILATION</t>
  </si>
  <si>
    <t>The link between high precipitation in Dronning Maud Land (DML), Antarctica, and the large-scale atmospheric circulation is investigated using ERA-Interim data for 1979-2009. High-precipitation events are analyzed at Halvfarryggen situated in the coastal region of DML and at Kohnen Station located in its interior. This study further includes a comprehensive comparison of high precipitation in ERA-Interim with precipitation data from the Antarctic Mesoscale Prediction System (AMPS) and snow accumulation measurements from automatic weather stations (AWSs), with the limitations of such a comparison being discussed. The ERA-Interim and AMPS precipitation data agree very well. However, the correspondence between high precipitation in ERA-Interim and high snow accumulation at the AWSs is relatively weak. High-precipitation events at both Halvfarryggen and Kohnen are typically associated with amplified upper level waves. This large-scale atmospheric flow pattern is preceded by the downstream development of a Rossby wave train from the eastern South Pacific several days before the precipitation event. At the surface, a cyclone located over the Weddell Sea is the main synoptic ingredient for high precipitation both at Halvfarryggen and at Kohnen. A blocking anticyclone downstream is not a requirement for high precipitation per se, but a larger share of blocking occurrences during the highest-precipitation days in DML suggests that these blocks strengthen the vertically integrated water vapor transport (IVT) into DML. A strong link between high precipitation and the IVT perpendicular to the local orography suggests that IVT could be used as a proxy for high precipitation, in particular over DML's interior.</t>
  </si>
  <si>
    <t>[Welker, Christoph; Martius, Olivia; Froidevaux, Paul; Fischer, Hubertus] Univ Bern, Oeschger Ctr Climate Change Res, Bern, Switzerland; [Welker, Christoph; Martius, Olivia; Froidevaux, Paul] Univ Bern, Inst Geog, Bern, Switzerland; [Reijmer, Carleen H.] Univ Utrecht, Inst Marine &amp; Atmospher Res Utrecht, Utrecht, Netherlands; [Fischer, Hubertus] Univ Bern, Inst Phys, Bern, Switzerland</t>
  </si>
  <si>
    <t>University of Bern; University of Bern; Utrecht University; University of Bern</t>
  </si>
  <si>
    <t>Welker, C (corresponding author), Univ Bern, Oeschger Ctr Climate Change Res, Bern, Switzerland.</t>
  </si>
  <si>
    <t>christoph.welker@giub.unibe.ch</t>
  </si>
  <si>
    <t>Reijmer, Carleen H/G-8736-2011; Fischer, Hubertus/A-1211-2014</t>
  </si>
  <si>
    <t>Reijmer, Carleen H/0000-0001-8299-3883; Martius, Olivia/0000-0002-8645-4702; Fischer, Hubertus/0000-0002-2787-4221; Welker, Christoph/0000-0002-6866-516X</t>
  </si>
  <si>
    <t>Netherlands Polar Program (NPP); Netherlands Organization of Scientific Research, Earth and Life Sciences section (NWO/ALW)</t>
  </si>
  <si>
    <t>Netherlands Polar Program (NPP); Netherlands Organization of Scientific Research, Earth and Life Sciences section (NWO/ALW)(Netherlands Organization for Scientific Research (NWO))</t>
  </si>
  <si>
    <t>We thank three anonymous reviewers for comments that improved the quality of the manuscript. We acknowledge MeteoSwiss and ECMWF for giving access to ERA-Interim data. We give thanks to Michael Sprenger and Stephan Pfahl for making the ERA-Interim cyclone and atmospheric blocking data available. AMPS Polar WRF data are available from http://polarmet.osu.edu/AMPS/(last access: November 2013). The IMAU AWSs were funded by the Netherlands Polar Program (NPP) and the Netherlands Organization of Scientific Research, Earth and Life Sciences section (NWO/ALW). We thank Paraskevi Giannakaki and Clement Chevalier for their assistance concerning some technical issues. Many thanks to Elisabeth Schlosser, Gerit Birnbaum, and Gert Konig-Langlo for valuable information and comments.</t>
  </si>
  <si>
    <t>10.1002/2014JD022259</t>
  </si>
  <si>
    <t>WOS:000345696600032</t>
  </si>
  <si>
    <t>Changing Antarctic waters could trigger steep rise in sea levels</t>
  </si>
  <si>
    <t>NOV 15</t>
  </si>
  <si>
    <t>AU3CG</t>
  </si>
  <si>
    <t>WOS:000345489800009</t>
  </si>
  <si>
    <t>Hornung, K; Kissel, J; Fischer, H; Mellado, EM; Kulikov, O; Hilchenbach, M; Krüger, H; Engrand, C; Langevin, Y; Rossi, M; Krueger, FR</t>
  </si>
  <si>
    <t>Hornung, Klaus; Kissel, Jochen; Fischer, Henning; Mellado, Eva Maria; Kulikov, Oleg; Hilchenbach, Martin; Krueger, Harald; Engrand, Cecile; Langevin, Yves; Rossi, Massimiliano; Krueger, Franz R.</t>
  </si>
  <si>
    <t>Collecting cometary dust particles on metal blacks with the COSIMA instrument onboard ROSETTA</t>
  </si>
  <si>
    <t>Cometary dust; Metal blacks; Collection efficiency; Rosetta mission</t>
  </si>
  <si>
    <t>ANTARCTIC SNOW; MICROMETEORITES; EVOLUTION</t>
  </si>
  <si>
    <t>After a brief review of the instrument development and materials selection for collecting cometary dust in the vicinity of comet 67/P Churyumov-Gerasimenko we focus on laboratory verification for the capability of metal black targets to decelerate and capture dust particles (velocities in the order of 100 m/s; sizes of some 10 mu m). The results indicate that particles between 10 and 100 mu m size can be collected with high probability. Two basic mechanisms of energy dissipation upon impact could be identified: By internal friction within a highly structured dust and within the black's nanostructure. In addition to the actual ROSETTA mission the data presented here might have a more general relevance for future, similar in-situ investigations. (C) 2014 Elsevier Ltd. All rights reserved.</t>
  </si>
  <si>
    <t>[Hornung, Klaus; Mellado, Eva Maria; Kulikov, Oleg; Rossi, Massimiliano] Univ Bundeswehr Munchen, Dept Aerosp Engn, Neubiberg, Germany; [Kissel, Jochen; Fischer, Henning; Hilchenbach, Martin; Krueger, Harald] Max Planck Inst Solar Syst Res, D-37077 Gottingen, Germany; [Engrand, Cecile] Ctr Spectrometrie Nucl &amp; Spectrometrie Masse CSNS, F-91405 Orsay, France; [Langevin, Yves] Fac Sci Orsay, Inst Astrophys, F-91405 Orsay, France</t>
  </si>
  <si>
    <t>Bundeswehr University Munich; Max Planck Society; Universite Paris Saclay; Sorbonne Universite; Universite Paris Saclay</t>
  </si>
  <si>
    <t>Hornung, K (corresponding author), Univ Bundeswehr Munchen, Dept Aerosp Engn, Neubiberg, Germany.</t>
  </si>
  <si>
    <t>Klaus.hornung@unibw.de</t>
  </si>
  <si>
    <t>Rossi, Massimiliano/D-8538-2018</t>
  </si>
  <si>
    <t>Rossi, Massimiliano/0000-0002-6579-7132; Fischer, Henning/0000-0002-2407-7227</t>
  </si>
  <si>
    <t>DLR [50 QP 1302]</t>
  </si>
  <si>
    <t>DLR(Helmholtz AssociationGerman Aerospace Centre (DLR))</t>
  </si>
  <si>
    <t>Valuable and continuous support came from Hans-Joachim Gudladt, Jurgen Bar, Karl-Christian Thienel and Wolfgang Saur UniBw in electron microscopy. Ludwig Kassecker, Hans Meier UniBw and Marco Strowitzki MPS Lindau contributed with enthusiasm to mechanics and electronics. The present work has been supported by DLR under Grant Nr. 50 QP 1302.</t>
  </si>
  <si>
    <t>10.1016/j.pss.2014.08.011</t>
  </si>
  <si>
    <t>AU2UD</t>
  </si>
  <si>
    <t>WOS:000345472000027</t>
  </si>
  <si>
    <t>Rudraswami, NG; Prasad, MS; Babu, EVSSK; Kumar, TV</t>
  </si>
  <si>
    <t>Rudraswami, N. G.; Prasad, M. Shyam; Babu, E. V. S. S. K.; Kumar, T. Vijaya</t>
  </si>
  <si>
    <t>Chemistry and petrology of Fe-Ni beads from different types of cosmic spherules: Implication for precursors</t>
  </si>
  <si>
    <t>DEEP-SEA SEDIMENTS; METAL-RICH ASSEMBLAGES; PLATINUM-GROUP NUGGETS; ATMOSPHERIC ENTRY; ANTARCTIC MICROMETEORITES; INTERPLANETARY DUST; IRON-METEORITES; ACCRETION RATE; CHEMICAL FRACTIONATIONS; CARBONACEOUS CHONDRITES</t>
  </si>
  <si>
    <t>Fe-Ni beads are observed to occur in all three (Stony, Glass, Iron) types of cosmic spherules collected from deep sea sediments of the Indian Ocean. Fe-Ni beads in cosmic spherules can provide insights for understanding metal segregation mechanisms and their refractory metal element (RME: Re, Os, W, Ir, Ru, Mo, Pt, Rh including Pd) compositions can help ascertain their precursor meteorites. We measured RME compositions of 55 Fe-Ni beads using LA-ICP-MS in all three basic types of cosmic spherules selected after examining similar to 2000 cosmic spherules. The RMEs of Fe-Ni beads provide unique information on formation and differentiation during atmospheric entry. The variability in the concentration of the RMEs depends on the initial mass of the cosmic spherules, volatility, temperature attained and efficiency in metal segregation during entry. The CI chondrite and Os normalized RME compositions of the beads display a pattern that is close to CI chondritic composition. The presence of Pd, a non-refractory metal having condensation temperature similar to Fe, in Fe-Ni beads of all types of cosmic spherules indicates that the heating undergone was below its vaporization temperature. Not all parent bodies lead to the formation of beads, the precursor needs to exceed a certain minimum size and temperature to facilitate the metal to get segregated into beads. The minimum size of a parent particle that could enclose a Fe-Ni bead is estimated to have a size similar to 1 mm. This places constraints on the sizes of materials that are ablated during entry, and the accompanying mass loss during entry. Our study further points out that all the three basic types of cosmic spherules have a chondritic origin based on their RME distribution patterns. Only metal-rich carbonaceous chondrites contain the required quantities of metal for the formation of Fe-Ni beads during atmospheric entry and during this process the RMEs are also efficiently segregated into these beads. (C) 2014 Elsevier Ltd. All rights reserved.</t>
  </si>
  <si>
    <t>[Rudraswami, N. G.; Prasad, M. Shyam] CSIR, Natl Inst Oceanog, Panaji 403004, Goa, India; [Babu, E. V. S. S. K.; Kumar, T. Vijaya] CSIR, Natl Geophys Res Inst, Hyderabad 500007, Andhra Pradesh, India</t>
  </si>
  <si>
    <t>Council of Scientific &amp; Industrial Research (CSIR) - India; CSIR - National Institute of Oceanography (NIO); Council of Scientific &amp; Industrial Research (CSIR) - India; CSIR - National Geophysical Research Institute (NGRI)</t>
  </si>
  <si>
    <t>Rudraswami, NG (corresponding author), CSIR, Natl Inst Oceanog, Panaji 403004, Goa, India.</t>
  </si>
  <si>
    <t>rudra@nio.org</t>
  </si>
  <si>
    <t>Elapavalooru, Babu/F-3401-2012</t>
  </si>
  <si>
    <t>Elapavalooru, Babu/0000-0002-3474-8864</t>
  </si>
  <si>
    <t>CSIR XII Plan; CSIR XII FYP Project [INDEX WP-2.1, MLP-6513-28-EVB]</t>
  </si>
  <si>
    <t>CSIR XII Plan; CSIR XII FYP Project</t>
  </si>
  <si>
    <t>The authors (NGR and MSP) are grateful to CSIR XII Plan funded Project GEOSINKS and Physical Research Laboratory, Ahmedabad, for the sanction of the PLANEX project on micrometeorites. We are indebted to Don Brownlee and an anonymous reviewer for not only their incisive comments and suggestions but also for the painstaking and minute corrections because of which our manuscript benefitted considerably. We are thankful to Vijay Khedekar for his help in EPMA analyses and to Samena Balgar for the help in sample preparation. E. V. S. S. K. B. and T. V. K. acknowledge the financial support from the CSIR XII FYP Project INDEX WP-2.1 and MLP-6513-28-EVB. This is NIO's contribution No. 5654.</t>
  </si>
  <si>
    <t>10.1016/j.gca.2014.09.029</t>
  </si>
  <si>
    <t>AT4XO</t>
  </si>
  <si>
    <t>WOS:000344945800009</t>
  </si>
  <si>
    <t>Fisher, DA; Lacelle, D</t>
  </si>
  <si>
    <t>Fisher, David Andrew; Lacelle, Denis</t>
  </si>
  <si>
    <t>A model for co-isotopic signatures of evolving ground ice in the cold dry environments of Earth and Mars</t>
  </si>
  <si>
    <t>ICARUS</t>
  </si>
  <si>
    <t>Mars; Earth; Ices; Mars polar caps</t>
  </si>
  <si>
    <t>PHOENIX LANDING SITE; MARTIAN ATMOSPHERE; UNIVERSITY VALLEY; STABLE-ISOTOPES; SURFACE SNOW; NEAR-SURFACE; O-18 RECORD; WATER; ANTARCTICA; PERMAFROST</t>
  </si>
  <si>
    <t>The basics of the model (REGO) are summarized including diffusive water vapor transport, ice content, adsorption and the isotopic ratios of the various water species. Inclusion of a temperature and stress-strain solution is also described as are the effects of cracking when the tensile breaking strengths are exceeded. Cracking is viewed as a multi-scale phenomena, whereby the larger cracks are produced by chaining together smaller ones. After some validation, the model is applied to the upper University Valley (Antarctic Dry Valleys) data and to the Phoenix landing site at lat. 69N on Mars. For the University Valley, the model when forced by measured diurnal temperature cycles and known relative humidity reproduces some of the complex the ice content and isotope structure found in the upper University Valley ground ice cores. The model takes a few hundred years to fill the pores just under the ice table. The excess ice observed in the University Valley cores can be produced by thermal cracking combined with the diurnal temperature cycle. Time taken to achieve the observed excess ice content is of order 10(4) years. There is limited subsurface data for the Phoenix site, but there are measured ice table depths, surface thermal properties and Met variables. There is enough to do diurnal and seasonal runs of the REGO model. As with the University Valley, the upper few tens of centimeters icing are controlled by the diurnal temperatures, largely in the warmer part of the year. The observed ubiquitous pore full ice right at the ice table could be produced from a dry soil in about 10(3) a and the nearly pure ice patches could be produced by the cracking-diffusion mechanism in about million years, if shear stresses are included. Emplacement of ice down to similar to 10 m is possible using the seasonal temperature cycle and cracking. Excess ice in the upper meter could produced by the model in about 6 x 10(6) a if the temperature at the Phoenix site was 10-20 deg warmer. (C) 2014 Elsevier Inc. All rights reserved.</t>
  </si>
  <si>
    <t>[Fisher, David Andrew] Univ Ottawa, Dept Earth Sci, Ottawa, ON, Canada; [Lacelle, Denis] Univ Ottawa, Dept Geog, Ottawa, ON K1N 6N5, Canada</t>
  </si>
  <si>
    <t>University of Ottawa; University of Ottawa</t>
  </si>
  <si>
    <t>Fisher, DA (corresponding author), Univ Ottawa, Dept Earth Sci, Ottawa, ON, Canada.</t>
  </si>
  <si>
    <t>dafisher2@sympatico.ca; denis.lacelle@gmail.com</t>
  </si>
  <si>
    <t>Lacelle, Denis/0000-0002-6691-8717</t>
  </si>
  <si>
    <t>NSF; NASA; NSERC</t>
  </si>
  <si>
    <t>NSF(National Science Foundation (NSF)); NASA(National Aeronautics &amp; Space Administration (NASA)); NSERC(Natural Sciences and Engineering Research Council of Canada (NSERC))</t>
  </si>
  <si>
    <t>We thank Chris McKay, Alfonso Davila and Wayne Pollard for their help in doing the Dry Valley field work and some of the laboratory analyses. Funding aid from NSF, NASA and NSERC is also gratefully acknowledged.</t>
  </si>
  <si>
    <t>0019-1035</t>
  </si>
  <si>
    <t>1090-2643</t>
  </si>
  <si>
    <t>Icarus</t>
  </si>
  <si>
    <t>10.1016/j.icarus.2014.08.009</t>
  </si>
  <si>
    <t>AT0OO</t>
  </si>
  <si>
    <t>WOS:000344635400035</t>
  </si>
  <si>
    <t>Tian, J; Ma, WT; Lyle, MW; Shackford, JK</t>
  </si>
  <si>
    <t>Tian, Jun; Ma, Wentao; Lyle, Mitchell W.; Shackford, Julia K.</t>
  </si>
  <si>
    <t>Synchronous mid-Miocene upper and deep oceanic δ13C changes in the east equatorial Pacific linked to ocean cooling and ice sheet expansion</t>
  </si>
  <si>
    <t>ocean carbon excursion; middle Miocene; ocean cooling; east Antarctic ice sheet expansion</t>
  </si>
  <si>
    <t>CARBON-DIOXIDE; CLIMATE; EVOLUTION; RECORD; CIRCULATION; TRANSITION; OXYGEN; ONSET</t>
  </si>
  <si>
    <t>We present mid-Miocene (similar to 12.0-16.0 Ma) high-resolution (similar to 3.8 kyr) deep thermocline planktonic foraminiferal delta O-18 and delta C-13 records at IODP Site U1337 from the eastern equatorial Pacific. The benthic and planktonic delta O-18 records of Site U1337 have a similar long-term cooling trend, but display obvious amplitude differences of glacial/interglacial cycles after 13.9 Ma. Planktonic delta O-18 cycles are usually larger than 1.0 parts per thousand, nearly 2 times those of the benthic delta O-18. The post-13.9 Ma change is probably caused by intensified upwelling along with ocean cooling, but may include upper ocean circulation changes. Both the benthic and planktonic delta C-13 records at Site U1337 reveal marked 400-kyr carbon isotope cycles during the MMCO (Middle Miocene Climate Optimum) with a trend toward lower delta C-13 from 16.0 Ma to 12.0 Ma. The similarity in response between surface and deep carbon isotopes indicates that the mid-Miocene carbon excursions in the east equatorial Pacific involved the whole ocean basin water column and thus are a global signal. Box model simulations reveal that the long eccentricity (400 kyr) paced carbon inputs from weathering changed the burial ratio of carbonates to organic carbon and helped to produce the significant 400-kyr cycles in oceanic delta C-13. The increased weathering of carbonate, silicate and kerogen rocks are the major factors controlling the long-term decrease in oceanic delta C-13 after 16.0 Ma. (C) 2014 Elsevier B.V. All rights reserved.</t>
  </si>
  <si>
    <t>[Tian, Jun; Ma, Wentao] Tongji Univ, State Key Lab Marine Geol, Shanghai 200092, Peoples R China; [Lyle, Mitchell W.; Shackford, Julia K.] Texas A&amp;M Univ, Dept Oceanog, College Stn, TX 77840 USA</t>
  </si>
  <si>
    <t>Tongji University; Texas A&amp;M University System; Texas A&amp;M University College Station</t>
  </si>
  <si>
    <t>Tian, J (corresponding author), Tongji Univ, State Key Lab Marine Geol, Shanghai 200092, Peoples R China.</t>
  </si>
  <si>
    <t>tianjun@tongji.edu.cn</t>
  </si>
  <si>
    <t>NSFC [91128208]; Shanghai Shu Guang Program [11SG24]; Shanghai Human Development Fund [201336]; State Key Laboratory of Marine Geology [MG20130201]; NSF [OCE-0962184]; Directorate For Geosciences; Division Of Ocean Sciences [0962184] Funding Source: National Science Foundation</t>
  </si>
  <si>
    <t>NSFC(National Natural Science Foundation of China (NSFC)); Shanghai Shu Guang Program; Shanghai Human Development Fund; State Key Laboratory of Marine Geology; NSF(National Science Foundation (NSF)); Directorate For Geosciences; Division Of Ocean Sciences(National Science Foundation (NSF)NSF - Directorate for Geosciences (GEO))</t>
  </si>
  <si>
    <t>This research used samples provided by the Integrated Ocean Drilling Program (IODP). Funding for this research was provided by the NSFC (Grant No. 91128208), Shanghai Shu Guang Program (11SG24), Shanghai Human Development Fund (201336), and State Key Laboratory of Marine Geology (MG20130201). Lyle and Shackford were supported on NSF grant OCE-0962184.</t>
  </si>
  <si>
    <t>10.1016/j.epsl.2014.09.013</t>
  </si>
  <si>
    <t>AS3YO</t>
  </si>
  <si>
    <t>WOS:000344211200008</t>
  </si>
  <si>
    <t>Obrochta, SP; Crowley, TJ; Channell, JET; Hodell, DA; Baker, PA; Seki, A; Yokoyama, Y</t>
  </si>
  <si>
    <t>Obrochta, Stephen P.; Crowley, Thomas J.; Channell, James E. T.; Hodell, David A.; Baker, Paul A.; Seki, Arisa; Yokoyama, Yusuke</t>
  </si>
  <si>
    <t>Climate variability and ice-sheet dynamics during the last three glaciations</t>
  </si>
  <si>
    <t>insolation; IRD; Heinrich Event; MIS 6; MIS 8; AMOC</t>
  </si>
  <si>
    <t>MILLENNIAL TIME SCALES; NORTH-ATLANTIC SEDIMENTS; HEINRICH EVENTS; SEA-LEVEL; IBERIAN MARGIN; INTERGLACIAL PERIOD; CHRONOLOGY AICC2012; ICEBERG DISCHARGES; CORE CHRONOLOGY; ATMOSPHERIC CO2</t>
  </si>
  <si>
    <t>A composite North Atlantic record from DSDP Site 609 and IODP Site U1308 spans the past 300,000 years and shows that variability within the penultimate glaciation differed substantially from that of the surrounding two glaciations. Hematite-stained grains exhibit similar repetitive down-core variations within the Marine Isotope Stage (MIS) 8 and 4-2 intervals, but little cyclic variability within the MIS 6 section. There is also no petrologic evidence, in terms of detrital carbonate-rich (Heinrich) layers, for surging of the Laurentide Ice Sheet through the Hudson Strait during MIS 6. Rather, very high background concentration of iceberg-rafted debris (IRD) indicates near continuous glacial meltwater input that likely increased thermohaline disruption sensitivity to relatively weak forcing events, such as expanded sea ice over deepwater formation sites. Altered (sub)tropical precipitation patterns and Antarctic warming during high orbital precession and low 65 degrees N summer insolation appear related to high abundance of Icelandic glass shards and southward sea ice expansion. Differing European and North American ice sheet configurations, perhaps aided by larger variations in eccentricity leading to cooler summers, may have contributed to the relative stability of the Laurentide Ice Sheet in the Hudson Strait region during MIS 6. (C) 2014 The Authors. Published by Elsevier B.V. This is an open access article under the CC BY license (http://creativecommons.org/licenses/by/3.0/).</t>
  </si>
  <si>
    <t>[Obrochta, Stephen P.; Seki, Arisa; Yokoyama, Yusuke] Univ Tokyo, Atmosphere &amp; Ocean Res Inst, Tokyo 2778564, Japan; [Crowley, Thomas J.] Braeheads Inst, Glasgow EH40 3DH, Lanark, Scotland; [Channell, James E. T.] Univ Florida, Dept Geol Sci, Gainesville, FL 32611 USA; [Hodell, David A.] Univ Cambridge, Dept Earth Sci, Cambridge CB2 3EQ, England; [Baker, Paul A.] Duke Univ, Div Earth &amp; Ocean Sci, Durham, NC 27708 USA</t>
  </si>
  <si>
    <t>University of Tokyo; State University System of Florida; University of Florida; University of Cambridge; Duke University</t>
  </si>
  <si>
    <t>Obrochta, SP (corresponding author), Univ Tokyo, Atmosphere &amp; Ocean Res Inst, Tokyo 2778564, Japan.</t>
  </si>
  <si>
    <t>obrochta@aori.u-tokyo.ac.jp</t>
  </si>
  <si>
    <t>Hodell, David/0000-0001-8537-1588; Obrochta, Stephen/0000-0001-9632-0372</t>
  </si>
  <si>
    <t>JOI/USSSP; JSPS Kakenhi [22101005, 26247085]; NEXT program [GR031]; NERC [NE/H009930/1]; Grants-in-Aid for Scientific Research [22101005, 26247085] Funding Source: KAKEN; Directorate For Geosciences; Division Of Earth Sciences [1014506] Funding Source: National Science Foundation; Directorate For Geosciences; Division Of Ocean Sciences [0850413] Funding Source: National Science Foundation; Natural Environment Research Council [NE/H009930/1] Funding Source: researchfish; NERC [NE/H009930/1] Funding Source: UKRI</t>
  </si>
  <si>
    <t>JOI/USSSP; JSPS Kakenhi(Ministry of Education, Culture, Sports, Science and Technology, Japan (MEXT)Japan Society for the Promotion of ScienceGrants-in-Aid for Scientific Research (KAKENHI)); NEXT program(Ministry of Education, Culture, Sports, Science and Technology, Japan (MEXT)Japan Society for the Promotion of Science); NERC(UK Research &amp; Innovation (UKRI)Natural Environment Research Council (NERC)); Grants-in-Aid for Scientific Research(Ministry of Education, Culture, Sports, Science and Technology, Japan (MEXT)Japan Society for the Promotion of ScienceGrants-in-Aid for Scientific Research (KAKENHI)); Directorate For Geosciences; Division Of Earth Sciences(National Science Foundation (NSF)NSF - Directorate for Geosciences (GEO));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</si>
  <si>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This work is dedicated to the late Tom Crowley, whose 40-yr career spanned multiple periods and time scales, from snowball earth, CLIMAP, the last 2000 yr, and most recently, the last 200 (Crowley et al., 2014). Tom was keen to test the idea that the last glaciation is representative of Late Pleistocene glaciations in general, and this work is a contribution to that goal. We thank Rusty Lotti-Bond and Peter Almasi for HSG procedural information, as well as Tokiyuki Sato and Makoto Yamasaki for providing lab space and support. Bruce Corliss, Gary Dwyer, Ayako Abe-Ouchi, Henning Bauch, Axel Timmermann, Peter Abbott, and Azusa Kuroyanagi contributed thoughtful discussion. N. Dobuchi, T. Aze, K. Tsuzuki, M. Greaves, and J. Day provided laboratory assistance. Detailed comments from Ian Bailey and an anonymous reviewer greatly improved this work. We finally thank editor Jean Lynch-Stieglitz. Financial support was provided by JOI/USSSP; JSPS Kakenhi 22101005 and 26247085; the NEXT program GR031; and NERC Grant Number NE/H009930/1. Data included in this manuscript are available at http://dx.doi.org/10.1594/PANGAEA.834640.</t>
  </si>
  <si>
    <t>10.1016/j.epsl.2014.09.004</t>
  </si>
  <si>
    <t>Green Submitted, hybrid, Green Published</t>
  </si>
  <si>
    <t>WOS:000344211200020</t>
  </si>
  <si>
    <t>Court, RW; Sephton, MA</t>
  </si>
  <si>
    <t>Court, Richard W.; Sephton, Mark A.</t>
  </si>
  <si>
    <t>New estimates of the production of volatile gases from ablating carbonaceous micrometeoroids at Earth and Mars during an E-belt-type Late Heavy Bombardment</t>
  </si>
  <si>
    <t>X-RAY-DIFFRACTION; HYPERVELOCITY IMPACT DISRUPTION; INTERPLANETARY DUST PARTICLES; ATMOSPHERIC ENTRY; AQUEOUS ALTERATION; ORGANIC-MATTER; CI CHONDRITES; MODAL MINERALOGY; ANTARCTIC MICROMETEORITES; THERMAL TRANSFORMATION</t>
  </si>
  <si>
    <t>Heating and ablation of micrometeoroids during atmospheric entry yields volatile gases capable of altering atmospheric chemistry, surface climate and habitability. We have subjected powdered samples of the carbonaceous chondrites Orgueil (CI1), ALH 88045 (CM1), Cold Bokkeveld (CM2), Murchison (CM2) and Mokoia (CV3) to stepped pyrolysis-Fourier transform infrared spectroscopy to simulate the atmospheric entry of micrometeoroids and to quantify the yields of water, carbon dioxide and sulphur dioxide at various temperatures, offering insights into the nature of their source phases. We have incorporated these data into the recently-developed E-Belt model of the Late Heavy Bombardment (LHB) to estimate the production of volatiles from infalling micrometeoroids at Earth and Mars around four billion years ago. At the present day, the 4 (+/- 2) x 10(10) g yr(-1) of micrometeoroids arriving at Earth yield around 2.5 (+/- 1.3) x 10(9) g yr(-1) of indigenous water, 4.1 (+/- 2.2) x 10(9) g yr(-1) of total water, 1.9 (+/- 1.0) x 10(9) g yr(-1) of carbon dioxide and about 1.1 (+/- 0.6) x 10(9) g yr(-1) of sulphur dioxide, where indigenous water exclude water evolved at the initial pyrolysis step of 250 degrees C. For Mars, the infall of 6.8 x 10 9 g yr(-1) of micrometeoroids yields 3.6 (+/- 1.9) x 10(8) g yr(-1) of indigenous water, 6.4 (+/- 3.4) x 10(8) g yr(-1) of total water, 2.4 (+/- 1.3) x 10(8) g yr(-1) of carbon dioxide and 1.5 (+/- 0.8) x 10(8) g yr(-1) of sulphur dioxide. The LHB is associated with micrometeoroidal infall masses of 1.3 (+/- 0.8) x 10(22) g at Earth and 2.3 (+/- 1.3) x 10(21) g at Mars. For Earth, this mass is estimated to have produced 8.3 (+/- 4.9) x 10(20) g of indigenous water, 1.4 (+/- 0.8) x 10(21) g of total water, 6.3 (+/- 3.7) x 10(20) g of carbon dioxide and 3.8 (+/- 2.2) x 10(20) g of sulphur dioxide, with production rates in the peak 50 Myr of the LHB estimated at 5.1 (+/- 3.1) x 10(12) g yr(-1) of indigenous water, 8.6 (+/- 5.1) x 10(12) g yr(-1) of total water, 3.9 (+/- 2.3) x 10(12) g yr(-1) of carbon dioxide and 2.3 (perpendicular to 1.4) x 10(12) g yr(-1) of sulphur dioxide. For Mars, total 4.1-3.7 Ga production of 1.3 (perpendicular to 0.8) x 10(20) g of indigenous water, 2.2 (+/- 1.3) x 10(20) g of total water, 9.3 (+/- 5.5) x 10(19) g of carbon dioxide and around 5.8 (+/- 3.4) x 10(19) g of sulphur dioxide is estimated, with peak 50 Myr rates of 8.2 (+/- 4.8) x 10(11) g yr(-1) of indigenous water, 1.4 (+/- 0.8) x 10(12) g yr(-1) of total water, 5.8 (+/- 3.5) x 10(11) g yr(-1) of carbon dioxide and 3.6 (perpendicular to 2.1) x 10(11) g yr(-1) of sulphur dioxide. The errors in these estimates for the present-day rates are dominated by perpendicular to 50% uncertainty in the LDEF figure of 4 (+/- 2) x 10(10) g yr(-1) of micrometeoroids while the errors for the ancient rates are dominated by the similarly large uncertainty regarding the mass ratio of micrometeoroids to asteroids. These errors indicate the need for improved understandings of infall rates and better models of solar system evolution. Current models of climate for early Earth and Mars focus on volcanic outgassing for greenhouse gases and aerosols, but pay less attention to extraterrestrial sources. Our data quantify an additional exogenous source of volatiles that augments the endogenous production. (C) 2014 Elsevier Ltd. All rights reserved.</t>
  </si>
  <si>
    <t>[Court, Richard W.; Sephton, Mark A.] Univ London Imperial Coll Sci Technol &amp; Med, Impacts &amp; Astromat Res Ctr, Dept Earth Sci &amp; Engn, London SW7 2AZ, England</t>
  </si>
  <si>
    <t>Imperial College London; Natural History Museum London</t>
  </si>
  <si>
    <t>Court, RW (corresponding author), Univ London Imperial Coll Sci Technol &amp; Med, Impacts &amp; Astromat Res Ctr, Dept Earth Sci &amp; Engn, London SW7 2AZ, England.</t>
  </si>
  <si>
    <t>r.court@imperial.ac.uk</t>
  </si>
  <si>
    <t>Sephton, Mark/0000-0002-2190-5402</t>
  </si>
  <si>
    <t>UK Space Agency Aurora Fellowship; STFC [PP/D002389/1, ST/K000551/1] Funding Source: UKRI; Science and Technology Facilities Council [ST/K000551/1, PP/D002389/1] Funding Source: researchfish; UK Space Agency [ST/L002094/1] Funding Source: researchfish</t>
  </si>
  <si>
    <t>UK Space Agency Aurora Fellowship; STFC(UK Research &amp; Innovation (UKRI)Science &amp; Technology Facilities Council (STFC)); Science and Technology Facilities Council(UK Research &amp; Innovation (UKRI)Science &amp; Technology Facilities Council (STFC)); UK Space Agency</t>
  </si>
  <si>
    <t>This work was supported by a UK Space Agency Aurora Fellowship. We would like to thank Dr Evelyn Furi and two anonymous reviewers whose astute comments and advice have greatly improved this manuscript.</t>
  </si>
  <si>
    <t>10.1016/j.gca.2014.09.010</t>
  </si>
  <si>
    <t>WOS:000344945800011</t>
  </si>
  <si>
    <t>Mink, S; López-Martínez, J; Maestro, A; Garrote, J; Ortega, JA; Serrano, E; Durán, JJ; Schmid, T</t>
  </si>
  <si>
    <t>Mink, Sandra; Lopez-Martinez, Jeronimo; Maestro, Adolfo; Garrote, Julio; Ortega, Jose A.; Serrano, Enrique; Duran, Juan Jose; Schmid, Thomas</t>
  </si>
  <si>
    <t>Insights into deglaciation of the largest ice-free area in the South Shetland Islands (Antarctica) from quantitative analysis of the drainage system</t>
  </si>
  <si>
    <t>GEOMORPHOLOGY</t>
  </si>
  <si>
    <t>Glacial geomorphology; Fluvial; Relief evolution; Permafrost; Quaternary; Byers Peninsula</t>
  </si>
  <si>
    <t>BYERS PENINSULA; MISSISSIPPI EMBAYMENT; LIVINGSTON ISLAND; BASIN; DENSITY; CLIMATE; DEFORMATION; TECTONICS; EVOLUTION; SNOW</t>
  </si>
  <si>
    <t>A quantitative geomorphic analysis of the drainage system on Byers Peninsula, Livingston Island, has been carried out in order to study the relief evolution, glacial history and possible neotectonic influence on the largest ice-free area of the South Shetlands archipelago. Aerial photographs, SAR data from RADARSAT-2 satellite, field work, a digital elevation model and GIS spatial analysis have been used to identify, map and study the existing drainage basins. A series of morphometric parameters have been studied in 30 selected basins in order to characterize their shape as well as the drainage network. Results in morphometric parameters reveal elongation trends in the shape of basins and a limited hierarchical network, common of a youthful stage of landscape evolution models. Several morphometric indexes (hypsometric integral, hypsometric curves, SL index, transverse topographical drainage basin asymmetry-T-Factor) have been used to study possible controls on drainage development. Results have been discussed in relation to relief and drainage evolution linked to the spatial distribution of lithological units and structural framework. T-Factor shows an apparently disorganized pattern and absence of tectonic influence. However, there are local values of second order basin asymmetry directions and magnitudes, which could reflect a succession of master rills through time, related to the changes in water supply during the deglaciation history of Byers Peninsula. Hypsometric values and curves of basins are also mainly related to a young stage of landscape evolution. Analysis of hypsometric integrals together with T-Factor index has allowed us to establish a possible deglaciation model on Byers Peninsula, which successfully explains the results. Areas of different landscape evolution stage are linked in space and support the hypothesis of local glacial centers during the ice cover retreat process. SL index results do not show the same pattern in results, which could be due to differences between incision and lateral shifting ratios. Quantitative geomorphic analysis indicates that during the deglaciation of Byers Peninsula, at least three areas acted as local glacial centers (NW, central and Rotch Dome area). Changes in index results clearly show a different behavior between two areas; distal areas and proximal areas close to the glacial centers. Morphometric indexes have demonstrated their being useful tools to provide information on the glacial history in recently deglaciated Antarctic areas. (C) 2014 Elsevier B.V. All rights reserved.</t>
  </si>
  <si>
    <t>[Mink, Sandra; Maestro, Adolfo; Duran, Juan Jose] Inst Geol &amp; Minero Espana, Madrid 28003, Spain; [Mink, Sandra; Lopez-Martinez, Jeronimo; Maestro, Adolfo; Ortega, Jose A.] Univ Autonoma Madrid, Fac Ciencias, Dept Geol &amp; Geoquim, E-28049 Madrid, Spain; [Garrote, Julio] Univ Complutense Madrid, Fac Ciencias Geol, Dept Geodinam, E-28040 Madrid, Spain; [Serrano, Enrique] Univ Valladolid, Dept Geog, E-47011 Valladolid, Spain; [Schmid, Thomas] CIEMAT, E-28040 Madrid, Spain</t>
  </si>
  <si>
    <t>Autonomous University of Madrid; Complutense University of Madrid; Universidad de Valladolid; Centro de Investigaciones Energeticas, Medioambientales Tecnologicas</t>
  </si>
  <si>
    <t>Mink, S (corresponding author), Inst Geol &amp; Minero Espana, Rios Rosas 23, Madrid 28003, Spain.</t>
  </si>
  <si>
    <t>s.mink@igme.es; jeronimo.lopez@uam.es; a.maestro@igme.es; juliog@ucm.es; j.ortega@uam.es; serranoe@fyl.uva.es; jj.duran@igme.es; thomas.schmid@ciemat.es</t>
  </si>
  <si>
    <t>Schmid, Thomas/L-3397-2014; Lopez-Martinez, Jeronimo/C-5744-2011; Garrote, Julio/K-4231-2017; Maestro, Adolfo/K-2434-2014; Maestro, Adolfo/ABG-7268-2021; SERRANO, ENRIQUE/AAH-7986-2020; Duran, Juan/GRZ-0839-2022; Ortega-Becerril, Jose A./L-2305-2013</t>
  </si>
  <si>
    <t>Schmid, Thomas/0000-0002-2849-4730; Lopez-Martinez, Jeronimo/0000-0002-1750-8287; Garrote, Julio/0000-0002-7727-8014; Maestro, Adolfo/0000-0002-7474-725X; SERRANO, ENRIQUE/0000-0001-9760-3876; Ortega-Becerril, Jose A./0000-0003-2722-5077</t>
  </si>
  <si>
    <t>Spanish RD National Plan [CGL2011-26372]; RADARSAT-2 Science and Operational Applications Research Program (SOAR), Canada [SOAR-1376]</t>
  </si>
  <si>
    <t>Spanish RD National Plan(Spanish Government); RADARSAT-2 Science and Operational Applications Research Program (SOAR), Canada</t>
  </si>
  <si>
    <t>This work has been funded by the project CGL2011-26372 of the Spanish R&amp;D National Plan. RADARSAT-2 Science and Operational Applications Research Program (SOAR), Canada provided satellite data through the SOAR-1376 project granted to the Universidad Autonoma de Madrid, Spain. This work is also a contribution to the IPY project and the SCAR Expert Group ANTPAS (Antarctic Permafrost and Soils).</t>
  </si>
  <si>
    <t>0169-555X</t>
  </si>
  <si>
    <t>1872-695X</t>
  </si>
  <si>
    <t>Geomorphology</t>
  </si>
  <si>
    <t>10.1016/j.geomorph.2014.03.028</t>
  </si>
  <si>
    <t>AQ3SX</t>
  </si>
  <si>
    <t>WOS:000342714900002</t>
  </si>
  <si>
    <t>Almeida, ICC; Schaefer, CEGR; Fernandes, RBA; Pereira, TTC; Nieuwendam, A; Pereira, AB</t>
  </si>
  <si>
    <t>Almeida, Ivan C. C.; Schaefer, Carlos Ernesto G. R.; Fernandes, Raphael B. A.; Pereira, Thiago T. C.; Nieuwendam, Alexandre; Pereira, Antonio Batista</t>
  </si>
  <si>
    <t>Active layer thermal regime at different vegetation covers at Lions Rump, King George Island, Maritime Antarctica</t>
  </si>
  <si>
    <t>Soil thermal regime; Climate change; Cryosol; Permafrost; n-F index</t>
  </si>
  <si>
    <t>GROUND SURFACE-TEMPERATURE; PERMAFROST; PATTERNS; HEAT; VARIABILITY; CRYOSOLS</t>
  </si>
  <si>
    <t>Climate change impacts the biotic and abiotic components of polar ecosystems, affecting the stability of permafrost, active layer thickness, vegetation, and soil. This paper describes the active layer thermal regimes of two adjacent shallow boreholes, under the same soil but with two different vegetations. The study is location in Lions Rump, at King George Island, Maritime Antarctic, one of the most sensitive regions to climate change, located near the climatic limit of Antarctic permafrost. Both sites are a Turbic Cambic Cryosol formed on andesitic basalt, one under moss vegetation (Andreaea gainii, at 85 m a.s.l.) and another under lichen (Usnea sp., at 86 m a.s.l.), located 10 m apart. Ground temperature at same depths (10, 30 and 80 cm), water content at 80 cm depth and air temperature were recorded hourly between March 2009 and February 2011. The two sites showed significant differences in mean annual ground temperature for all depths. The lichen site showed a higher soil temperature amplitude compared to the moss site, with ground surface (10 cm) showing the highest daily temperature in January 2011 (7.3 degrees C) and the lowest daily temperature in August (-16.5 degrees C). The soil temperature at the lichen site closely followed the air temperature trend. The moss site showed a higher water content at the bottommost layer, consistent with the water-saturated, low landscape position. The observed thermal buffering effect under mosses is primarily associated with higher moisture onsite, but a longer duration of the snow-pack (not monitored) may also have influenced the results. Active layer thickness was approximately 150 cm at low-lying moss site, and 120 cm at well-drained lichen site. This allows to classify these soils as Cryosols (VVRB) or Gelisols (Soil Taxonomy), with evident turbic features. (C) 2014 Elsevier B.V. All rights reserved.</t>
  </si>
  <si>
    <t>[Almeida, Ivan C. C.] Inst Fed Norte Minas Gerais, BR-39480000 Januaria, MG, Brazil; [Almeida, Ivan C. C.; Schaefer, Carlos Ernesto G. R.; Fernandes, Raphael B. A.; Pereira, Thiago T. C.] Univ Fed Vicosa, Dept Solos, INCT Criosfera, BR-36570000 Vicosa, MG, Brazil; [Pereira, Thiago T. C.] Univ Estado Minas Gerais, BR-1001 Frutal, MG, Brazil; [Nieuwendam, Alexandre] Univ Lisbon, Ctr Estudos Geog IGOT, P-1699 Lisbon, Portugal; [Pereira, Antonio Batista] Univ Fed Pampa, INCT APA, BR-97300000 Sao Gabriel, RS, Brazil</t>
  </si>
  <si>
    <t>Instituto Federal do Norte de Minas Gerais (IFNMG); Universidade Federal de Vicosa; Universidade do Estado de Minas Gerais; Universidade de Lisboa; Universidade Federal do Pampa</t>
  </si>
  <si>
    <t>Almeida, ICC (corresponding author), Inst Fed Norte Minas Gerais, Campus Januaria, BR-39480000 Januaria, MG, Brazil.</t>
  </si>
  <si>
    <t>ivan.almeida@ifnmg.edu.br; carlos.schaefer@ufv.br; raphael@ufv.br; torresthiago@yahoo.com.br; alexandretn@gmail.com; anbatistape@gmail.com</t>
  </si>
  <si>
    <t>Pereira, Antonio/AAD-5703-2019; Schaefer, Carlos Ernesto/AAY-4977-2020; Pereira, Antonio B/I-8201-2014; Fernandes, Raphael/A-1709-2009</t>
  </si>
  <si>
    <t>Pereira, Antonio B/0000-0003-0368-4594; Ernesto Goncalves Reynaud Schaefer, Carlos/0000-0001-7060-1598; Fernandes, Raphael/0000-0002-8611-1355; Ernesto Goncalves Reynaud Schaefer, Carlos/0000-0001-5735-3227</t>
  </si>
  <si>
    <t>CNPq</t>
  </si>
  <si>
    <t>CNPq(Conselho Nacional de Desenvolvimento Cientifico e Tecnologico (CNPQ))</t>
  </si>
  <si>
    <t>We thank CNPq for the scholarship and financial support. Carlos Schaefer thanks CAPES for granting a sabbatical leave at Cambridge University. We wish to thank Prof. Mauro Guglielmin and Prof. Adrian Harvey for the suggestions and comments that have improved the manuscript significantly. This is a contribution of the TERRANTAR group (INCT da Criosfera - PROANTAR).</t>
  </si>
  <si>
    <t>10.1016/j.geomorph.2014.03.048</t>
  </si>
  <si>
    <t>WOS:000342714900004</t>
  </si>
  <si>
    <t>Guglielmin, M; Worland, MR; Baio, F; Convey, P</t>
  </si>
  <si>
    <t>Guglielmin, Mauro; Worland, M. Roger; Baio, Fabio; Convey, Peter</t>
  </si>
  <si>
    <t>Permafrost and snow monitoring at Rothera Point (Adelaide Island, Maritime Antarctica): Implications for rock weathering in cryotic conditions</t>
  </si>
  <si>
    <t>Permafrost; Antarctica; Active layer; Ground surface temperature; Rock weathering</t>
  </si>
  <si>
    <t>GROUND SURFACE-TEMPERATURE; ACTIVE-LAYER; MARGUERITE BAY; CLIMATE-CHANGE; LIVINGSTON ISLAND; MACKENZIE DELTA; THERMAL REGIME; ARCTIC TUNDRA; PENINSULA; VARIABILITY</t>
  </si>
  <si>
    <t>In February 2009 a new permafrost borehole was installed close to the British Antarctic Survey Station at Rothera Point, Adelaide Island (67.57195 degrees S 68.12068 degrees W). The borehole is situated at 31 m asl on a granodiorite knob with scattered lichen cover. The spatial variability of snow cover and of ground surface temperature (GST) is characterised through the monitoring of snow depth on 5 stakes positioned around the borehole and with thermistors placed at three different rock surfaces (A, B and C). The borehole temperature is measured by 18 thermistors placed at different depths between 0.3 and 30 m. Snow persistence is very variable both spatially and temporally with snow free days per year ranging from 13 and more than 300, and maximum snow depths varying between 0.03 and 1.42 m. This variability is the main cause of high variability in GST, that ranged between -3.7 and -1.5 degrees C. The net effect of the snow cover is a cooling of the surface. Mean annual GST, mean summer GST, and the degree days of thawing and the n-factor of thawing were always much lower at sensor A where snow persistence and depth were greater than in the other sensor locations. At sensor A the potential freeze-thaw events were negligible (0-3) and the thermal stress was at least 40% less than in the other sensor locations. The zero curtain effect at the rock surface occurred only at surface A, favouring chemical weathering over mechanical action. The active layer thickness (ALT) ranged between 0.76 and 1.40 m. ALT was directly proportional to the mean air temperature in summer, and inversely proportional to the maximum snow depth in autumn. ALT temporal variability was greater than reported at other sites at similar latitude in the Northern Hemisphere, or with the similar mean annual air temperature in Maritime Antarctica, because vegetation and a soil organic horizon are absent at the study site. Zero annual amplitude in temperature was observed at about 16 m depth, where the mean annual temperature is 3 degrees C. Permafrost thickness was calculated to range between 112 and 157 m, depending on the heat flow values adopted. The presence of sub-sea permafrost cannot be excluded considering the depth of the shelf around Rothera Point and its glacial history. (C) 2014 Elsevier B.V. All rights reserved.</t>
  </si>
  <si>
    <t>[Guglielmin, Mauro; Baio, Fabio] Insubria Univ, Dept Theoret &amp; Appl Sci, I-21100 Varese, Italy; [Worland, M. Roger; Convey, Peter] British Antarctic Survey, NERC, Cambridge CB3 0ET, England</t>
  </si>
  <si>
    <t>University of Insubria; UK Research &amp; Innovation (UKRI); Natural Environment Research Council (NERC); NERC British Antarctic Survey</t>
  </si>
  <si>
    <t>Guglielmin, M (corresponding author), Insubria Univ, Dept Theoret &amp; Appl Sci, I-21100 Varese, Italy.</t>
  </si>
  <si>
    <t>mauro.guglielmin@uninsubria.it</t>
  </si>
  <si>
    <t>Convey, Peter/0000-0001-8497-9903</t>
  </si>
  <si>
    <t>BAS; PNRA (Progetto Nazionale di Ricerca in Antartide); Natural Environment Research Council [bas0100025] Funding Source: researchfish; NERC [bas0100025] Funding Source: UKRI</t>
  </si>
  <si>
    <t>BAS; PNRA (Progetto Nazionale di Ricerca in Antartide); Natural Environment Research Council(UK Research &amp; Innovation (UKRI)Natural Environment Research Council (NERC)); NERC(UK Research &amp; Innovation (UKRI)Natural Environment Research Council (NERC))</t>
  </si>
  <si>
    <t>We thank the British Antarctic Survey (BAS) for logistic support in the field. We thank again BAS and PNRA (Progetto Nazionale di Ricerca in Antartide) for funding this joint programme of research. We also thank BAS for downloading temperature data and recording snow depth measurements year-round (M. von Tersch, S.J. Duggan, R. Grant, T. Gray). We thank S. Colwell and the SCAR READER database (www.antarctica.ac.uk/met/Reader) for the provision of wind data and, finally, three anonymous reviewers and the Guest Editor G. Vieira for their constructive comments.</t>
  </si>
  <si>
    <t>10.1016/j.geomorph.2014.03.051</t>
  </si>
  <si>
    <t>WOS:000342714900005</t>
  </si>
  <si>
    <t>Goyanes, G; Vieira, G; Caselli, A; Cardoso, M; Marmy, A; Santos, F; Bernardo, I; Hauck, C</t>
  </si>
  <si>
    <t>Goyanes, G.; Vieira, G.; Caselli, A.; Cardoso, M.; Marmy, A.; Santos, F.; Bernardo, I.; Hauck, C.</t>
  </si>
  <si>
    <t>Local influences of geothermal anomalies on permafrost distribution in an active volcanic island (Deception Island, Antarctica)</t>
  </si>
  <si>
    <t>Permafrost; Geothermal Anomaly; Active Volcano; Deception Island; South Shetlands; Antarctica</t>
  </si>
  <si>
    <t>MOUNTAIN PERMAFROST; ICE INTERACTIONS; THERMAL REGIMES; VICTORIA LAND; LAYER; TEMPERATURE; RESISTIVITY; TECTONICS; EVOLUTION; GRADIENT</t>
  </si>
  <si>
    <t>This study aims at understanding the spatial distribution and characteristics of the frozen and unfrozen terrain in an alluvial fan on Deception Island, which is an active strato-volcano located in the Bransfield Strait (South Shetland Islands) with recent eruptions in 1967, 1969 and 1970. The alluvial fan is dominated by debris-flow, run-off and rock fall processes and permafrost occurs in several parts in the vicinity of anomalous geothermal heat flux. The aim is to assess the ways volcanic activity controls permafrost development and associated geomorphic dynamics using shallow subsurface, surface and air temperature measurements as well as thaw depth and electrical resistivity tomography (ERT) surveys. Results show a temperature increase with depth in the lower part of the fan reaching 13 degrees C at 0.80 m depth, without the presence of permafrost. The shallow borehole located at this site showed a stable thermal stratification all year-round, with only the upper 020 m reacting to meteorological forcing. In the upper part of the alluvial fan and debris cones, c. 100 m from the coast, frozen ground is present at c. 0.70 m depth. There, the shallow borehole shows a good coupling with air temperatures and the thermal regime favours the presence of permafrost. ERT shows the lowest resistivity values in the lower part of the alluvial fan and a highly resistivity zone in the upper sector of the fan and in the debris cones. These large variations in resistivity mark the presence of a saline water wedge from the sea into the fan, reaching frozen ground conditions about 100 m inland. It can be shown that the volcano-hydrothermal activity only inhibits frost development very locally, with frozen ground conditions occurring about 100 m away. (C) 2014 Elsevier B.V. All rights reserved.</t>
  </si>
  <si>
    <t>[Goyanes, G.] Univ Buenos Aires, Dept Ciencias Geol, Inst Estudios Andinos Don Pablo Groeber UBA CONIC, Buenos Aires, DF, Argentina; [Vieira, G.; Cardoso, M.] Univ Lisbon, Ctr Estudos Geog, P-1600214 Lisbon, Portugal; [Caselli, A.] Univ Rio Negro, RA-8332 Gral Roca, Rio Negro, Argentina; [Marmy, A.; Hauck, C.] Univ Fribourg, Alpine Cryosphere &amp; Geomorphol Grp, CH-1700 Fribourg, Switzerland; [Santos, F.; Bernardo, I.] Univ Lisbon, Ctr Geophys, IDL, P-1600214 Lisbon, Portugal</t>
  </si>
  <si>
    <t>University of Buenos Aires; Universidade de Lisboa; University of Fribourg; Universidade de Lisboa</t>
  </si>
  <si>
    <t>Goyanes, G (corresponding author), Int Guiraldes 2160,Ciudad Univ,Pab 2 C1428EHA, Buenos Aires, DF, Argentina.</t>
  </si>
  <si>
    <t>goyanes@gl.fcen.uba.ar</t>
  </si>
  <si>
    <t>Goyanes Díaz, Gabriel Alejandro/JXM-1643-2024; Vieira, Goncalo/G-5958-2010</t>
  </si>
  <si>
    <t>Goyanes Díaz, Gabriel Alejandro/0000-0001-5241-254X; Vieira, Goncalo/0000-0001-7611-3464; Hauck, Christian/0000-0003-4488-6475</t>
  </si>
  <si>
    <t>project PERMANTAR-2 (Permafrost and Climate Change in the Maritime Antarctic - FCT) [PTDC/AAC-CLI/098885/2008]; project Estudio y seguimiento de volcanes activos: Isla Decepcion, Antartida [PICT-O 36051, PICT-A 2012-2015]; DNA-IAA (Direccion Nacional del Antartico-Instituto Antartico Argentino); ProPolar (Programa Polar Portugues - FCT); Fundação para a Ciência e a Tecnologia [PTDC/AAC-CLI/098885/2008] Funding Source: FCT</t>
  </si>
  <si>
    <t>project PERMANTAR-2 (Permafrost and Climate Change in the Maritime Antarctic - FCT); project Estudio y seguimiento de volcanes activos: Isla Decepcion, Antartida; DNA-IAA (Direccion Nacional del Antartico-Instituto Antartico Argentino); ProPolar (Programa Polar Portugues - FCT); Fundação para a Ciência e a Tecnologia(Fundacao para a Ciencia e a Tecnologia (FCT))</t>
  </si>
  <si>
    <t>This study was conducted as part of the projects PERMANTAR-2 (Permafrost and Climate Change in the Maritime Antarctic - FCT - PTDC/AAC-CLI/098885/2008) and Estudio y seguimiento de volcanes activos: Isla Decepcion, Antartida (PICT-O 36051 and PICT-A 2012-2015).; We thank the Gabriel de Castilla Spanish Antarctic Base and Decepcion Argentinean Antarctic Base for the logistic support on the field and the Spanish Antarctic Program for supporting transportation of equipment. We thank the DNA-IAA (Direccion Nacional del Antartico-Instituto Antartico Argentino) and ProPolar (Programa Polar Portugues - FCT) for funding this joint research program.</t>
  </si>
  <si>
    <t>10.1016/j.geomorph.2014.04.010</t>
  </si>
  <si>
    <t>WOS:000342714900006</t>
  </si>
  <si>
    <t>Michel, RFM; Schaefer, CEGR; López-Martínez, J; Simas, FNB; Haus, NW; Serrano, E; Bockheim, JG</t>
  </si>
  <si>
    <t>Michel, Roberto F. M.; Schaefer, Carlos E. G. R.; Lopez-Martinez, Jeronimo; Simas, Felipe N. B.; Haus, Nick W.; Serrano, Enrique; Bockheim, James G.</t>
  </si>
  <si>
    <t>Soils and landforms from Fildes Peninsula and Ardley Island, Maritime Antarctica</t>
  </si>
  <si>
    <t>Soils; Geomorphology; Permafrost; Periglacial; Ornithogenic soils</t>
  </si>
  <si>
    <t>KING-GEORGE-ISLAND; SOUTH-SHETLAND ISLANDS; LIVINGSTON-ISLAND; CRYOSOLS; PERMAFROST; CLASSIFICATION; GENESIS</t>
  </si>
  <si>
    <t>Fildes Peninsula (F.P.) and Ardley Island (AI) are among the first ice-free areas in Maritime Antarctica. Since the last glacial retreat in this part of Antarctica (8000 to 5000 years BP), the landscape in these areas evolved under paraglacial to periglacial conditions, with pedogenesis marked by cryogenic processes. We carried out a detailed soil and geomorphology survey, with full morphological and analytical description for both areas; forty-eight soil profiles representing different landforms were sampled, analyzed and classified according to the U.S. Soil Taxonomy and the World Reference Base for Soil Resources (WRB). Soils are mostly turbic, moderately developed, with podzolization and strong phosphatization (chemical weathering of rock minerals and formation of amorphous Al and Fe minerals) in former ornithogenic sites while in areas with poor vegetation show typical features of cryogenic weathering. Nivation, solifluction, cryoturbation, frost weathering, ablation and surface erosion are widespread. The most represented landform system by surface in Fildes Peninsula is the periglacial one, and 15 different periglacial landforms types have been identified and mapped. These features occupy about 30% of the land surface, in which patterned ground and stone fields are the most common landforms. Other significant landforms as protalus lobes, rock glaciers or debris lobes indicate the extensive presence of permafrost. Soil variability was high, in terms of morphological, physical and chemical properties, due to varying lithic contributions and mixing of different rocks, as well as to different degrees of faunal influence. Three soil taxonomy orders were identified, whereas thirty four individual pedons were differentiated. Fildes Peninsula experiences a south-north gradient from periglacial to paraglacial conditions, and apparently younger soils and landforms are located close to the Collins Glacier. Arenosols/Entisols and Cryosols/Gelisols (frequently cryoturbic) are the most important soil classes; Leptosols/Entisols, Gleysols/Aquents and Cambisols/Inceptisols also occur, all with gelic properties, and with varying faunal influences. Both soil classification systems are adequate to distinguish the local pedogenesis processes. The WRB system is broader, since it was designed to be applied in all Polar Regions; the family classes adopted by the ST were effective in separating soils with important differences with regard to texture and gravel content, all important attributes accounting for the ecological succession and periglacial processes. An altitudinal organization of landforms and processes can be recognized from geomorphological mapping. Periglacial features are dominant above 50 m a.s.l. although are present at lower altitude. (C) 2014 Elsevier B.V. All rights reserved.</t>
  </si>
  <si>
    <t>[Michel, Roberto F. M.] Univ Estadual Santa Cruz, Ilheus, BA, Brazil; [Schaefer, Carlos E. G. R.; Simas, Felipe N. B.] Univ Fed Vicosa, Dept Solos, Vicosa, MG, Brazil; [Lopez-Martinez, Jeronimo] Univ Autonoma Madrid, Fac Ciencias, Dept Geol &amp; Geoquim, E-28049 Madrid, Spain; [Haus, Nick W.; Bockheim, James G.] Univ Wisconsin, Dept Soil Sci, Madison, WI 53706 USA; [Serrano, Enrique] Univ Valladolid, Dept Geog, E-47011 Valladolid, Spain</t>
  </si>
  <si>
    <t>Universidade Estadual de Santa Cruz; Universidade Federal de Vicosa; Autonomous University of Madrid; University of Wisconsin System; University of Wisconsin Madison; Universidad de Valladolid</t>
  </si>
  <si>
    <t>Michel, RFM (corresponding author), Univ Estadual Santa Cruz, Rodovia Jorge Amado,Km 16, Ilheus, BA, Brazil.</t>
  </si>
  <si>
    <t>roberto@michel.com; carlos.schaefer@ufv.br; jeronimo.lopez@uam.es; fsimass@yahoo.com.br; nhaus@wisc.edu; serranoe@fyl.uva.es; bockheim@wisc.edu</t>
  </si>
  <si>
    <t>Lopez-Martinez, Jeronimo/C-5744-2011; SERRANO, ENRIQUE/AAH-7986-2020; Michel, Roberto Ferreira Machado/H-4578-2016; Schaefer, Carlos Ernesto/AAY-4977-2020</t>
  </si>
  <si>
    <t>Lopez-Martinez, Jeronimo/0000-0002-1750-8287; SERRANO, ENRIQUE/0000-0001-9760-3876; Michel, Roberto Ferreira Machado/0000-0001-5951-4610; Ernesto Goncalves Reynaud Schaefer, Carlos/0000-0001-7060-1598; Ernesto Goncalves Reynaud Schaefer, Carlos/0000-0001-5735-3227</t>
  </si>
  <si>
    <t>FAPEMIG; CNPq; Spanish RD National Plan [CTM2011-26372]; Spanish Antarctic Program</t>
  </si>
  <si>
    <t>FAPEMIG(Fundacao de Amparo a Pesquisa do Estado de Minas Gerais (FAPEMIG)); CNPq(Conselho Nacional de Desenvolvimento Cientifico e Tecnologico (CNPQ)); Spanish RD National Plan(Spanish Government); Spanish Antarctic Program</t>
  </si>
  <si>
    <t>This study was supported technically and logistically by the Brazilian Navy, MMA, UFV and FEAM-MG; grants received from FAPEMIG and CNPq. We also thank the Chilean Antarctic Institute (INACH) for technical and logistical support during field activities. This is a contribution of the Terrantar Laboratory, part of the Brazilian National Institute of Cryospheric Science and Technology. It is also a contribution of the project CTM2011-26372 of the Spanish R&amp;D National Plan and has received support by the Spanish Antarctic Program.</t>
  </si>
  <si>
    <t>10.1016/j.geomorph.2014.03.041</t>
  </si>
  <si>
    <t>WOS:000342714900008</t>
  </si>
  <si>
    <t>Marshall, DP; Zanna, L</t>
  </si>
  <si>
    <t>Marshall, David P.; Zanna, Laure</t>
  </si>
  <si>
    <t>A Conceptual Model of Ocean Heat Uptake under Climate Change</t>
  </si>
  <si>
    <t>Southern Ocean; Diapycnal mixing; Meridional overturning circulation; Upwelling; downwelling; Climate change; Heat budgets; fluxes</t>
  </si>
  <si>
    <t>MERIDIONAL OVERTURNING CIRCULATION; ANTARCTIC CIRCUMPOLAR CURRENT; LARGE-SCALE CIRCULATION; SOUTHERN-OCEAN; DEEP STRATIFICATION; ATMOSPHERIC CO2; BOX MODEL; PART II; WIND; SENSITIVITY</t>
  </si>
  <si>
    <t>A conceptual model of ocean heat uptake is developed as a multilayer generalization of Gnanadesikan. The roles of Southern Ocean Ekman and eddy transports, North Atlantic Deep Water (NADW) formation, and diapycnal mixing in controlling ocean stratification and transient heat uptake are investigated under climate change scenarios, including imposed surface warming, increased Southern Ocean wind forcing, with or without eddy compensation, and weakened meridional overturning circulation (MOC) induced by reduced NADW formation. With realistic profiles of diapycnal mixing, ocean heat uptake is dominated by Southern Ocean Ekman transport and its long-term adjustment controlled by the Southern Ocean eddy transport. The time scale of adjustment setting the rate of ocean heat uptake increases with depth. For scenarios with increased Southern Ocean wind forcing or weakened MOC, deepened stratification results in enhanced ocean heat uptake. In each of these experiments, the role of diapycnal mixing in setting ocean stratification and heat uptake is secondary. Conversely, in experiments with enhanced diapycnal mixing as employed in upwelling diffusion slab models, the contributions of diapycnal mixing and Southern Ocean Ekman transport to the net heat uptake are comparable, but the stratification extends unrealistically to the sea floor. The simple model is applied to interpret the output of an Earth system model, the Second Generation Canadian Earth System Model (CanESM2), in which the atmospheric CO2 concentration is increased by 1% yr(-1) until quadrupling, where it is found that Southern Ocean Ekman transport is essential to reproduce the magnitude and vertical profile of ocean heat uptake.</t>
  </si>
  <si>
    <t>[Marshall, David P.; Zanna, Laure] Univ Oxford, Dept Phys, Oxford OX1 3PU, England</t>
  </si>
  <si>
    <t>Marshall, DP (corresponding author), Univ Oxford, Dept Phys, Clarendon Lab, Parks Rd, Oxford OX1 3PU, England.</t>
  </si>
  <si>
    <t>marshall@atm.ox.ac.uk</t>
  </si>
  <si>
    <t>Zanna, Laure/HPG-1772-2023; Marshall, David Philip/B-6767-2009; Zanna, Laure/L-3169-2019</t>
  </si>
  <si>
    <t>Zanna, Laure/0000-0002-8472-4828; Marshall, David Philip/0000-0002-5199-6579; Zanna, Laure/0000-0002-8472-4828</t>
  </si>
  <si>
    <t>Oxford Martin School; NERC [NE/H005668/1] Funding Source: UKRI; Natural Environment Research Council [NE/H005668/1] Funding Source: researchfish</t>
  </si>
  <si>
    <t>Oxford Martin School; NERC(UK Research &amp; Innovation (UKRI)Natural Environment Research Council (NERC)); Natural Environment Research Council(UK Research &amp; Innovation (UKRI)Natural Environment Research Council (NERC))</t>
  </si>
  <si>
    <t>The authors thank David Munday for useful discussions and Stephanie Downes for assistance with details of the CanESM2 model. We also thank three anonymous reviewers for insightful comments that led to a greatly improved manuscript, and Trevor McDougall for spotting a mathematical error in our discretization of the diapycnal upwelling. Financial support of the Oxford Martin School is gratefully acknowledged.</t>
  </si>
  <si>
    <t>10.1175/JCLI-D-13-00344.1</t>
  </si>
  <si>
    <t>AT2ON</t>
  </si>
  <si>
    <t>WOS:000344774200010</t>
  </si>
  <si>
    <t>Lana, NB; Berton, P; Covaci, A; Ciocco, NF; Barrera-Oro, E; Atencio, A; Altamirano, JC</t>
  </si>
  <si>
    <t>Lana, Nerina B.; Berton, Paula; Covaci, Adrian; Ciocco, Nestor F.; Barrera-Oro, Esteban; Atencio, Adrian; Altamirano, Jorgelina C.</t>
  </si>
  <si>
    <t>Fingerprint of persistent organic pollutants in tissues of Antarctic notothenioid fish</t>
  </si>
  <si>
    <t>Antarctica; POPs; Tissue distribution; South Shetland Islands; Notothenioids</t>
  </si>
  <si>
    <t>POLYBROMINATED DIPHENYL ETHERS; BROMINATED FLAME RETARDANTS; SOUTH SHETLAND ISLANDS; POLYCHLORINATED-BIPHENYLS; ORGANOCHLORINE PESTICIDES; CHLORINATED PESTICIDES; NORTH-SEA; FOOD-WEB; DEEP-SEA; PBDES</t>
  </si>
  <si>
    <t>In the present work, persistent organic pollutants (POPs), such as polychlorinated biphenyls (PCBs), dichlorodi-phenyltrichloroethane (DDT) and metabolites, polybrominated diphenyl ethers (PBDEs), and hexachlorocyclohexane (HCH) were analyzed in three Antarctic notothenioids fish species: Trematomus newnesi (TRN), Notothenia coriiceps (NOC) and Notothenia rossii (NOR). The contribution of each POP-family to the total load was as follows: Sigma PCB (40%) &gt; Sigma DDT (27%) &gt; Sigma PBDEs (23%) &gt; Sigma HCH (10%). Among the 23 PCB congeners analyzed, penta-CBs homologues were the prevalent group, followed by hexa-CBs and hepta-CBs. DDT and its metabolites presented the following trend: p,p'-DDT &gt; p,p'-DDE similar to p,p'-DDD. PBDE profile was dominated by BDE-47 and BDE-99 congeners, followed by BDE-100 &gt; BDE-28 &gt; BDE-154, BDE-153. Among HCHs, the gamma-HCH isomer was detected in all samples, constituting 69% total HCH load, while alpha-HCH and beta-HCH contributions were 15% and 16%, respectively. The levels of POPs reported here suggest that NOR and NOC are more susceptible to accumulate the analyzed contaminants than TRN, a species not previously analyzed for POPs. Distribution of POPs among different tissues of the three species (muscle, liver, gonads, and gills) was also investigated. Considering lipid weight, the general pattern-of POPs distribution in tissues indicated that while gonads showed higher levels of PCBs, DDTs and HCH, the most significant PBDE concentrations were recorded in gills. (C) 2014 Elsevier B.V. All rights reserved.</t>
  </si>
  <si>
    <t>[Lana, Nerina B.; Berton, Paula; Altamirano, Jorgelina C.] Consejo Nacl Invest Cient &amp; Tecn, Lab Quim Ambiental, Inst Argentina Nivol Glaciol Ciencias &amp; Ambiental, POB 131 ZC5500, Mendoza, Argentina; [Berton, Paula; Ciocco, Nestor F.; Altamirano, Jorgelina C.] Univ Nacl Cuyo, Fac Ciencias Exactas &amp; Nat, RA-5500 Mendoza, Argentina; [Covaci, Adrian] Univ Antwerp, Dept Pharmaceut Sci, Toxicol Ctr, B-2610 Antwerp, Belgium; [Ciocco, Nestor F.] Consejo Nacl Invest Cient &amp; Tecn, Inst Argentina Invest Zonas Aridas IADIZA, Mendoza, Argentina; [Barrera-Oro, Esteban] Inst Antartico Argentina, Buenos Aires, DF, Argentina; [Barrera-Oro, Esteban] Consejo Nacl Invest Cient &amp; Tecn, Museo Argentina Ciencias Nat Bernardino Rivadavia, RA-1033 Buenos Aires, DF, Argentina; [Atencio, Adrian] Consejo Nacl Invest Cient &amp; Tecn, Lab Estratig Glaciar &amp; Geoquim Agua &amp; Nieve LEGAN, IAA, Mendoza, Argentina</t>
  </si>
  <si>
    <t>Consejo Nacional de Investigaciones Cientificas y Tecnicas (CONICET); University Nacional Cuyo Mendoza; University of Antwerp; Consejo Nacional de Investigaciones Cientificas y Tecnicas (CONICET); Instituto Antartico Argentino; Museo Argentino de Ciencias Naturales Bernardino Rivadavia (MACN); Consejo Nacional de Investigaciones Cientificas y Tecnicas (CONICET); Consejo Nacional de Investigaciones Cientificas y Tecnicas (CONICET)</t>
  </si>
  <si>
    <t>Altamirano, JC (corresponding author), Consejo Nacl Invest Cient &amp; Tecn, Lab Quim Ambiental, Inst Argentina Nivol Glaciol Ciencias &amp; Ambiental, POB 131 ZC5500, Mendoza, Argentina.</t>
  </si>
  <si>
    <t>jaltamirano@mendoza-conicet.gob.ar</t>
  </si>
  <si>
    <t>Altamirano, Jorgelina Cecilia/IUO-1523-2023; Berton, Paula/Q-2123-2015; Covaci, Adrian/A-9058-2008</t>
  </si>
  <si>
    <t>Berton, Paula/0000-0003-4488-6686; Covaci, Adrian/0000-0003-0527-1136; Altamirano, Jorgelina/0000-0002-4022-3810; Lana, Belen/0000-0002-4114-4495</t>
  </si>
  <si>
    <t>Consejo Nacional de Investigaciones Cientifica y Tecnicas (CONICET); Agenda Nacional de Promocion Cientifica y Tecnologica (ANPCyT) [PICT: 2012-2429, PICTO: 0100-2010]; Universidad Nacional de Cuyo [06/M062]; Institut Antartico Argentino, University of Antwerp; Organization for the Prohibition of Chemical Weapons (OPCW)</t>
  </si>
  <si>
    <t>Consejo Nacional de Investigaciones Cientifica y Tecnicas (CONICET)(Consejo Nacional de Investigaciones Cientificas y Tecnicas (CONICET)); Agenda Nacional de Promocion Cientifica y Tecnologica (ANPCyT)(ANPCyT); Universidad Nacional de Cuyo; Institut Antartico Argentino, University of Antwerp; Organization for the Prohibition of Chemical Weapons (OPCW)</t>
  </si>
  <si>
    <t>This research was carried out under an agreement between the Instituto Antartico Argentino and the Instituto Argentino de Nivologia, Glaciologia y Ciencias Ambientales (IANIGLA). Field and laboratory works were supported by Consejo Nacional de Investigaciones Cientifica y Tecnicas (CONICET), Agenda Nacional de Promocion Cientifica y Tecnologica (ANPCyT PICT: 2012-2429, PICTO: 0100-2010), Universidad Nacional de Cuyo (06/M062), Institut Antartico Argentino, University of Antwerp, and Organization for the Prohibition of Chemical Weapons (OPCW). The fish samples were collected by E. Moreira, C. Bellisio and L. Vila.</t>
  </si>
  <si>
    <t>10.1016/j.scitotenv.2014.08.033</t>
  </si>
  <si>
    <t>AR5GN</t>
  </si>
  <si>
    <t>WOS:000343613200010</t>
  </si>
  <si>
    <t>Guglielmin, M; Vieira, G</t>
  </si>
  <si>
    <t>Guglielmin, Mauro; Vieira, Goncalo</t>
  </si>
  <si>
    <t>Permafrost and periglacial research in Antarctica: New results and perspectives</t>
  </si>
  <si>
    <t>Antarctica; Permafrost; Active layer; Soils</t>
  </si>
  <si>
    <t>MCMURDO DRY VALLEYS; HOPE BAY; ISLAND; LANDSCAPE; SOILS; PENINSULA; LAND; ICE</t>
  </si>
  <si>
    <t>In the last two years the research within the Antarctic Permafrost, Periglacial Environments and Soils (ANTPAS) Expert Group of the Scientific Committee on Antarctic Research (SCAR) and Working Group of the International Permafrost Association (IPA) provided new results on the dynamics of periglacial environments both in Maritime and Continental Antarctica. In continental Antarctica despite the absence of air warming, in the last 15 years an active layer thickening and acceleration of permafrost degradation erosional phenomena were reported, these being mainly related to the increase of solar radiation. On the other hand, in Maritime Antarctica, with a dramatic air warming, permafrost degradation has been observed, but the role of snow cover on the ground energy balance and consequently on permafrost and active layer has been underlined. Moreover, many contributions on the knowledge on the characteristics of the Antarctic soils were carried out in several areas along a wide latitudinal range. (C) 2014 Published by Elsevier B.V.</t>
  </si>
  <si>
    <t>Insubria Univ, Dept Theoret &amp; Appl Sci, I-21100 Varese, Italy; Univ Lisbon, Ctr Estudos Geog, Inst Geog &amp; Ordenamento Terr, P-1600214 Lisbon, Portugal</t>
  </si>
  <si>
    <t>University of Insubria; Universidade de Lisboa</t>
  </si>
  <si>
    <t>Vieira, Goncalo/G-5958-2010</t>
  </si>
  <si>
    <t>Vieira, Goncalo/0000-0001-7611-3464</t>
  </si>
  <si>
    <t>10.1016/j.geomorph.2014.04.005</t>
  </si>
  <si>
    <t>WOS:000342714900001</t>
  </si>
  <si>
    <t>Souza, KKD; Schaefer, CEGR; Simas, FNB; Spinola, DN; de Paula, MD</t>
  </si>
  <si>
    <t>Delpupo Souza, Katia Karoline; Schaefer, Carlos Ernesto G. R.; Bello Simas, Felipe Nogueira; Spinola, Diogo Noses; de Paula, Mayara Daher</t>
  </si>
  <si>
    <t>Soil formation in Seymour Island, Weddell Sea, Antarctica</t>
  </si>
  <si>
    <t>Cryosols; Pedogenesis; Sulfurization; Phosphatization; Salinization; Weddell Sea</t>
  </si>
  <si>
    <t>MARITIME ANTARCTICA; CRYOSOLS; CLASSIFICATION; OXALATE; FE</t>
  </si>
  <si>
    <t>The Antarctic Peninsula marks the climatic transition between Maritime and Continental Antarctica. Ice-free areas at the western side of the Peninsula (Maritime Antarctica) have been increasingly studied in the last 10 years whereas soils on the eastern coast have been relatively less studied. The objective of the present study is to analyze the properties of soils developed on Seymour Island, in the Weddell sea sector, eastern coast of the Antarctic Peninsula, in order to identify the main factors and processes involved in soil formation under semi-polar desert conditions in this part of Antarctica. Twenty-one pedons were described, sampled and analyzed for their physical, chemical and mineralogical attributes. Most of the soils were classified as Gelisols and Cryosols by the Soil Taxonomy and WRB/FAO, respectively. Three soil groups were found: immature alkaline soils on sandstones and siltstones, acid sulfate and ornithogenic soils. Soils have little cryoturbation and are all affected by salinization with natric and salic characters. Acid sulfate soils are the most weathered soils in Seymour Island. Due to the dry climate, phosphatization is still incipient with P-rich ornithogenic layers with little interaction with the mineral substrate. The Soil Taxonomy and WRB/FAO systems lack adequate classification criteria to classify all soils developed in transitional areas that are affected by a combination of salinization, sulfurization and phosphatization. (C) 2014 Elsevier B.V. All rights reserved.</t>
  </si>
  <si>
    <t>[Delpupo Souza, Katia Karoline; Schaefer, Carlos Ernesto G. R.; Bello Simas, Felipe Nogueira; Spinola, Diogo Noses; de Paula, Mayara Daher] Univ Fed Vicosa, Dept Solos, Vicosa, MG, Brazil</t>
  </si>
  <si>
    <t>Universidade Federal de Vicosa</t>
  </si>
  <si>
    <t>Souza, KKD (corresponding author), Univ Fed Vicosa, Dept Solos, Av PH Rolls S-N, Vicosa, MG, Brazil.</t>
  </si>
  <si>
    <t>karoldelpupo@yahoo.com.br</t>
  </si>
  <si>
    <t>Souza, Caroline Delpupo/L-7578-2017; Daher, Mayara/N-7857-2019; Schaefer, Carlos Ernesto/AAY-4977-2020; Spinola, Diogo/V-8593-2018</t>
  </si>
  <si>
    <t>Souza, Caroline Delpupo/0000-0001-5055-3963; Daher, Mayara/0000-0003-4937-2289; Ernesto Goncalves Reynaud Schaefer, Carlos/0000-0001-7060-1598; Spinola, Diogo/0000-0003-3525-9461; Ernesto Goncalves Reynaud Schaefer, Carlos/0000-0001-5735-3227</t>
  </si>
  <si>
    <t>CNPq [556794/2009]; Brazilian Antarctica Program</t>
  </si>
  <si>
    <t>CNPq(Conselho Nacional de Desenvolvimento Cientifico e Tecnologico (CNPQ)); Brazilian Antarctica Program</t>
  </si>
  <si>
    <t>Professor Carlos Schaefer thanks CAPES for granting a sabbatical visit to the Scott Polar Institute at the University of Cambridge (2013). This work is a contribution of the INCT Criosfera, funded by the CNPq (Grant Number 556794/2009). Logistics and support of the Brazilian Antarctica Program was crucial for this research as well as the logistic support from Dr. Jorge Lusky and Dr. Rudy Del Valle from the Instituto Antartico Argentino. We thank them for the hospitality at Casa de Botes at Marambio. All Argentinean colleagues based at Marambio are acknowledged. We also thank the help from Professor Antonio Batista and Rosita Belinky for their support and company during field work in Seymour Island. Finally the authors thank also the reviewers and the Editors for the suggestion and the improvement of the manuscript.</t>
  </si>
  <si>
    <t>10.1016/j.geomorph.2014.03.047</t>
  </si>
  <si>
    <t>WOS:000342714900009</t>
  </si>
  <si>
    <t>Woodard, SC; Rosenthal, Y; Miller, KG; Wright, JD; Chiu, BK; Lawrence, KT</t>
  </si>
  <si>
    <t>Woodard, Stella C.; Rosenthal, Yair; Miller, Kenneth G.; Wright, James D.; Chiu, Beverly K.; Lawrence, Kira T.</t>
  </si>
  <si>
    <t>Antarctic role in Northern Hemisphere glaciation</t>
  </si>
  <si>
    <t>SOUTHERN-OCEAN; MID-PLIOCENE; BOTTOM-WATER; DEEP-WATER; CLIMATE TRANSITIONS; ISOTOPE RECORD; ICE-SHEET; ATLANTIC; TEMPERATURE; CIRCULATION</t>
  </si>
  <si>
    <t>Earth's climate underwent a major transition from the warmth of the late Pliocene, when global surface temperatures were similar to 2 degrees to 3 degrees C higher than today, to extensive Northern Hemisphere glaciation (NHG) similar to 2.73 million years ago (Ma). We show that North Pacific deep waters were substantially colder (4 degrees C) and probably fresher than the North Atlantic Deep Water before the intensification of NHG. At similar to 2.73 Ma, the Atlantic-Pacific temperature gradient was reduced to &lt; 1 degrees C, suggesting the initiation of stronger heat transfer from the North Atlantic to the deep Pacific. We posit that increased glaciation of Antarctica, deduced from the 21 +/- 10-meter sea-level fall from 3.15 to 2.75 Ma, and the development of a strong polar halocline fundamentally altered deep ocean circulation, which enhanced interhemispheric heat and salt transport, thereby contributing to NHG.</t>
  </si>
  <si>
    <t>[Woodard, Stella C.; Rosenthal, Yair] Rutgers State Univ, Dept Marine &amp; Coastal Sci, New Brunswick, NJ 08901 USA; [Rosenthal, Yair; Miller, Kenneth G.; Wright, James D.; Chiu, Beverly K.] Rutgers State Univ, Dept Earth &amp; Planetary Sci, Piscataway, NJ 08845 USA; [Lawrence, Kira T.] Lafayette Coll, Dept Geol &amp; Environm Geosci, Easton, PA 18042 USA</t>
  </si>
  <si>
    <t>Rutgers University System; Rutgers University New Brunswick; Rutgers University System; Rutgers University New Brunswick; Lafayette College</t>
  </si>
  <si>
    <t>Woodard, SC (corresponding author), Rutgers State Univ, Dept Marine &amp; Coastal Sci, 71 Dudley Rd, New Brunswick, NJ 08901 USA.</t>
  </si>
  <si>
    <t>woodard@marine.rutgers.edu</t>
  </si>
  <si>
    <t>Wright, James/AAF-7180-2019</t>
  </si>
  <si>
    <t>Wright, James/0000-0001-5212-9146</t>
  </si>
  <si>
    <t>NSF [EAR-1052257, OCE-1334691]; Rutgers Aresty Undergraduate Research Fellowship</t>
  </si>
  <si>
    <t>NSF(National Science Foundation (NSF)); Rutgers Aresty Undergraduate Research Fellowship</t>
  </si>
  <si>
    <t>We thank N. Venti and K. Billups for providing samples and J. Crisicone, N. Abdul, and R. Mortlock for lab assistance. Funding was provided by NSF grants EAR-1052257 and OCE-1334691. B.K.C. thanks Rutgers Aresty Undergraduate Research Fellowship for its support.</t>
  </si>
  <si>
    <t>NOV 14</t>
  </si>
  <si>
    <t>10.1126/science.1255586</t>
  </si>
  <si>
    <t>AT0YL</t>
  </si>
  <si>
    <t>WOS:000344659900044</t>
  </si>
  <si>
    <t>Pichrtová, M; Kulichová, J; Holzinger, A</t>
  </si>
  <si>
    <t>Pichrtova, Martina; Kulichova, Jana; Holzinger, Andreas</t>
  </si>
  <si>
    <t>Nitrogen Limitation and Slow Drying Induce Desiccation Tolerance in Conjugating Green Algae (Zygnematophyceae, Streptophyta) from Polar Habitats</t>
  </si>
  <si>
    <t>ZYGOGONIUM-ERICETORUM ZYGNEMATOPHYCEAE; BIOLOGICAL SOIL CRUST; LAND PLANTS; ZYGNEMA ZYGNEMATOPHYCEAE; CHLOROPHYLL FLUORESCENCE; PHENOLIC-COMPOUNDS; TERRESTRIAL ALGAE; ANTARCTIC STRAINS; OSMOTIC-STRESS; FRESH-WATER</t>
  </si>
  <si>
    <t>Background: Filamentous Zygnematophyceae are typical components of algal mats in the polar hydro-terrestrial environment. Under field conditions, they form senescent vegetative cells, designated as pre-akinetes, which are tolerant to desiccation and osmotic stress. Key Findings: Pre-akinete formation and desiccation tolerance was investigated experimentally under monitored laboratory conditions in four strains of Arctic and Antarctic isolates with vegetative Zygnema sp. morphology. Phylogenetic analyses of rbcL sequences revealed one Arctic strain as genus Zygnemopsis, phylogenetically distant from the closely related Zygnema strains. Algae were cultivated in liquid or on solidified medium (9 weeks), supplemented with or lacking nitrogen. Nitrogen-free cultures (liquid as well as solidified) consisted of well-developed pre-akinetes after this period. Desiccation experiments were performed at three different drying rates (rapid: 10% relative humidity, slow: 86% rh and very slow); viability, effective quantum yield of PS II, visual and ultrastructural changes were monitored. Recovery and viability of pre-akinetes were clearly dependent on the drying rate: slower desiccation led to higher levels of survival. Pre-akinetes survived rapid drying after acclimation by very slow desiccation. Conclusions: The formation of pre-akinetes in polar Zygnema spp. and Zygnemopsis sp. is induced by nitrogen limitation. Pre-akinetes, modified vegetative cells, rather than specialized stages of the life cycle, can be hardened by mild desiccation stress to survive rapid drying. Naturally hardened pre-akinetes play a key role in stress tolerance and dispersal under the extreme conditions of polar regions, where sexual reproduction and production of dormant stages is largely suppressed.</t>
  </si>
  <si>
    <t>[Pichrtova, Martina; Kulichova, Jana] Charles Univ Prague, Fac Sci, Dept Bot, Prague, Czech Republic; [Pichrtova, Martina] Acad Sci Czech Republ, Inst Bot, Trebon, Czech Republic; [Holzinger, Andreas] Univ Innsbruck, Inst Bot, A-6020 Innsbruck, Austria</t>
  </si>
  <si>
    <t>Charles University Prague; Czech Academy of Sciences; Institute of Botany of the Czech Academy of Sciences; University of Innsbruck</t>
  </si>
  <si>
    <t>Holzinger, A (corresponding author), Univ Innsbruck, Inst Bot, A-6020 Innsbruck, Austria.</t>
  </si>
  <si>
    <t>Andreas.Holzinger@uibk.ac.at</t>
  </si>
  <si>
    <t>Holzinger, Andreas/E-9530-2010; Holzinger, Andreas/Z-2659-2019; Kulichová, Jana/A-2486-2013; Pichrtová, Martina/N-1298-2014</t>
  </si>
  <si>
    <t>Holzinger, Andreas/0000-0002-6786-5194; Holzinger, Andreas/0000-0002-7745-3978; Kulichová, Jana/0000-0001-8035-4770; Pichrtová, Martina/0000-0002-6003-9666</t>
  </si>
  <si>
    <t>Charles University Grant Agency [GAUK 794413]; Czech Ministry of Education; long-term research development project [RVO 67985939]; Ministry of Education, Youth and Sports of the Czech Republic [LM2010009]; AKTION Austria-Czech Republic'' [65 p5]; Austrian Science Fund [P24242-B16]; Austrian Science Fund (FWF) [P24242] Funding Source: Austrian Science Fund (FWF); Austrian Science Fund (FWF) [P 24242] Funding Source: researchfish</t>
  </si>
  <si>
    <t>Charles University Grant Agency; Czech Ministry of Education(Ministry of Education, Youth &amp; Sports - Czech Republic); long-term research development project; Ministry of Education, Youth and Sports of the Czech Republic(Ministry of Education, Youth &amp; Sports - Czech Republic); AKTION Austria-Czech Republic''; Austrian Science Fund(Austrian Science Fund (FWF)); Austrian Science Fund (FWF)(Austrian Science Fund (FWF)); Austrian Science Fund (FWF)(Austrian Science Fund (FWF))</t>
  </si>
  <si>
    <t>The present study was supported by the Charles University Grant Agency (http://www.cuni.cz) project GAUK 794413 to M. P.; by the institutional resources of the Czech Ministry of Education; by a long-term research development project, RVO 67985939; by the Ministry of Education, Youth and Sports of the Czech Republic (www.msmt.cz) project CzechPolar stations: Construction and logistic expenses, LM2010009 2010-2015''. M. P. and A. H. acknowledge funding from the AKTION Austria-Czech Republic'' (http://www.oead.at), Project 65 p5. The study was supported by the Austrian Science Fund (FWF, http://www.fwf.ac.at), Project P24242-B16 to A. H. The funders had no role in study design, data collection and analysis, decision to publish, or preparation of the manuscript.</t>
  </si>
  <si>
    <t>e113137</t>
  </si>
  <si>
    <t>10.1371/journal.pone.0113137</t>
  </si>
  <si>
    <t>AU4DF</t>
  </si>
  <si>
    <t>WOS:000345558500136</t>
  </si>
  <si>
    <t>McKay, R</t>
  </si>
  <si>
    <t>McKay, Robert</t>
  </si>
  <si>
    <t>Did Antarctica initiate the ice age cycles?</t>
  </si>
  <si>
    <t>SOUTHERN-OCEAN; SHEET; STRATIFICATION; GLACIATION</t>
  </si>
  <si>
    <t>Victoria Univ Wellington, Antarctic Res Ctr, Wellington, New Zealand</t>
  </si>
  <si>
    <t>Victoria University Wellington</t>
  </si>
  <si>
    <t>McKay, R (corresponding author), Victoria Univ Wellington, Antarctic Res Ctr, Wellington, New Zealand.</t>
  </si>
  <si>
    <t>robert.mckay@vuw.ac.nz</t>
  </si>
  <si>
    <t>McKay, Robert/0000-0002-5602-6985</t>
  </si>
  <si>
    <t>10.1126/science.1262048</t>
  </si>
  <si>
    <t>WOS:000344659900021</t>
  </si>
  <si>
    <t>Zhu, RB; Wang, Q; Ding, W; Wang, C; Hou, LJ; Ma, DW</t>
  </si>
  <si>
    <t>Zhu, Renbin; Wang, Qing; Ding, Wei; Wang, Can; Hou, Lijun; Ma, Dawei</t>
  </si>
  <si>
    <t>Penguins significantly increased phosphine formation and phosphorus contribution in maritime Antarctic soils</t>
  </si>
  <si>
    <t>SCIENTIFIC REPORTS</t>
  </si>
  <si>
    <t>MATRIX-BOUND PHOSPHINE; SEDIMENTS; EMISSION; ESTUARY; CHINA</t>
  </si>
  <si>
    <t>Most studies on phosphorus cycle in the natural environment focused on phosphates, with limited data available for the reduced phosphine (PH3). In this paper, matrix-bound phosphine (MBP), gaseous phosphine fluxes and phosphorus fractions in the soils were investigated from a penguin colony, a seal colony and the adjacent animal-lacking tundra and background sites. The MBP levels (mean 200.3 ng kg(-1)) in penguin colony soils were much higher than those in seal colony soils, animal-lacking tundra soils and the background soils. Field PH3 flux observation and laboratory incubation experiments confirmed that penguin colony soils produced much higher PH3 emissions than seal colony soils and animal-lacking tundra soils. Overall high MBP levels and PH3 emissions were modulated by soil biogeochemical processes associated with penguin activities: sufficient supply of the nutrients phosphorus, nitrogen, and organic carbon from penguin guano, high soil bacterial abundance and phosphatase activity. It was proposed that organic or inorganic phosphorus compounds from penguin guano or seal excreta could be reduced to PH3 in the Antarctic soils through the bacterial activity. Our results indicated that penguin activity significantly increased soil phosphine formation and phosphorus contribution, thus played an important role in phosphorus cycle in terrestrial ecosystems of maritime Antarctica.</t>
  </si>
  <si>
    <t>[Zhu, Renbin; Wang, Qing; Ding, Wei; Wang, Can; Ma, Dawei] Univ Sci &amp; Technol China, Inst Polar Environm, Sch Earth &amp; Space Sci, Hefei 230026, Anhui, Peoples R China; [Hou, Lijun] E China Normal Univ, State Key Lab Estuarine &amp; Coastal Res, Shanghai 200062, Peoples R China</t>
  </si>
  <si>
    <t>Chinese Academy of Sciences; University of Science &amp; Technology of China, CAS; East China Normal University</t>
  </si>
  <si>
    <t>Zhu, RB (corresponding author), Univ Sci &amp; Technol China, Inst Polar Environm, Sch Earth &amp; Space Sci, Hefei 230026, Anhui, Peoples R China.</t>
  </si>
  <si>
    <t>, 晴/AAW-6003-2020; Hou, Lijun/A-2559-2016; ding, wei/S-3164-2016</t>
  </si>
  <si>
    <t>National Natural Science Foundation of China [41176171, 41322002, 41076124]; Specialized Research Fund for the Doctoral Program of Higher Education [20123402110026]</t>
  </si>
  <si>
    <t>This work was supported by the National Natural Science Foundation of China (Grant No. 41176171; 41322002; 41076124) and Specialized Research Fund for the Doctoral Program of Higher Education (Grant No. 20123402110026). We thank Polar Office of National Ocean Bureau of China and the members of Chinese Antarctic Research Expedition for their support and assistant.</t>
  </si>
  <si>
    <t>2045-2322</t>
  </si>
  <si>
    <t>SCI REP-UK</t>
  </si>
  <si>
    <t>Sci Rep</t>
  </si>
  <si>
    <t>10.1038/srep07055</t>
  </si>
  <si>
    <t>AU0FC</t>
  </si>
  <si>
    <t>WOS:000345297900006</t>
  </si>
  <si>
    <t>Lilensten, J; Coates, AJ; Dehant, V; de Wit, TD; Horne, RB; Leblanc, F; Luhmann, J; Woodfield, E; Barthélemy, M</t>
  </si>
  <si>
    <t>Lilensten, Jean; Coates, Andrew J.; Dehant, Veronique; de Wit, Thierry Dudok; Horne, Richard B.; Leblanc, Francois; Luhmann, Janet; Woodfield, Emma; Barthelemy, Mathieu</t>
  </si>
  <si>
    <t>What characterizes planetary space weather?</t>
  </si>
  <si>
    <t>ASTRONOMY AND ASTROPHYSICS REVIEW</t>
  </si>
  <si>
    <t>Space weather; Planets; Atmospheres</t>
  </si>
  <si>
    <t>SOLAR-PROTON-EVENTS; MARS UPPER-ATMOSPHERE; OCTOBER-NOVEMBER 2003; MAGNETIC-FIELD; OUTER PLANETS; RADIAL DIFFUSION; RELATIVISTIC ELECTRONS; SODIUM EXOSPHERE; OZONE DEPLETION; PARTICLE EVENT</t>
  </si>
  <si>
    <t>Space weather has become a mature discipline for the Earth space environment. With increasing efforts in space exploration, it is becoming more and more necessary to understand the space environments of bodies other than Earth. This is the background for an emerging aspect of the space weather discipline: planetary space weather. In this article, we explore what characterizes planetary space weather, using some examples throughout the solar system. We consider energy sources and timescales, the characteristics of solar system objects and interaction processes. We discuss several developments of space weather interactions including the effects on planetary radiation belts, atmospheric escape, habitability and effects on space systems. We discuss future considerations and conclude that planetary space weather will be of increasing importance for future planetary missions.</t>
  </si>
  <si>
    <t>[Lilensten, Jean; Barthelemy, Mathieu] IPAG, F-38041 Grenoble 9, France; [Coates, Andrew J.] Univ Coll London, Mullard Space Sci Lab, Dorking RH5 6NT, Surrey, England; [Dehant, Veronique] Royal Observ Belgium, Solar Terr Ctr Excellence, B-1180 Brussels, Belgium; [de Wit, Thierry Dudok] LPC2E OSUC, F-45071 Orleans 2, France; [Horne, Richard B.; Woodfield, Emma] British Antarctic Survey, Cambridge CB3 0ET, England; [Leblanc, Francois] CNRS, IPSL, Observat Spatiales, Lab Atmospheres, Paris, France; [Luhmann, Janet] Univ Calif Berkeley, Space Sci Lab, Berkeley, CA 94720 USA</t>
  </si>
  <si>
    <t>Institut de Planetologie et d'Astrophysique de Grenoble (IPAG); University of London; University College London; UK Research &amp; Innovation (UKRI); Natural Environment Research Council (NERC); NERC British Antarctic Survey; Centre National de la Recherche Scientifique (CNRS); Universite Paris Cite; University of California System; University of California Berkeley</t>
  </si>
  <si>
    <t>Lilensten, J (corresponding author), IPAG, Batiment D Phys,BP 53, F-38041 Grenoble 9, France.</t>
  </si>
  <si>
    <t>jean.lilensten@obs.ujf-grenoble.fr; ajc@mssl.ucl.ac.uk</t>
  </si>
  <si>
    <t>Horne, Richard B/U-3764-2019; Coates, Andrew/C-2396-2008; Dudok de Wit, Thierry/O-6478-2014; Woodfield, Emma/B-5313-2014</t>
  </si>
  <si>
    <t>Horne, Richard B/0000-0002-0412-6407; Coates, Andrew/0000-0002-6185-3125; Dudok de Wit, Thierry/0000-0002-4401-0943; Woodfield, Emma/0000-0002-0531-8814</t>
  </si>
  <si>
    <t>STFC [ST/I001727/1]; NERC; STFC; UK space agency TDdW - European Community [313188, FP7-SPACE-2012-2]; Natural Environment Research Council [bas0100023] Funding Source: researchfish; Science and Technology Facilities Council [ST/K000977/1, ST/I001727/1, ST/L001683/1] Funding Source: researchfish; UK Space Agency [ST/G004188/1, PP/D000831/1] Funding Source: researchfish; NERC [bas0100023] Funding Source: UKRI; STFC [ST/K000977/1, ST/I001727/1] Funding Source: UKRI</t>
  </si>
  <si>
    <t>STFC(UK Research &amp; Innovation (UKRI)Science &amp; Technology Facilities Council (STFC)); NERC(UK Research &amp; Innovation (UKRI)Natural Environment Research Council (NERC)); STFC(UK Research &amp; Innovation (UKRI)Science &amp; Technology Facilities Council (STFC)); UK space agency TDdW - European Community; Natural Environment Research Council(UK Research &amp; Innovation (UKRI)Natural Environment Research Council (NERC)); Science and Technology Facilities Council(UK Research &amp; Innovation (UKRI)Science &amp; Technology Facilities Council (STFC)); UK Space Agency; NERC(UK Research &amp; Innovation (UKRI)Natural Environment Research Council (NERC)); STFC(UK Research &amp; Innovation (UKRI)Science &amp; Technology Facilities Council (STFC))</t>
  </si>
  <si>
    <t>JL thanks Teresa Del Rio Gaztelurrutia for initiating this reflexion through fruitful discussions. EEW and RBH are funded through STFC grant ST/I001727/1. RBH is also funded by NERC. AJC acknowledges support from STFC and the UK space agency TDdW received funding from the European Community's Seventh Framework Programme FP7-SPACE-2012-2 under the Grant Agreement 313188 (SOLID project, projects.pmodwrc.ch/solid/).</t>
  </si>
  <si>
    <t>0935-4956</t>
  </si>
  <si>
    <t>1432-0754</t>
  </si>
  <si>
    <t>ASTRON ASTROPHYS REV</t>
  </si>
  <si>
    <t>Astron. Astrophys. Rev.</t>
  </si>
  <si>
    <t>NOV 12</t>
  </si>
  <si>
    <t>10.1007/s00159-014-0079-6</t>
  </si>
  <si>
    <t>AZ7GU</t>
  </si>
  <si>
    <t>WOS:000348388400001</t>
  </si>
  <si>
    <t>Krause, DW; Wible, JR; Hoffmann, S; Groenke, JR; O'Connor, PM; Holloway, WL; Rossie, JB</t>
  </si>
  <si>
    <t>Krause, David W.; Wible, John R.; Hoffmann, Simone; Groenke, Joseph R.; O'Connor, Patrick M.; Holloway, Waymon L.; Rossie, James B.</t>
  </si>
  <si>
    <t>Craniofacial Morphology of Vintana Sertichi (Mammalia, Gondwanatheria) from the Late Cretaceous of Madagascar</t>
  </si>
  <si>
    <t>JOURNAL OF VERTEBRATE PALEONTOLOGY</t>
  </si>
  <si>
    <t>SOLENODON-PARADOXUS BRANDT; INTERNAL NASAL SKELETON; GROUND SLOTHS XENARTHRA; CRANIAL SUTURE CLOSURE; INNER-EAR; PHYLOGENETIC-RELATIONSHIPS; EVOLUTIONARY DEVELOPMENT; CLADISTIC RELATIONSHIPS; ISCHIGUALASTO FORMATION; HISPANIOLAN SOLENODON</t>
  </si>
  <si>
    <t>The Gondwanatheria are an enigmatic clade of Cretaceous and Paleogene mammals known from South America, Africa, Madagascar, India, and the Antarctic Peninsula. The eight valid species-each belonging to a monotypic genus and the first of which was described only 30years ago-are represented almost exclusively by isolated teeth, in addition to fragmentary dentaries attributed to Sudamerica, Gondwanatherium, Ferugliotherium, and an unnamed taxon from Tanzania. No cranial (skull exclusive of lower jaw) or postcranial material has heretofore been assigned to the Gondwanatheria, a severe limitation that has precluded a comprehensive assessment of phylogenetic affinities. Here we describe, in detail, the first cranial specimen of a gondwanatherian mammal. This material consists of a complete and well-preserved cranium of the sudamericid Vintana sertichi, recovered from the Upper Cretaceous (Maastrichtian) Maevarano Formation in the Mahajanga Basin of northwestern Madagascar. Salient features of the cranium include elongate, scimitar-like jugal flanges, huge orbits, strong klinorhynchy, and a vaulted nuchal region. Micro-computed tomography greatly facilitated the delineation of sutures and the description of internal morphology. The cranial features of Vintana are compared with those of a broad range of synapsids, with particular concentration on other Mesozoic mammaliaforms. The cranium of Vintana exhibits a mosaic of extremely primitive and extremely derived features. It is the second largest known for a Mesozoic mammaliaform, superseded only by that of the eutriconodontan Repenomamus giganticus from the Early Cretaceous of China. Vintana is the largest known Late Cretaceous mammaliaform; it is also the largest known Mesozoic mammaliaform from Gondwana. SUPPLEMENTAL DATA-Supplemental materials are available for this article for free at www.tandfonline.com/UJVP</t>
  </si>
  <si>
    <t>[Krause, David W.; Hoffmann, Simone; Groenke, Joseph R.] SUNY Stony Brook, Dept Anat Sci, Stony Brook, NY 11794 USA; [Wible, John R.] Carnegie Museum Nat Hist, Sect Mammals, Pittsburgh, PA 15206 USA; [O'Connor, Patrick M.; Holloway, Waymon L.] Ohio Univ, Coll Osteopath Med, Dept Biomed Sci, Athens, OH 45701 USA; [Rossie, James B.] SUNY Stony Brook, Dept Anthropol, Stony Brook, NY 11794 USA</t>
  </si>
  <si>
    <t>State University of New York (SUNY) System; State University of New York (SUNY) Stony Brook; University System of Ohio; Ohio University; State University of New York (SUNY) System; State University of New York (SUNY) Stony Brook</t>
  </si>
  <si>
    <t>Krause, DW (corresponding author), SUNY Stony Brook, Dept Anat Sci, Stony Brook, NY 11794 USA.</t>
  </si>
  <si>
    <t>David.Krause@stonybrook.edu; wiblej@carnegiemnh.org; Simone.Hoffmann@stonybrook.edu; Joseph.Groenke@stonybrook.edu; oconnorp@ohiou.edu; hollowaw@ohiou.edu; James.Rossie@stonybrook.edu</t>
  </si>
  <si>
    <t>Wible, John/HLW-6199-2023; OConnor, Patrick/I-9383-2012</t>
  </si>
  <si>
    <t>Wible, John/0000-0002-0721-1228; Groenke, Joseph/0000-0002-9527-1887; OConnor, Patrick/0000-0002-6762-3806; Hoffmann, Simone/0000-0001-8984-0601</t>
  </si>
  <si>
    <t>National Geographic Society [8597-09]; National Science Foundation [BCS-0610514, EAR-0446488, EAR-1123642]; Directorate For Geosciences; Division Of Earth Sciences [1123642] Funding Source: National Science Foundation; Division Of Environmental Biology; Direct For Biological Sciences [0946430] Funding Source: National Science Foundation</t>
  </si>
  <si>
    <t>National Geographic Society(National Geographic Society); National Science Foundation(National Science Foundation (NSF)); Directorate For Geosciences; Division Of Earth Sciences(National Science Foundation (NSF)NSF - Directorate for Geosciences (GEO)); Division Of Environmental Biology; Direct For Biological Sciences(National Science Foundation (NSF)NSF - Directorate for Biological Sciences (BIO))</t>
  </si>
  <si>
    <t>We thank J. Thostenson and M. Hill (American Museum of Natural History Microscopy and Imaging Facility, New York) and J. Diehm and B. Ruether (Avonix Imaging, Plymouth, Minnesolta) for mu CT scanning of UA 9972; Phoenix Analysis &amp; Design Technologies (Tempe, Arizona) for providing a high-quality 3D print of the cranium; D. Boyer (Duke University) for mu CT scanning comparative material of Thrinaxodon; J. Neville (Stony Brook University [SBU]) for taking the photographs in Figs. 1, 3-6; E. Ambika and T. Salerno (SBU) and Kenneth Wheeler (Ohio University) for assistance with mu CT imaging; L. Betti-Nash (SBU) for skillfully executing various drawings, for assistance in arranging and labeling the figures, and for incredible patience, not to mention grace under pressure; F. Grine for providing access to comparative material of Thrinaxodon; A. Pritchard for assistance with references; and D. Boyer (Duke University), E. Dumont (University of Massachusetts-Amherst), B. Demes (SBU), M. Geiger (University of Zurich), W. Hillenius (College of Charleston), C. Kammerer (Museum fur Naturkunde, Berlin), Z.-X. Luo (University of Chicago), G. Rougier (University of Louisville), I. Ruf (Universitat Bonn), M. Sanchez-Villagra (University of Zurich), and T. Smith (Slippery Rock University) for discussion; and Z.-X. Luo for taking on the task of reviewing this large manuscript and for providing many insightful comments. This research was supported by grants from the National Geographic Society (8597-09) and the National Science Foundation (BCS-0610514, EAR-0446488, EAR-1123642).</t>
  </si>
  <si>
    <t>0272-4634</t>
  </si>
  <si>
    <t>1937-2809</t>
  </si>
  <si>
    <t>J VERTEBR PALEONTOL</t>
  </si>
  <si>
    <t>J. Vertebr. Paleontol.</t>
  </si>
  <si>
    <t>NOV 10</t>
  </si>
  <si>
    <t>10.1080/02724634.2014.976129</t>
  </si>
  <si>
    <t>AW1LD</t>
  </si>
  <si>
    <t>WOS:000346050000003</t>
  </si>
  <si>
    <t>Chacko, R; Murukesh, N; George, JV; Anilkumar, N</t>
  </si>
  <si>
    <t>Chacko, Racheal; Murukesh, Nuncio; George, Jenson V.; Anilkumar, N.</t>
  </si>
  <si>
    <t>Observational evidence of the southward transport of water masses in the Indian sector of the Southern Ocean</t>
  </si>
  <si>
    <t>CURRENT SCIENCE</t>
  </si>
  <si>
    <t>Eddy kinetic energy; oceanic fronts; subtropical surface water; water masses</t>
  </si>
  <si>
    <t>ANTARCTIC CIRCUMPOLAR CURRENT; FRONTAL STRUCTURE; HEAT; VARIABILITY; CIRCULATION; CLIMATE; AFRICA; EDDIES; WINDS; ZONE</t>
  </si>
  <si>
    <t>The southward transport of water masses in the Indian sector of the Southern Ocean (SO) is compared using the hydrographic data collected during the austral summer of 2010 and 2011. It has been found that subtropical surface water (STSW) underwent maximum southward displacement during the study period. The southward extent of STSW was at 45 S during 2011, but was restricted to 42 degrees S during 2010. During 2011, three eddies were identified along the cruise track, whereas during 2010 eddies were absent. Satellite sea-level anomaly showed that these eddies were associated with the highly unstable Agulhas Return Current (ARC). The present study shows that STSW is transported along the peripheries of these eddies during 2011. There are indications of transport of mode water as well, but this is not resolved in the present study. Analysis of eddy kinetic energy shows a positive linear decadal trend; also, peak eddy lagged the southern annular mode by a year. This indicates that though the eddies may act locally, they are linked to the large-scale variability in the southern hemisphere.</t>
  </si>
  <si>
    <t>[Chacko, Racheal; Murukesh, Nuncio; George, Jenson V.; Anilkumar, N.] Natl Ctr Antarctic &amp; Ocean Res, Vasco Da Gama 403804, Goa, India</t>
  </si>
  <si>
    <t>Chacko, R (corresponding author), Natl Ctr Antarctic &amp; Ocean Res, Vasco Da Gama 403804, Goa, India.</t>
  </si>
  <si>
    <t>This work was supported by the Ministry of Earth Sciences, Government of India. We thank the Director, NCAOR, Goa for support and encouragement. We also thank the cruise participants and staff at NCAOR for help in the implementation and completion of this study. This is NCAOR contribution number 21/2014.</t>
  </si>
  <si>
    <t>INDIAN ACAD SCIENCES</t>
  </si>
  <si>
    <t>BANGALORE</t>
  </si>
  <si>
    <t>C V RAMAN AVENUE, SADASHIVANAGAR, P B #8005, BANGALORE 560 080, INDIA</t>
  </si>
  <si>
    <t>0011-3891</t>
  </si>
  <si>
    <t>CURR SCI INDIA</t>
  </si>
  <si>
    <t>Curr. Sci.</t>
  </si>
  <si>
    <t>AT7HW</t>
  </si>
  <si>
    <t>WOS:000345108200028</t>
  </si>
  <si>
    <t>Tremblay, N; Werner, T; Huenerlage, K; Buchholz, F; Abele, D; Meyer, B; Brey, T</t>
  </si>
  <si>
    <t>Tremblay, Nelly; Werner, Thorsten; Huenerlage, Kim; Buchholz, Friedrich; Abele, Doris; Meyer, Bettina; Brey, Thomas</t>
  </si>
  <si>
    <t>Euphausiid respiration model revamped: Latitudinal and seasonal shaping effects on krill respiration rates</t>
  </si>
  <si>
    <t>Euphausia superba; Euphausia pacifica; Meganyctiphanes norvegica; Artificial neural network; General additive model; Respiration data sets</t>
  </si>
  <si>
    <t>ANTARCTIC KRILL; ELEMENTAL COMPOSITION; OXYGEN-CONSUMPTION; MIDWATER CRUSTACEANS; CHEMICAL-COMPOSITION; NITROGEN-EXCRETION; MARINE ZOOPLANKTON; METABOLIC RATES; ENERGY BUDGETS; SUPERBA</t>
  </si>
  <si>
    <t>Euphausiids constitute a major biomass component in shelf ecosystems and play a fundamental role in the rapid vertical transport of carbon from the ocean surface to the deeper layers during their daily vertical migration (DVM). DVM depth and migration patterns depend on oceanographic conditions with respect to temperature, light and oxygen availability at depth, factors that are highly dependent on season in most marine regions. Here we introduce a global krill respiration ANN (artificial neural network) model including the effect of latitude (LAT), the day of the year (DoY), and the number of daylight hours (DLh), in addition to the basal variables that determine ectothermal oxygen consumption (temperature, body mass and depth). The newly implemented parameters link space and time in terms of season and photoperiod to krill respiration. The ANN model showed a better fit (r(2) = 0.780) when DLh and LAT were included, indicating a decrease in respiration with increasing LAT and decreasing DLh. We therefore propose DLh as a potential variable to consider when building physiological models for both hemispheres. For single Euphausiid species investigated in a large range of DLh and DoY, we also tested the standard respiration rate for seasonality with Multiple Linear Regression (MLR) and General Additive model (GAM). GAM successfully integrated DLh (r(2) = 0.563) and DoY (r(2) = 0.572) effects on respiration rates of the Antarctic krill, Euphausia superba, yielding the minimum metabolic activity in mid-June and the maximum at the end of December. We could not detect DLh or DoY effects in the North Pacific krill Euphausia pacifica, and our findings for the North Atlantic krill Meganyctiphanes norvegica remained inconclusive because of insufficient seasonal data coverage. We strongly encourage comparative respiration measurements of worldwide Euphausiid key species at different seasons to improve accuracy in ecosystem modeling. (C) 2014 Elsevier B.V. All rights reserved.</t>
  </si>
  <si>
    <t>[Tremblay, Nelly; Werner, Thorsten; Huenerlage, Kim; Buchholz, Friedrich; Abele, Doris; Meyer, Bettina; Brey, Thomas] Alfred Wegener Inst Helmholtz Zentrum Polar &amp; Mee, D-27570 Bremerhaven, Germany</t>
  </si>
  <si>
    <t>Tremblay, N (corresponding author), Alfred Wegener Inst Helmholtz Zentrum Polar &amp; Mee, D-27570 Bremerhaven, Germany.</t>
  </si>
  <si>
    <t>nellytremblay@gmail.com</t>
  </si>
  <si>
    <t>, Nelly/K-2552-2014; Meyer, Bettina/ABB-5311-2020</t>
  </si>
  <si>
    <t>, Nelly/0000-0002-8221-4680; Meyer, Bettina/0000-0001-6804-9896; Abele, Doris/0000-0002-5766-5017; Brey, Thomas/0000-0002-6345-2851; Huenerlage, Lara Kim/0000-0002-1997-4556</t>
  </si>
  <si>
    <t>Fonds de recherche sur la Nature et les Technologies du Quebec (Canada)</t>
  </si>
  <si>
    <t>This study is based on the careful respiration measurements of many euphausiid and zooplankton experts of the world. N. Tremblay had a doctoral scholarship from the Fonds de recherche sur la Nature et les Technologies du Quebec (Canada).</t>
  </si>
  <si>
    <t>10.1016/j.ecolmodel.2014.07.031</t>
  </si>
  <si>
    <t>AR2AU</t>
  </si>
  <si>
    <t>WOS:000343386500021</t>
  </si>
  <si>
    <t>Flukes, EB; Johnson, CR; Wright, JT</t>
  </si>
  <si>
    <t>Flukes, E. B.; Johnson, C. R.; Wright, J. T.</t>
  </si>
  <si>
    <t>Thinning of kelp canopy modifies understory assemblages: the importance of canopy density</t>
  </si>
  <si>
    <t>Ecklonia radiate; Canopy disturbance; Understory assemblages; Kelp bed; Community ecology; Canopy density; Seaweeds; Community structure</t>
  </si>
  <si>
    <t>ECKLONIA-RADIATA LAMINARIALES; MACROCYSTIS-PYRIFERA; WAVE EXPOSURE; PHYSICAL DISTURBANCES; RECRUITMENT SUCCESS; UNDARIA-PINNATIFIDA; DELAYED DEVELOPMENT; SEA-URCHINS; ALGAL; DIVERSITY</t>
  </si>
  <si>
    <t>Kelp forests in southeastern Australia form canopies that support complex understory assemblages. Predicted levels of climate change in this region are likely to impact the health and distribution of these forests, potentially resulting in large-scale reductions in canopy cover. This study determined the impacts of a permanent reduction in canopy cover of the dominant kelp in this region, Ecklonia radiata, on the structure of understory algal and sessile invertebrate community assemblages. Changes in assemblages were determined over 12 mo in 3 treatments: unmanipulated, 33% canopy reduction and 66% canopy reduction. Clearance treatments were maintained to simulate the predicted effects of long-term climate-driven canopy reduction. Thinning of E. radiata canopy (especially 66% loss) caused a shift towards a foliose algal-dominated understory, with an associated loss of sponges, bryozoans, and encrusting algae. Canopy loss homogenised existing patchiness in understory assemblages, and high recruitment of E. radiata occurred at both levels of thinning. A 66% reduction in kelp canopy increased understory community diversity, but did not affect species richness. Thus, changes to understory assemblages occurred in a density-dependent manner, with 66% canopy loss required to alter the structure of assemblages at the community scale. Changes at this scale were subtle but important (with stability attributed to a combination of biogeography and resistance to perturbation driven by high diversity), and indicate that partial loss of kelp canopy under future climate change scenarios will shift understory communities towards a foliose algal-dominated state, which has important implications for sessile invertebrates and potentially future recruitment of kelp.</t>
  </si>
  <si>
    <t>[Flukes, E. B.; Johnson, C. R.] Univ Tasmania, Inst Marine &amp; Antarct Studies, Hobart, Tas 7001, Australia; [Wright, J. T.] Univ Tasmania, Australian Maritime Coll, Natl Ctr Marine Conservat &amp; Resource Sustainabil, Launceston, Tas 7250, Australia</t>
  </si>
  <si>
    <t>University of Tasmania; University of Tasmania; Australian Maritime College</t>
  </si>
  <si>
    <t>Flukes, EB (corresponding author), Univ Tasmania, Inst Marine &amp; Antarct Studies, Private Bag 129, Hobart, Tas 7001, Australia.</t>
  </si>
  <si>
    <t>eflukes@utas.edu.au</t>
  </si>
  <si>
    <t>; Wright, Jeffrey/J-7536-2014; Johnson, Craig/E-1788-2013</t>
  </si>
  <si>
    <t>Flukes, Emma/0000-0003-2749-834X; Wright, Jeffrey/0000-0002-1085-4582; Johnson, Craig/0000-0002-9511-905X</t>
  </si>
  <si>
    <t>Australian Research Council; UTAS PhD program; Institute for Marine and Antarctic Studies, University of Tasmania</t>
  </si>
  <si>
    <t>Australian Research Council(Australian Research Council); UTAS PhD program; Institute for Marine and Antarctic Studies, University of Tasmania</t>
  </si>
  <si>
    <t>We thank C. Mabin, S. Talbot, M. Tatsumi, J. Randall and I. Jermyn for their assistance in the field. We are grateful for the assistance in floral identification received from C. Sanderson and F. Scott. This research was supported by funds awarded to C.R.J. and J.T.W. from the Australian Research Council. E.B.F. was supported by the UTAS PhD program and received scholarship support from the Institute for Marine and Antarctic Studies, University of Tasmania.</t>
  </si>
  <si>
    <t>NOV 6</t>
  </si>
  <si>
    <t>10.3354/meps10964</t>
  </si>
  <si>
    <t>AU6GC</t>
  </si>
  <si>
    <t>WOS:000345700700005</t>
  </si>
  <si>
    <t>Reisinger, RR; Oosthuizen, WC; Péron, G; Toussaint, DC; Andrews, RD; de Bruyn, PJN</t>
  </si>
  <si>
    <t>Reisinger, Ryan R.; Oosthuizen, W. Chris; Peron, Guillaume; Toussaint, Dawn Cory; Andrews, Russel D.; de Bruyn, P. J. Nico</t>
  </si>
  <si>
    <t>Satellite Tagging and Biopsy Sampling of Killer Whales at Subantarctic Marion Island: Effectiveness, Immediate Reactions and Long-Term Responses</t>
  </si>
  <si>
    <t>CAPTURE-RECAPTURE MODELS; SOUTHERN RIGHT WHALES; MEGAPTERA-NOVAEANGLIAE; BEHAVIORAL-RESPONSES; HUMPBACK WHALES; ORCINUS-ORCA; HUMAN DISTURBANCE; MOVEMENTS; CONSERVATION; PENGUINS</t>
  </si>
  <si>
    <t>Remote tissue biopsy sampling and satellite tagging are becoming widely used in large marine vertebrate studies because they allow the collection of a diverse suite of otherwise difficult-to-obtain data which are critical in understanding the ecology of these species and to their conservation and management. Researchers must carefully consider their methods not only from an animal welfare perspective, but also to ensure the scientific rigour and validity of their results. We report methods for shore-based, remote biopsy sampling and satellite tagging of killer whales Orcinus orca at Subantarctic Marion Island. The performance of these methods is critically assessed using 1) the attachment duration of low-impact minimally percutaneous satellite tags; 2) the immediate behavioural reactions of animals to biopsy sampling and satellite tagging; 3) the effect of researcher experience on biopsy sampling and satellite tagging; and 4) the mid- (1 month) and long- (24 month) term behavioural consequences. To study mid- and long-term behavioural changes we used multievent capture-recapture models that accommodate imperfect detection and individual heterogeneity. We made 72 biopsy sampling attempts (resulting in 32 tissue samples) and 37 satellite tagging attempts (deploying 19 tags). Biopsy sampling success rates were low (43%), but tagging rates were high with improved tag designs (86%). The improved tags remained attached for 26 +/- 14 days (mean +/- SD). Individuals most often showed no reaction when attempts missed (66%) and a slight reaction-defined as a slight flinch, slight shake, short acceleration, or immediate dive-when hit (54%). Severe immediate reactions were never observed. Hit or miss and age-sex class were important predictors of the reaction, but the method (tag or biopsy) was unimportant. Multievent trap-dependence modelling revealed considerable variation in individual sighting patterns; however, there were no significant mid-or long-term changes following biopsy sampling or tagging.</t>
  </si>
  <si>
    <t>[Reisinger, Ryan R.; Oosthuizen, W. Chris; Toussaint, Dawn Cory; de Bruyn, P. J. Nico] Univ Pretoria, Dept Zool &amp; Entomol, Mammal Res Inst, ZA-0002 Pretoria, South Africa; [Peron, Guillaume] Univ Cape Town, Dept Stat Sci, Ctr Stat Ecol Environm &amp; Conservat, ZA-7925 Cape Town, South Africa; [Andrews, Russel D.] Univ Alaska, Sch Fisheries &amp; Ocean Sci, Fairbanks, AK 99701 USA; [Andrews, Russel D.] Alaska SeaLife Ctr, Seward, AK USA</t>
  </si>
  <si>
    <t>University of Pretoria; University of Cape Town; University of Alaska System; University of Alaska Fairbanks</t>
  </si>
  <si>
    <t>Reisinger, RR (corresponding author), Univ Pretoria, Dept Zool &amp; Entomol, Mammal Res Inst, ZA-0002 Pretoria, South Africa.</t>
  </si>
  <si>
    <t>rrreisinger@zoology.up.ac.za</t>
  </si>
  <si>
    <t>de Bruyn, P. J. Nico/E-4176-2010; Oosthuizen, W. Chris/I-2947-2016; PERON, Guillaume/C-5379-2013; Reisinger, Ryan R/D-6151-2014</t>
  </si>
  <si>
    <t>de Bruyn, P. J. Nico/0000-0002-9114-9569; Oosthuizen, W. Chris/0000-0003-2905-6297; PERON, Guillaume/0000-0002-6311-4377; Reisinger, Ryan R/0000-0002-8933-6875; Andrews, Russel/0000-0002-4545-137X</t>
  </si>
  <si>
    <t>National Research Foundation's (NRF); South African Department of Science and Technology through the NRF; Mohamed bin Zayed Species Conservation Fund [10251290]; International Whaling Commission's Southern Ocean Research Partnership</t>
  </si>
  <si>
    <t>National Research Foundation's (NRF); South African Department of Science and Technology through the NRF; Mohamed bin Zayed Species Conservation Fund; International Whaling Commission's Southern Ocean Research Partnership</t>
  </si>
  <si>
    <t>Funding was provided by the National Research Foundation's (NRF) Thuthuka and South African National Antarctic programmes, the South African Department of Science and Technology through the NRF, the Mohamed bin Zayed Species Conservation Fund (Project number: 10251290) and the International Whaling Commission's Southern Ocean Research Partnership. The funders had no role in study design, data collection and analysis, decision to publish, or preparation of the manuscript.</t>
  </si>
  <si>
    <t>e111835</t>
  </si>
  <si>
    <t>10.1371/journal.pone.0111835</t>
  </si>
  <si>
    <t>AS6XM</t>
  </si>
  <si>
    <t>WOS:000344402600065</t>
  </si>
  <si>
    <t>Liu, SD; Fu, ZT; Liu, SK</t>
  </si>
  <si>
    <t>Liu Shi-Da; Fu Zun-Tao; Liu Shi-Kuo</t>
  </si>
  <si>
    <t>From Arctic high, Antarctic low to three-dimensional heteroclinic orbit connecting south pole and north pole</t>
  </si>
  <si>
    <t>ACTA PHYSICA SINICA</t>
  </si>
  <si>
    <t>Arctic high; Antarctic low; friction; heteroclinic orbit</t>
  </si>
  <si>
    <t>Under the steady condition, the spherical geostrophic wind relationship in spherical coordinates (lambda, phi, r) is applied to illustrate that when isobars take the simplest zonal distribution, the Antarctic is at a low ambient pressure, while the Arctic is at high. However, when friction is incorporated into the geostrophic wind relationship, the closed vortex over Antarctic and Arctic will turn to a spiral vortex, and there will exist a three-dimensional heteroclinic orbit between Antarctic and Arctic on the spherical surface.</t>
  </si>
  <si>
    <t>[Fu Zun-Tao] Peking Univ, Sch Phys, Dept Atmospher &amp; Ocean Sci, Beijing 100871, Peoples R China; Peking Univ, Sch Phys, Lab Climate &amp; Ocean Atmosphere Studies, Beijing 100871, Peoples R China</t>
  </si>
  <si>
    <t>Peking University; Peking University</t>
  </si>
  <si>
    <t>Fu, ZT (corresponding author), Peking Univ, Sch Phys, Dept Atmospher &amp; Ocean Sci, Beijing 100871, Peoples R China.</t>
  </si>
  <si>
    <t>fuzt@pku.edu.cn</t>
  </si>
  <si>
    <t>National Natural Science Foundation of China [40975027]</t>
  </si>
  <si>
    <t>Project supported by the National Natural Science Foundation of China (Grant No. 40975027).</t>
  </si>
  <si>
    <t>CHINESE PHYSICAL SOC</t>
  </si>
  <si>
    <t>P O BOX 603, BEIJING 100080, PEOPLES R CHINA</t>
  </si>
  <si>
    <t>1000-3290</t>
  </si>
  <si>
    <t>ACTA PHYS SIN-CH ED</t>
  </si>
  <si>
    <t>Acta Phys. Sin.</t>
  </si>
  <si>
    <t>NOV 5</t>
  </si>
  <si>
    <t>10.7498/aps.63.214701</t>
  </si>
  <si>
    <t>Physics, Multidisciplinary</t>
  </si>
  <si>
    <t>Physics</t>
  </si>
  <si>
    <t>AT0HD</t>
  </si>
  <si>
    <t>WOS:000344616700029</t>
  </si>
  <si>
    <t>Van de Vijver, B</t>
  </si>
  <si>
    <t>Van de Vijver, Bart</t>
  </si>
  <si>
    <t>Analysis of the type material of Navicula brachysira Brebisson with the description of Brachysira sandrae, a new raphid diatom (Bacillariophyceae) from Iles Kerguelen (TAAF, sub-Antarctica, southern Indian Ocean)</t>
  </si>
  <si>
    <t>Brachysira; Navicula brachysira; sub-Antarctica; Iles Kerguelen; morphology; new species</t>
  </si>
  <si>
    <t>STROMNESS BAY AREA; FRESH-WATER; LIVINGSTON ISLAND; COMMUNITIES</t>
  </si>
  <si>
    <t>During a study of the freshwater diatom flora of some hot springs on the sub-Antarctic Kerguelen Islands, an unknown Brachysira species was observed. Detailed morphological analysis using both light and scanning electron microscopy observations revealed sufficient morphological differences to separate this species as Brachysira sandrae sp. nov. The new species belongs to the complex of taxa around B. brebissonii. The type material of Navicula brachysira, most likely the type of B. brebissonii, was studied to reveal its morphological ultrastructure. The new species is compared with B. brebissonii and with similar Brachysira taxa worldwide.</t>
  </si>
  <si>
    <t>[Van de Vijver, Bart] Bot Garden Meise, Dept Bryophyta &amp; Thallophyta, B-1860 Meise, Belgium; [Van de Vijver, Bart] Univ Antwerp, ECOBE, Dept Biol, B-2610 Antwerp, Belgium</t>
  </si>
  <si>
    <t>University of Antwerp</t>
  </si>
  <si>
    <t>French Polar Institute-Paul-Emile Victor [136]; BELSPO project CCAMBIO</t>
  </si>
  <si>
    <t>French Polar Institute-Paul-Emile Victor; BELSPO project CCAMBIO</t>
  </si>
  <si>
    <t>Ir. Marc Lebouvier is thanked for collecting the Val Travers samples. Sampling on Kerguelen has been made possible thanks to the logistic and financial support of the French Polar Institute-Paul-Emile Victor in the framework of the terrestrial program 136 (Marc Lebouvier &amp; Yves Frenot). Part of the research was funded within the BELSPO project CCAMBIO. Dr. Alex Ball, the staff of the IAC laboratory and Dr. Eileen J. Cox at the Natural History Museum are thanked for their help with the scanning electron microscopy.</t>
  </si>
  <si>
    <t>PO BOX 41383, AUCKLAND, ST LUKES 1030, NEW ZEALAND</t>
  </si>
  <si>
    <t>10.11646/phytotaxa.184.3.3</t>
  </si>
  <si>
    <t>AS8IL</t>
  </si>
  <si>
    <t>WOS:000344492800003</t>
  </si>
  <si>
    <t>Liu, JB; Chen, RZ; Wang, ZM; An, JC; Hyyppä, J</t>
  </si>
  <si>
    <t>Liu, Jingbin; Chen, Ruizhi; Wang, Zemin; An, Jiachun; Hyyppa, Juha</t>
  </si>
  <si>
    <t>Long-Term Prediction of the Arctic Ionospheric TEC Based on Time-Varying Periodograms</t>
  </si>
  <si>
    <t>TOTAL ELECTRON-CONTENT; CAP HARMONIC-ANALYSIS; SOLAR-ACTIVITY; CYCLE; SYSTEM; MODEL; MAPS</t>
  </si>
  <si>
    <t>Knowledge of the polar ionospheric total electron content (TEC) and its future variations is of scientific and engineering relevance. In this study, a new method is developed to predict Arctic mean TEC on the scale of a solar cycle using previous data covering 14 years. The Arctic TEC is derived from global positioning system measurements using the spherical cap harmonic analysis mapping method. The study indicates that the variability of the Arctic TEC results in highly time-varying periodograms, which are utilized for prediction in the proposed method. The TEC time series is divided into two components of periodic oscillations and the average TEC. The newly developed method of TEC prediction is based on an extrapolation method that requires no input of physical observations of the time interval of prediction, and it is performed in both temporally backward and forward directions by summing the extrapolation of the two components. The backward prediction indicates that the Arctic TEC variability includes a 9 years period for the study duration, in addition to the well-established periods. The long-term prediction has an uncertainty of 4.8-5.6 TECU for different period sets.</t>
  </si>
  <si>
    <t>[Liu, Jingbin; Hyyppa, Juha] Finnish Geodet Inst, Dept Remote Sensing &amp; Photogrammetry, Masala, Finland; [Chen, Ruizhi] Texas A&amp;M Univ, Conrad Blucher Inst Surveying &amp; Sci, Corpus Christi, TX USA; [Wang, Zemin; An, Jiachun] Wuhan Univ, Chinese Antarctic Ctr Surveying &amp; Mapping, Wuhan 430072, Peoples R China</t>
  </si>
  <si>
    <t>The National Land Survey of Finland; Finnish Geospatial Research Institute (FGI); Texas A&amp;M University System; Wuhan University</t>
  </si>
  <si>
    <t>Liu, JB (corresponding author), Finnish Geodet Inst, Dept Remote Sensing &amp; Photogrammetry, Masala, Finland.</t>
  </si>
  <si>
    <t>jingbin.liu@fgi.fi</t>
  </si>
  <si>
    <t>Hyyppä, Juha M./ABH-1852-2021; An, Jiachun/ABG-4275-2020; Chen, Ruizhi/JWA-0977-2024; Liu, Jingbin/AAE-8803-2020; ZeMin, Wang/AAU-3422-2020</t>
  </si>
  <si>
    <t>Hyyppa, Juha/0000-0001-5360-4017; Liu, Jingbin/0000-0001-6216-0956</t>
  </si>
  <si>
    <t>Finnish Centre of Excellence in Laser Scanning Research - Academy of Finland [272195]; National Natural Science Foundation of China [41174029, 41204028, 41231064]</t>
  </si>
  <si>
    <t>Finnish Centre of Excellence in Laser Scanning Research - Academy of Finland; National Natural Science Foundation of China(National Natural Science Foundation of China (NSFC))</t>
  </si>
  <si>
    <t>This work was supported in part by the Finnish Centre of Excellence in Laser Scanning Research, which is funded under project 272195 (JH) by the Academy of Finland (http://www.aka.fi). This work was also supported in part by the National Natural Science Foundation of China (grants 41174029(ZW), 41204028(JA), and 41231064(ZW))(http://www.nsfc.gov.cn). The funders had no role in study design, data collection and analysis, decision to publish, or preparation of the manuscript.</t>
  </si>
  <si>
    <t>NOV 4</t>
  </si>
  <si>
    <t>e111497</t>
  </si>
  <si>
    <t>10.1371/journal.pone.0111497</t>
  </si>
  <si>
    <t>AS6XG</t>
  </si>
  <si>
    <t>WOS:000344402000060</t>
  </si>
  <si>
    <t>Wagstaff, CRD; Weston, NJV</t>
  </si>
  <si>
    <t>Wagstaff, Christopher R. D.; Weston, Neil J. V.</t>
  </si>
  <si>
    <t>Examining Emotion Regulation in an Isolated Performance Team in Antarctica</t>
  </si>
  <si>
    <t>SPORT EXERCISE AND PERFORMANCE PSYCHOLOGY</t>
  </si>
  <si>
    <t>emotional contagion; emotional labor; team dynamics; mediation; mental fatigue</t>
  </si>
  <si>
    <t>INDIVIDUAL-DIFFERENCES; PSYCHOLOGY; CONTAGION; SPORT</t>
  </si>
  <si>
    <t>This study examined the emotions experienced by a team of 12 military personnel during a 2-month Antarctic mountaineering expedition, the strategies these individuals used to manage these emotions, the perceived effectiveness of these strategies, and the impact of such strategies on team dynamics and performance. To address the research aims, participants completed daily diaries with standardized checklists throughout the expedition and took part in pre- and postexpedition semistructured interviews. The data showed that participants experienced a broad range of discrete emotions and reported similar frequency of use of adaptive and maladaptive emotion regulation strategies. Surprisingly, 2 maladaptive strategies, acceptance and expressive suppression, were rated as the most effective regulation strategies despite their use being correlated with negative intrapersonal and interpersonal outcomes. The results confirm the complex social nature of the emotion process and illuminate our understanding of emotional experiences in performance teams. The findings support the existence of affective linkages between team members and highlight the importance of emotional contagion and labor for intrapersonal and interpersonal outcomes.</t>
  </si>
  <si>
    <t>[Wagstaff, Christopher R. D.; Weston, Neil J. V.] Univ Portsmouth, Dept Sport &amp; Exercise Sci, Portsmouth PO1 2ER, Hants, England</t>
  </si>
  <si>
    <t>University of Portsmouth</t>
  </si>
  <si>
    <t>Wagstaff, CRD (corresponding author), Univ Portsmouth, Dept Sport &amp; Exercise Sci, Spinnaker Bldg,Cambridge Rd, Portsmouth PO1 2ER, Hants, England.</t>
  </si>
  <si>
    <t>chris.wagstaff@port.ac.uk</t>
  </si>
  <si>
    <t>Wagstaff, Christopher/0000-0002-5513-6015</t>
  </si>
  <si>
    <t>EDUCATIONAL PUBLISHING FOUNDATION-AMERICAN PSYCHOLOGICAL ASSOC</t>
  </si>
  <si>
    <t>750 FIRST ST, NE, WASHINGTON, DC 20002-4242 USA</t>
  </si>
  <si>
    <t>2157-3905</t>
  </si>
  <si>
    <t>2157-3913</t>
  </si>
  <si>
    <t>SPORT EXERC PERFORM</t>
  </si>
  <si>
    <t>Sport Exerc. Perform. Psychol.</t>
  </si>
  <si>
    <t>NOV</t>
  </si>
  <si>
    <t>10.1037/spy0000022</t>
  </si>
  <si>
    <t>Hospitality, Leisure, Sport &amp; Tourism; Psychology, Applied</t>
  </si>
  <si>
    <t>Social Sciences - Other Topics; Psychology</t>
  </si>
  <si>
    <t>CL0ZL</t>
  </si>
  <si>
    <t>WOS:000356671500005</t>
  </si>
  <si>
    <t>Tréguer, PJ</t>
  </si>
  <si>
    <t>Treguer, Paul J.</t>
  </si>
  <si>
    <t>The Southern Ocean silica cycle</t>
  </si>
  <si>
    <t>COMPTES RENDUS GEOSCIENCE</t>
  </si>
  <si>
    <t>Silicic acid; Silica cycle; Silica production; Opal accumulation; Steady state; Southern Ocean</t>
  </si>
  <si>
    <t>BIOGENIC SILICA; WORLD OCEAN; ICE-SHEET; SEA; ACCUMULATION; NUTRIENTS; CLIMATE; CARBON</t>
  </si>
  <si>
    <t>The Southern Ocean is a major opal sink and plays a key role in the silica cycle of the world ocean. So far however, a complete cycle of silicon in the Southern Ocean has not been published. On one hand, Southern Ocean surface waters receive considerable amounts of silicic acid (dissolved silica, DSi) from the rest of the world ocean through the upwelling of the Circumpolar Deep Water, fed by contributions of deep waters of the Atlantic, Indian, and Pacific Oceans. On the other hand, the Southern Ocean exports a considerable flux of the silicic acid that is not used by diatoms in surface waters through the northward pathways of the Sub-Antarctic Mode Water, of the Antarctic Intermediate Water, and of the Antarctic Bottom Water. Thus the Southern Ocean is a source of DSi for the rest of the world ocean. Here we show that the Southern Ocean is a net importer of DSi: because there is no significant external input of DSi, the flux of DSi imported through the Circumpolar Deep Water pathway compensates the sink flux of biogenic silica in sediments. (C) 2014 Academie des sciences. Published by Elsevier Masson SAS. All rights reserved.</t>
  </si>
  <si>
    <t>Univ Europeenne Bretagne, Univ Bretagne Occidentale, European Inst Marine Studies IUEM, CNRS,Marine Environm Sci Lab,LEMAR,UMR 6539, F-29280 Plouzane, France</t>
  </si>
  <si>
    <t>Universite de Bretagne Occidentale; Institut Universitaire Europeen de la Mer (IUEM); Centre National de la Recherche Scientifique (CNRS); CNRS - Institute of Ecology &amp; Environment (INEE); Ifremer; Institut de Recherche pour le Developpement (IRD)</t>
  </si>
  <si>
    <t>Tréguer, PJ (corresponding author), Univ Europeenne Bretagne, Univ Bretagne Occidentale, European Inst Marine Studies IUEM, CNRS,Marine Environm Sci Lab,LEMAR,UMR 6539, F-29280 Plouzane, France.</t>
  </si>
  <si>
    <t>paul.treguer@univ-brest.fr</t>
  </si>
  <si>
    <t>ELSEVIER FRANCE-EDITIONS SCIENTIFIQUES MEDICALES ELSEVIER</t>
  </si>
  <si>
    <t>ISSY-LES-MOULINEAUX</t>
  </si>
  <si>
    <t>65 RUE CAMILLE DESMOULINS, CS50083, 92442 ISSY-LES-MOULINEAUX, FRANCE</t>
  </si>
  <si>
    <t>1631-0713</t>
  </si>
  <si>
    <t>1778-7025</t>
  </si>
  <si>
    <t>CR GEOSCI</t>
  </si>
  <si>
    <t>C. R. Geosci.</t>
  </si>
  <si>
    <t>NOV-DEC</t>
  </si>
  <si>
    <t>11-12</t>
  </si>
  <si>
    <t>10.1016/j.crte.2014.07.003</t>
  </si>
  <si>
    <t>AZ5GF</t>
  </si>
  <si>
    <t>WOS:000348247600003</t>
  </si>
  <si>
    <t>Sánchez, GE; Lange, CB; Flóres, JA; Caniupán, M; Lamy, F</t>
  </si>
  <si>
    <t>Sanchez, Gloria E.; Lange, Carina B.; Flores, Jose-Abel; Caniupan, Magaly; Lamy, Frank</t>
  </si>
  <si>
    <t>Cocolithophores in marine sediments off the western entrance of the Strait of Magellan reveal changes in productivity over the past 30,000 years</t>
  </si>
  <si>
    <t>LATIN AMERICAN JOURNAL OF AQUATIC RESEARCH</t>
  </si>
  <si>
    <t>coccolithophores; Last Glacial Maximum; Holocene; southern Chile</t>
  </si>
  <si>
    <t>REVISED CLASSIFICATION SCHEME; EASTERN SOUTH ATLANTIC; LAST GLACIAL MAXIMUM; SURFACE SEDIMENTS; OCEAN; PACIFIC; COCCOLITHOPHORES; SECTOR; CHILE; NANNOPLANKTON</t>
  </si>
  <si>
    <t>We present a new record of coccolithophore (coccoliths) export productivity for the past 30,000 years based on the study of a marine sediment core collected at the western entrance of the Strait of Magellan (Core MD07-3128; 53 degrees S, 75 degrees W). This sediment core revealed the presence of an assemblage composed by thirteen coccolithophore taxa, dominated by small Gephyrocapsa (&gt; 80% of the total assemblage on the average) and accompanied, in less proportions (1-10%), by two morphotypes of Emiliana huxleyi, Coccolithus pelagicus and Calcidiscus leptoporus. Coccolith concentration and CaCO3 content were strongly correlated (P &lt;&lt; 0.01; R-2 = 0.63). In general, both records were in phase with alkenone-derived sea-surface temperature (Caniupan et al., 2011) where maximum values of CaCO3 (&gt; 30%) and coccolith abundance (similar to 10(9) coccoliths g(-1) dry sediment) coincided with relatively warm periods (e. g., the Holocene). We found marked differences when comparing our data with a coccolith record published by Saavedra-Pellitero et al. (2011) for ODP Site 1233 at 41 degrees S: At ODP Site 1233, coccolithophore production was maximal during the Last Glacial Maximum in response to the northward advection of macronutrients by the Antarctic Circumpolar Current. In contrast, site MD07-3128 experienced a reduction in coccolithophore production at the time, probably related to the negative effect exerted by the high inputs of terrigenous material and meltwater from the then nearby located large Patagonian Ice Sheet.</t>
  </si>
  <si>
    <t>[Sanchez, Gloria E.; Lange, Carina B.] Univ Concepcion, Ctr Invest Oceanog Pacifico Sur Oriental COPAS, Concepcion, Chile; [Sanchez, Gloria E.; Lange, Carina B.] Univ Concepcion, Programa COPAS Sur Austral, Concepcion, Chile; [Lange, Carina B.] Univ Concepcion, Dept Oceanog, Concepcion, Chile; [Flores, Jose-Abel] Univ Salamanca, Lab Geol, E-37008 Salamanca, Spain; [Caniupan, Magaly; Lamy, Frank] Helmholtz Zentrum Polar &amp; Marine Res, Alfred Wegener Inst, Bremerhaven, Germany</t>
  </si>
  <si>
    <t>Universidad de Concepcion; Universidad de Concepcion; Universidad de Concepcion; University of Salamanca; Helmholtz Association; Alfred Wegener Institute, Helmholtz Centre for Polar &amp; Marine Research</t>
  </si>
  <si>
    <t>Lange, CB (corresponding author), Helmholtz Zentrum Polar &amp; Marine Res, Alfred Wegener Inst, Bremerhaven, Germany.</t>
  </si>
  <si>
    <t>clange@udec.cl</t>
  </si>
  <si>
    <t>Lange, Carina/AHC-2015-2022; Flores, José-Abel/D-4218-2009; Lamy, Frank/H-3611-2014</t>
  </si>
  <si>
    <t>Lange, Carina/0000-0002-2916-4207; Flores, José-Abel/0000-0003-1909-293X; Lamy, Frank/0000-0001-5952-1765</t>
  </si>
  <si>
    <t>UNIV CATOLICA DE VALPARAISO</t>
  </si>
  <si>
    <t>VALPARAISO</t>
  </si>
  <si>
    <t>AV BRASIL 2950, PO BOX 4059, VALPARAISO, CHILE</t>
  </si>
  <si>
    <t>0718-560X</t>
  </si>
  <si>
    <t>0717-7178</t>
  </si>
  <si>
    <t>LAT AM J AQUAT RES</t>
  </si>
  <si>
    <t>Lat. Am. J. Aquat. Res.</t>
  </si>
  <si>
    <t>10.3856/vol42-issue5-fulltext-8</t>
  </si>
  <si>
    <t>AY2GG</t>
  </si>
  <si>
    <t>WOS:000347406200008</t>
  </si>
  <si>
    <t>Municchia, AC; Caneva, G; Ricci, MA; Sodo, A</t>
  </si>
  <si>
    <t>Municchia, A. Casanova; Caneva, G.; Ricci, M. A.; Sodo, A.</t>
  </si>
  <si>
    <t>Identification of endolithic traces on stone monuments and natural outcrops: preliminary evidences</t>
  </si>
  <si>
    <t>JOURNAL OF RAMAN SPECTROSCOPY</t>
  </si>
  <si>
    <t>endolithic; stone monuments; biodeterioration; Raman spectroscopy</t>
  </si>
  <si>
    <t>ANTARCTIC COLD DESERT; RAMAN-SPECTROSCOPY; BIOMOLECULAR MARKERS; LIFE; ASTROBIOLOGY; SCYTONEMIN; LIMESTONE; ROCKS; CYANOBACTERIA; COMMUNITIES</t>
  </si>
  <si>
    <t>Four different lithotypes of rock gathered from stone monuments and natural outcrops in Temperate and Mediterranean bioclimates, with endolithic microorganism colonization (cyanobacteria, fungi, and lichens), have been analysed by Raman spectroscopy. Endolithic microorganisms can penetrate actively into the rocks giving rise to biodeterioration phenomena. Often the biological origin of these deterioration phenomena is not recognized and confused with abiotic damages. The aim of this work is to identify by Raman spectroscopy the endolithic traces on stones, due to current or past biological colonization. The Raman spectra show the presence of bio-markers characteristic of the strategy adopted by microorganisms against strong UV-radiation and dry conditions, such as scytonemin, anthraquinone compounds, and carotenoids. Moreover, we have identified different geo-markers such as goethite and lepidocrocite because of the mobilization of iron by lichen metabolic activity. Importantly, we have identified for the first time by Raman spectroscopy, traces of endolithic microorganisms on stone monuments located in Temperate and Mediterranean bioclimate, where extreme climate conditions are not foreseen. Copyright (c) 2014 John Wiley &amp; Sons, Ltd.</t>
  </si>
  <si>
    <t>[Municchia, A. Casanova; Caneva, G.; Ricci, M. A.; Sodo, A.] Univ Roma Tre, Dipartimento Sci, I-00146 Rome, Italy</t>
  </si>
  <si>
    <t>Municchia, AC (corresponding author), Univ Roma Tre, Dipartimento Sci, Viale G Marconi 446, I-00146 Rome, Italy.</t>
  </si>
  <si>
    <t>acasanovamunicchia@uniroma3.it</t>
  </si>
  <si>
    <t>municchia, annalaura casanova/F-3574-2011; Ricci, Maria Antonietta/O-4182-2015</t>
  </si>
  <si>
    <t>municchia, annalaura casanova/0000-0002-3459-8763; Ricci, Maria Antonietta/0000-0002-6904-6686</t>
  </si>
  <si>
    <t>0377-0486</t>
  </si>
  <si>
    <t>1097-4555</t>
  </si>
  <si>
    <t>J RAMAN SPECTROSC</t>
  </si>
  <si>
    <t>J. Raman Spectrosc.</t>
  </si>
  <si>
    <t>10.1002/jrs.4517</t>
  </si>
  <si>
    <t>Spectroscopy</t>
  </si>
  <si>
    <t>AX4OY</t>
  </si>
  <si>
    <t>WOS:000346912700026</t>
  </si>
  <si>
    <t>Tarakanov, RY; Gritsenko, AM</t>
  </si>
  <si>
    <t>Tarakanov, R. Yu.; Gritsenko, A. M.</t>
  </si>
  <si>
    <t>Fine-jet structure of the Antarctic Circumpolar Current south of Africa</t>
  </si>
  <si>
    <t>OCEANOLOGY</t>
  </si>
  <si>
    <t>DRAKE PASSAGE; FRONTS; SECTION; DECEMBER; JANUARY; SR02</t>
  </si>
  <si>
    <t>The fine structure of the Antarctic Circumpolar Current (ACC) jets south of Africa is investigated by means of the statistical analysis of weekly satellite altimetry data provided by the French CLS agency (DT-Global-MADT-Upd product, and the data of the SR02 hydro-physical section executed onboard the R/V Akademik Ioffe in December 2009. Twelve jets of the ACC were revealed in this region. Six jets of the Subantarctic Current, four jets of the South Polar Current, and two jets of the South Antarctic Current are among them. In addition, a jet of the Weddell Current was also revealed. The range of the absolute dynamic topography (ADT) heights corresponding to each jet was about 10-15 cm. It is shown that the jet axes maintain approximately the same ADT values during time intervals of up to half a year, including the dates of the SR02 section. Good agreement was observed between the locations of the jet axes along the section revealed earlier by the authors from direct hydrophysical measurements and the data in this paper based on the altimetry data.</t>
  </si>
  <si>
    <t>[Tarakanov, R. Yu.; Gritsenko, A. M.] Russian Acad Sci, Shirshov Inst Oceanol, Moscow, Russia</t>
  </si>
  <si>
    <t>Tarakanov, RY (corresponding author), Russian Acad Sci, Shirshov Inst Oceanol, Moscow, Russia.</t>
  </si>
  <si>
    <t>rtarakanov@gmail.com</t>
  </si>
  <si>
    <t>Tarakanov, Roman/R-3325-2016</t>
  </si>
  <si>
    <t>Tarakanov, Roman/0000-0002-8711-1859</t>
  </si>
  <si>
    <t>Russian Foundation for Basic Research [10-05-00200-a, 12-05-00277-a]; Presidium of the Russian Academy of Sciences [23]</t>
  </si>
  <si>
    <t>Russian Foundation for Basic Research(Russian Foundation for Basic Research (RFBR)Spanish Government); Presidium of the Russian Academy of Sciences(Russian Academy of Sciences)</t>
  </si>
  <si>
    <t>This study was supported by the Russian Foundation for Basic Research (project nos. 10-05-00200-a and 12-05-00277-a) and Program 23 of Basic Research of the Presidium of the Russian Academy of Sciences. The expedition in 2009 was supported by the Meridian-Plus interagency project.</t>
  </si>
  <si>
    <t>0001-4370</t>
  </si>
  <si>
    <t>1531-8508</t>
  </si>
  <si>
    <t>OCEANOLOGY+</t>
  </si>
  <si>
    <t>Oceanology</t>
  </si>
  <si>
    <t>10.1134/S0001437014050130</t>
  </si>
  <si>
    <t>AX2NX</t>
  </si>
  <si>
    <t>WOS:000346782000001</t>
  </si>
  <si>
    <t>Becker, KN; Warren, JD</t>
  </si>
  <si>
    <t>Becker, Kaylyn N.; Warren, Joseph D.</t>
  </si>
  <si>
    <t>Material properties of Northeast Pacific zooplankton</t>
  </si>
  <si>
    <t>density contrast; euphausiids; sound speed contrast; zooplankton</t>
  </si>
  <si>
    <t>TARGET-STRENGTH MODEL; ACOUSTIC SCATTERING; ANTARCTIC KRILL; SOUND-SPEED; BERING-SEA; PRIMARY PRODUCTIVITY; EUPHAUSIA-SUPERBA; OREGON; DENSITY; WASHINGTON</t>
  </si>
  <si>
    <t>We measured the density and sound speed contrasts relative to seawater of Northeast Pacific zooplankton. The density contrast (g) was measured for euphausiids, decapods (Sergestes similis), amphipods (Primno macropa, Phronima sp., and Hyperiid spp.), siphonophore bracts, chaetognaths, larval fish, crab megalopae, larval squid, and medusae. Morphometric data (length, width, and height) were collected for these taxa. Density contrasts varied within and between zooplankton taxa. The mean and standard deviation (s.d.) for euphausiid density contrast were 1.059 +/- 0.009. Relationships between zooplankton density contrast and morphometric measurements, geographic location, and environmental conditions were investigated. Site had a significant effect on euphausiid density contrast. Density contrasts of euphausiids collected in the same geographic area similar to 4-10 d apartwere significantly higher (p &lt; 0.001). Sound speed contrast (h) was measured for euphausiids and pelagic decapods (S. similis) and it varied between taxa. The mean and s.d. for euphausiid sound speed were 1.019 +/- 0.009. Euphausiid mass was calculated from measured density and volume, and a relationship between euphausiid mass and length was produced. We determined that euphausiid volume could be accurately estimated from two-dimensional measurements of animal body shape, and that biomass (or biovolume) could be accurately calculated from digital photographs of animals. Data from this study can improve the accuracy of theoretical acoustic scattering models for these taxa, resulting in more accurate estimates of zooplankton biomass in this region.</t>
  </si>
  <si>
    <t>[Becker, Kaylyn N.; Warren, Joseph D.] SUNY Stony Brook, Sch Marine &amp; Atmospher Sci, Southampton, NY 11968 USA</t>
  </si>
  <si>
    <t>State University of New York (SUNY) System; State University of New York (SUNY) Stony Brook</t>
  </si>
  <si>
    <t>Warren, JD (corresponding author), SUNY Stony Brook, Sch Marine &amp; Atmospher Sci, 239 Montauk Highway, Southampton, NY 11968 USA.</t>
  </si>
  <si>
    <t>joe.warren@stonybrook.edu</t>
  </si>
  <si>
    <t>Warren, Joseph/Y-4078-2019</t>
  </si>
  <si>
    <t>Office of Naval Research [N00014-11-1-0146]</t>
  </si>
  <si>
    <t>Office of Naval Research(Office of Naval Research)</t>
  </si>
  <si>
    <t>This project was funded by the Office of Naval Research (Grant N00014-11-1-0146) to Kelly Benoit-Bird, Dezhang Chu, and JDW. This work would not have been possible without the help of the Captain and crew of the RV Oceanus. Due to all of our equipment for this cruise being destroyed in a freight train derailment (which we were notified similar to 2 d before the cruise began), we are forever grateful to the generosity of our fellow cruise scientists (Kelly Benoit-Bird and Dezhang Chu) who shared equipment. Additionally, Angel White, Fred Prahl, and Mary Hitch at Oregon State University generously loaned us equipment and supplies when we (essentially) showed up on their doorstep unannounced and in need of assistance. Neal McIntosh, David Cade, Aaron Gann, and Chad Waluk conducted all net and CTD casts aboard the RV Oceanus. Stephanie Mincieli and Emily Markowitz assisted with shipment preparation and data collection aboard the ship. Alyssa Stevens collected zooplankton morphometric data after the cruise. Sam Urmy provided helpful comments and suggestions on this manuscript.</t>
  </si>
  <si>
    <t>10.1093/icesjms/fsu109</t>
  </si>
  <si>
    <t>AW3MQ</t>
  </si>
  <si>
    <t>WOS:000346191300018</t>
  </si>
  <si>
    <t>Li, XH; Cheng, X; Yang, RJ; Zhang, HJ; Zhang, JL; Hui, FM; Wang, F</t>
  </si>
  <si>
    <t>Li, Xiuhong; Cheng, Xiao; Yang, Rongjin; Zhang, Haijing; Zhang, Jialin; Hui, Fengming; Wang, Fang</t>
  </si>
  <si>
    <t>A Multi-Interface Ice and Snow Remote Monitoring Platform in the Polar Region</t>
  </si>
  <si>
    <t>IEEE SENSORS JOURNAL</t>
  </si>
  <si>
    <t>Multi-interface; monitors platform; extreme environment; polar region</t>
  </si>
  <si>
    <t>Due to the severe environment in the polar region, many polar areas are nearly unreachable and long-term residents are very limited. To meet the demands of global change research and remote sensing verification in the Antarctic, our team developed an ice and snow remote monitoring platform with multiple interfaces in the polar region. The platform is installed on the Antarctic ice sheet and continuously observes its environment. At present, the basic observation capabilities of this platform include the following: 1) temperature; 2) humidity; 3) illumination; 4) atmospheric pressure; 5) GPS; 6) accumulation ratio and melting quantity of snow; and 7) nine-layer snow temperature. The platform, which can be designed according to different needs and has strong expansion capabilities, has already operated on the Antarctic ice sheet for nearly two years and has acquired many data for scientific research.</t>
  </si>
  <si>
    <t>[Li, Xiuhong; Cheng, Xiao; Zhang, Haijing; Zhang, Jialin; Hui, Fengming; Wang, Fang] Beijing Normal Univ, Coll Global Change &amp; Earth Syst Sci, Beijing 100875, Peoples R China; [Li, Xiuhong; Cheng, Xiao; Hui, Fengming] Chinese Acad Sci, Inst Remote Sensing Applicat, State Key Lab Remote Sensing Sci, Beijing 100089, Peoples R China; [Li, Xiuhong; Cheng, Xiao; Hui, Fengming] Beijing Normal Univ, Beijing 100875, Peoples R China; [Yang, Rongjin] Chinese Res Inst Environm Sci, Beijing 100012, Peoples R China</t>
  </si>
  <si>
    <t>Beijing Normal University; Chinese Academy of Sciences; Beijing Normal University; Chinese Research Academy of Environmental Sciences</t>
  </si>
  <si>
    <t>Li, XH (corresponding author), Beijing Normal Univ, Coll Global Change &amp; Earth Syst Sci, Beijing 100875, Peoples R China.</t>
  </si>
  <si>
    <t>lixiuhong_bj@sina.com.cn; xcheng@bnu.edu.cn; yangrj@craes.org.cn; zhjgddqt@126.com; 1029898146@qq.com; 839370450@qq.com; fmhfm@126.com</t>
  </si>
  <si>
    <t>Wang, Fang/JMR-3423-2023</t>
  </si>
  <si>
    <t>Wang, Fang/0009-0009-4557-6007</t>
  </si>
  <si>
    <t>China National High Technology Research and Development Program (863 Program) Remote Sensing Field Verification and Integrated Test in Polar [2008AA121705]; Natural Science Foundation of China through the Research of Extreme Environment Wireless Sensor Network Snow and Ice Remote Sensing Monitoring Technology [40876100]</t>
  </si>
  <si>
    <t>China National High Technology Research and Development Program (863 Program) Remote Sensing Field Verification and Integrated Test in Polar(National High Technology Research and Development Program of China); Natural Science Foundation of China through the Research of Extreme Environment Wireless Sensor Network Snow and Ice Remote Sensing Monitoring Technology</t>
  </si>
  <si>
    <t>This work was supported in part by the China National High Technology Research and Development Program (863 Program) Remote Sensing Field Verification and Integrated Test in Polar under Grant 2008AA121705 and in part by the Natural Science Foundation of China through the Research of Extreme Environment Wireless Sensor Network Snow and Ice Remote Sensing Monitoring Technology under Grant 40876100. The associate editor coordinating the review of this paper and approving it for publication was Dr. Paul Mitchell.</t>
  </si>
  <si>
    <t>1530-437X</t>
  </si>
  <si>
    <t>1558-1748</t>
  </si>
  <si>
    <t>IEEE SENS J</t>
  </si>
  <si>
    <t>IEEE Sens. J.</t>
  </si>
  <si>
    <t>10.1109/JSEN.2014.2309654</t>
  </si>
  <si>
    <t>Engineering, Electrical &amp; Electronic; Instruments &amp; Instrumentation; Physics, Applied</t>
  </si>
  <si>
    <t>Engineering; Instruments &amp; Instrumentation; Physics</t>
  </si>
  <si>
    <t>AX5KC</t>
  </si>
  <si>
    <t>WOS:000346963700001</t>
  </si>
  <si>
    <t>Moholdt, G; Padman, L; Fricker, HA</t>
  </si>
  <si>
    <t>Moholdt, Geir; Padman, Laurie; Fricker, Helen Amanda</t>
  </si>
  <si>
    <t>Basal mass budget of Ross and Filchner-Ronne ice shelves, Antarctica, derived from Lagrangian analysis of ICESat altimetry</t>
  </si>
  <si>
    <t>ice shelf; basal melting; altimetry; antarctica; icesat; mass balance</t>
  </si>
  <si>
    <t>SEA-LEVEL RISE; MARINE ICE; ELEVATION CHANGES; MELT RATES; SURFACE; BENEATH; OCEAN; THICKNESS; BALANCE; ACCUMULATION</t>
  </si>
  <si>
    <t>Traditional methods of deriving temporal variability of Antarctic ice-shelf elevation from satellite altimetry use a fixed (Eulerian) reference frame, where the measured changes include advection of ice thickness gradients between measurement epochs. We present a new method which removes advection effects by using an independent velocity field to compare elevations in a moving (Lagrangian) reference frame. Applying the technique to ICESat laser altimetry for the period 2003-2009 over the two largest Antarctic ice shelves, Ross and Filchner-Ronne, we show that the Lagrangian approach reduces the variability of derived elevation changes by about 50% compared to the Eulerian approach and reveals clearer spatial patterns of elevation change. The method simplifies the process of estimating basal mass budget from the residual of all other processes that contribute to ice-shelf elevation changes. We use field data and ICESat measurements over ice rises and the grounded ice sheet to account for surface accumulation and changes in firn air content, and remove the effect of ice-flow divergence using surface velocity and ice thickness data. The results show highest basal melt rates (&gt;5m a(-1)) near the deep grounding lines of major ice streams, but smaller melt rates (&lt;5m a(-1)) near the ice-shelf fronts are equally important to total meltwater production since they occur over larger areas. Integrating over the entire ice-shelf areas, we obtain basal mass budgets of -5064 Gt a(-1) for Ross and -12466 Gt a(-1) for Filchner-Ronne, with changes in firn air content as the largest error source.</t>
  </si>
  <si>
    <t>[Moholdt, Geir; Fricker, Helen Amanda] Univ Calif San Diego, Scripps Inst Oceanog, Inst Geophys &amp; Planetary Phys, La Jolla, CA 92093 USA; [Moholdt, Geir] Norwegian Polar Res Inst, Tromso, Norway; [Padman, Laurie] Earth &amp; Space Res, Corvallis, OR USA</t>
  </si>
  <si>
    <t>University of California System; University of California San Diego; Scripps Institution of Oceanography; Norwegian Polar Institute</t>
  </si>
  <si>
    <t>Moholdt, G (corresponding author), Univ Calif San Diego, Scripps Inst Oceanog, Inst Geophys &amp; Planetary Phys, La Jolla, CA 92093 USA.</t>
  </si>
  <si>
    <t>moholdt@npolar.no</t>
  </si>
  <si>
    <t>Padman, Laurence/AAH-3808-2021</t>
  </si>
  <si>
    <t>Fricker, Helen Amanda/0000-0002-0921-1432; Padman, Laurence/0000-0003-2010-642X</t>
  </si>
  <si>
    <t>NASA [NNX10AG19G, NNX12AH16G]; NASA [NNX12AH16G, 19698, NNX10AG19G, 134135] Funding Source: Federal RePORTER</t>
  </si>
  <si>
    <t>The authors are thankful to the numerous contributors that made their data publicly available: NASA/NSIDC (ICESat data), the IPY-MEaSUREs program (velocity maps and grounding lines), ASAID (grounding lines), MOA (ice fronts), DTU Space (mean dynamic topography), and AVISO (sea level change). We thank S.R.M. Ligtenberg, J.T.M. Lenaerts, and M.v.d. Broeke (Utrecht University) for providing firn thickness corrections and for constructive discussions about firn-pack changes. We thank B. Scheuchl and two anonymous reviewers for their valuable comments on the original manuscript. This study was supported by funding from NASA grants NNX10AG19G and NNX12AH16G. This is ESR contribution 153 (assigned on acceptance).</t>
  </si>
  <si>
    <t>10.1002/2014JF003171</t>
  </si>
  <si>
    <t>AW5YE</t>
  </si>
  <si>
    <t>WOS:000346346000003</t>
  </si>
  <si>
    <t>Richter, A; Popov, SV; Fritsche, M; Lukin, VV; Matveev, AY; Ekaykin, AA; Lipenkov, VY; Fedorov, DV; Eberlein, L; Schröder, L; Ewert, H; Horwath, M; Dietrich, R</t>
  </si>
  <si>
    <t>Richter, Andreas; Popov, Sergey V.; Fritsche, Mathias; Lukin, Valery V.; Matveev, Alexey Yu.; Ekaykin, Alexey A.; Lipenkov, Vladimir Ya.; Fedorov, Denis V.; Eberlein, Lutz; Schroeder, Ludwig; Ewert, Heiko; Horwath, Martin; Dietrich, Reinhard</t>
  </si>
  <si>
    <t>Height changes over subglacial Lake Vostok, East Antarctica: Insights from GNSS observations</t>
  </si>
  <si>
    <t>ice sheet; subglacial lake; mass balance; GNSS; altimetry; Antarctica</t>
  </si>
  <si>
    <t>GLACIAL ISOSTATIC-ADJUSTMENT; ICE FLOW VELOCITIES; WEST ANTARCTICA; ALTIMETRY DATA; FRAMEWORK; BENEATH; SYSTEM; IMPACT; REGION; MODEL</t>
  </si>
  <si>
    <t>Height changes of the ice surface above subglacial Lake Vostok, East Antarctica, reflect the integral effect of different processes within the subglacial environment and the ice sheet. Repeated GNSS (Global Navigation Satellite Systems) observations on 56 surface markers in the Lake Vostok region spanning 11years and continuous GNSS observations at Vostok station over 5years are used to determine the vertical firn particle movement. Vertical marker velocities are derived with an accuracy of 1cm/yr or better. Repeated measurements of surface height profiles around Vostok station using kinematic GNSS observations on a snowmobile allow the quantification of surface height changes at 308 crossover points. The height change rate was determined at 15mm/yr, thus indicating a stable ice surface height over the last decade. It is concluded that both the local mass balance of the ice and the lake level of the entire lake have been stable throughout the observation period. The continuous GNSS observations demonstrate that the particle heights vary linearly with time. Nonlinear height changes do not exceed 1cm at Vostok station and constrain the magnitude of spatiotemporal lake-level variations. ICESat laser altimetry data confirm that the amplitude of the surface deformations over the lake is restricted to a few centimeters. Assuming the ice sheet to be in steady state over the entire lake, estimates for the surface accumulation, on basal accretion/melt rates and on flux divergence, are derived.</t>
  </si>
  <si>
    <t>[Richter, Andreas; Fritsche, Mathias; Eberlein, Lutz; Schroeder, Ludwig; Ewert, Heiko; Horwath, Martin; Dietrich, Reinhard] Tech Univ Dresden, Inst Planetare Geodasie, D-01062 Dresden, Germany; [Popov, Sergey V.] Polar Marine Geosurvey Expedit, St Petersburg, Russia; [Lukin, Valery V.; Ekaykin, Alexey A.; Lipenkov, Vladimir Ya.] Arctic &amp; Antarctic Res Inst, St Petersburg 199226, Russia; [Matveev, Alexey Yu.; Fedorov, Denis V.] OAO Aerogeodeziya, St Petersburg, Russia</t>
  </si>
  <si>
    <t>Technische Universitat Dresden; Arctic &amp; Antarctic Research Institute</t>
  </si>
  <si>
    <t>Richter, A (corresponding author), Tech Univ Dresden, Inst Planetare Geodasie, D-01062 Dresden, Germany.</t>
  </si>
  <si>
    <t>andreas.richter@tu-dresden.de</t>
  </si>
  <si>
    <t>Popov, Sergey V./I-2319-2013; Horwath, Martin/ABH-4320-2020; Popov, Sergey/IYJ-2371-2023; Richter, Andreas/ABD-6833-2020; Ekaykin, Alexey A./K-9894-2015; Lipenkov, Vladimir/Q-8262-2016; Lukin, Valeriy/N-1147-2015</t>
  </si>
  <si>
    <t>Popov, Sergey V./0000-0002-1830-8658; Popov, Sergey/0000-0002-1830-8658; Richter, Andreas/0000-0002-7900-4893; Lipenkov, Vladimir/0000-0003-4221-5440; Richter, Andreas/0000-0002-8588-9755; Lukin, Valeriy/0000-0003-1726-7361</t>
  </si>
  <si>
    <t>German Research Foundation DFG [DI 473/20, DI 473/34, DI 473/38]; Russian Foundation for Basic Research [10-05-91330-NNIO-a]</t>
  </si>
  <si>
    <t>German Research Foundation DFG(German Research Foundation (DFG)); Russian Foundation for Basic Research(Russian Foundation for Basic Research (RFBR)Spanish Government)</t>
  </si>
  <si>
    <t>We thank the staff at Vostok station and the participants of the convoys during the 47th, 48th, 52nd, 53rd, 55th, 56th, 57th, and 58th Russian Antarctic Expedition for their valuable support of the fieldwork. We are grateful to V. F. Radionov (Arctic and Antarctic Research Institute, St. Petersburg) for providing the meteorological data from Vostok station. We thank Erik Ivins for carefully reading the manuscript and for helpful suggestions. Valuable comments by Christopher Shuman, Associate Editor Duncan Quincey, and two anonymous reviewers helped to improve the manuscript. This work was partly funded by the German Research Foundation DFG (grants DI 473/20; DI 473/34; DI 473/38) and the Russian Foundation for Basic Research (grant 10-05-91330-NNIO-a).</t>
  </si>
  <si>
    <t>10.1002/2014JF003228</t>
  </si>
  <si>
    <t>WOS:000346346000009</t>
  </si>
  <si>
    <t>Mackay, SL; Marchant, DR; Lamp, JL; Head, JW</t>
  </si>
  <si>
    <t>Mackay, Sean L.; Marchant, David R.; Lamp, Jennifer L.; Head, James W.</t>
  </si>
  <si>
    <t>Cold-based debris-covered glaciers: Evaluating their potential as climate archives through studies of ground-penetrating radar and surface morphology</t>
  </si>
  <si>
    <t>debris-covered glacier; Antarctica; ground-penetrating radar; climate change; rock glacier</t>
  </si>
  <si>
    <t>MCMURDO DRY VALLEYS; SOUTHERN VICTORIA LAND; JAMES-ROSS-ISLAND; ROCK GLACIERS; BEACON VALLEY; TRANSANTARCTIC MOUNTAINS; INTERNAL STRUCTURE; GALENA CREEK; ABSAROKA MOUNTAINS; ICE THICKNESS</t>
  </si>
  <si>
    <t>We describe the morphology and internal structure of Mullins and Friedman Glaciers, two cold-based, debris-covered alpine glaciers that occur in neighboring valleys in the McMurdo Dry Valleys, Antarctica. Both glaciers are overlain by a single, dry supraglacial debris layer (8-75cm thick); each mantling debris layer is marked with near-identical patterns of arcuate ridges and steps, as well as corresponding changes in bulk grain size, meter-scale surface topography, and thermal contraction crack polygons. Results from 24km of ground-penetrating radar data show that the ice within the uppermost 1-2km of Mullins and Friedman Glaciers is essentially free of englacial debris (&lt;1% by volume) but thereafter is interspersed with bands of englacial debris (each &lt;3m thick and dipping up glacier) that intersect the ice surface at all major surface ridges and steps. The similarity in number and pattern of englacial debris bands and corresponding surface ridges and steps across both glaciers, along with model results and observations that call for negligible basal entrainment, is best explained by episodic environmental change at valley headwalls. Our working hypothesis is that layers of englacial debris originate as supraglacial lags that form in ice-accumulation areas during times of reduced net ice accumulation; following renewed net ice accumulation, these lags are subsequently buried by snow and ice, flow englacially, and intersect the ice surface to impart distinctive changes in the texture of supraglacial debris and topographic relief. The implication is that the englacial structure and surface morphology of these cold-based, debris-covered glaciers preserves a consistent record of climate and environmental change.</t>
  </si>
  <si>
    <t>[Mackay, Sean L.; Marchant, David R.; Lamp, Jennifer L.] Boston Univ, Dept Earth &amp; Environm, Boston, MA 02215 USA; [Head, James W.] Brown Univ, Dept Earth Environm &amp; Planetary Sci, Providence, RI 02912 USA</t>
  </si>
  <si>
    <t>Boston University; Brown University</t>
  </si>
  <si>
    <t>Mackay, SL (corresponding author), Boston Univ, Dept Earth &amp; Environm, Boston, MA 02215 USA.</t>
  </si>
  <si>
    <t>smackay@bu.edu</t>
  </si>
  <si>
    <t>NSF Graduate Research Fellowship; NSF Polar Programs [NSF ANT-0944702, NSF ANT-0739700]; Geophysical Survey Systems, Inc. (GSSI); Directorate For Geosciences; Division Of Polar Programs [0739700] Funding Source: National Science Foundation</t>
  </si>
  <si>
    <t>NSF Graduate Research Fellowship(National Science Foundation (NSF)); NSF Polar Programs(National Science Foundation (NSF)); Geophysical Survey Systems, Inc. (GSSI); Directorate For Geosciences; Division Of Polar Programs(National Science Foundation (NSF)NSF - Directorate for Geosciences (GEO))</t>
  </si>
  <si>
    <t>Funding for this research was provided by NSF Graduate Research Fellowship awarded to S.L. Mackay and NSF Polar Programs grants NSF ANT-0944702 and NSF ANT-0739700 to D.R. Marchant. Logistical support for this project in Antarctica was provided by the U.S. National Science Foundation through the U.S. Antarctic Program. We are very grateful to Geophysical Survey Systems, Inc. (GSSI) for technical assistance, support, and temporary loan of the MLF antenna. We thank Alistar Hayden, Michael Dyonisius, Greg Wissink, and Andrew Knott for tireless assistance with ground-penetrating radar in the field; we also thank Michael Bender and Audrey Yao for their excellent discussions on the Mullins Glacier system. Finally, we thank Ole Humlum, an anonymous reviewer, and the Editor, Bryn Hubbard, for their detailed and very helpful comments on an earlier version of this paper. Data are available on the NASA global change master directory: (http://gcmd.nasa.gov/getdif.htm?[GCMD]BU-054-001).</t>
  </si>
  <si>
    <t>10.1002/2014JF003178</t>
  </si>
  <si>
    <t>WOS:000346346000011</t>
  </si>
  <si>
    <t>Friedrich, T; Timmermann, A; Stichel, T; Pahnke, K</t>
  </si>
  <si>
    <t>Friedrich, T.; Timmermann, A.; Stichel, T.; Pahnke, K.</t>
  </si>
  <si>
    <t>Ocean circulation reconstructions from εNd: A model-based feasibility study</t>
  </si>
  <si>
    <t>neodymium; ocean circulation; meridional overturning; ocean modeling; reconstruction</t>
  </si>
  <si>
    <t>NEODYMIUM ISOTOPIC COMPOSITION; ATLANTIC DEEP-WATER; MERIDIONAL OVERTURNING CIRCULATION; ANTARCTIC INTERMEDIATE WATER; NORTH-ATLANTIC; SOUTHERN-OCEAN; THERMOHALINE CIRCULATION; BOUNDARY EXCHANGE; TROPICAL PACIFIC; HEINRICH EVENTS</t>
  </si>
  <si>
    <t>Over the past decade, records of the seawater neodymium isotopic composition (epsilon(Nd)) have become a widely used proxy to reconstruct changes in ocean circulation. Our study investigates the transient response of epsilon(Nd) to large-scale ocean circulation changes using an Earth system model of intermediate complexity. It is shown that a weakening of the North Atlantic Deep Water formation results in positive epsilon(Nd) anomalies in the Atlantic and the Pacific below 1000m water depth whereas variations in Antarctic Bottom Water production generate a Pacific-Atlantic dipole pattern of deep ocean epsilon(Nd) changes. Further experiments explore which ocean regions are suitable to record the temporal evolution of the overturning in the North Atlantic and the Southern Ocean by means of epsilon(Nd) data. High local correlations occur between simulated Southern Ocean overturning changes and simulated epsilon(Nd) anomalies in the deep North Pacific and almost globally for simulated North Atlantic overturning changes, respectively, clearly indicating the strong potential of epsilon(Nd) to work as a proxy of past ocean circulation changes. Finally, the compromising effects of simultaneously occurring anomalies in the North Atlantic and the Southern Ocean overturning cells on reconstructions of past ocean circulation changes are identified. Combining our model simulations with currently available core data, our study demonstrates that changes in epsilon(Nd) documented in numerous Atlantic paleorecords clearly support the notion of a strengthening in the Atlantic Meridional Overturning Circulation over the course of Termination 1.</t>
  </si>
  <si>
    <t>[Friedrich, T.; Timmermann, A.] Univ Hawaii Manoa, Sch Ocean &amp; Earth Sci &amp; Technol, Int Pacific Res Ctr, Honolulu, HI 96822 USA; [Stichel, T.] Univ Southampton, Natl Oceanog Ctr Southampton, Southampton, Hants, England; [Pahnke, K.] Carl von Ossietzky Univ Oldenburg, Inst Chem &amp; Biol Marine Environm, Oldenburg, Germany</t>
  </si>
  <si>
    <t>University of Hawaii System; University of Hawaii Manoa; University of Southampton; NERC National Oceanography Centre; Carl von Ossietzky Universitat Oldenburg</t>
  </si>
  <si>
    <t>Friedrich, T (corresponding author), Univ Hawaii Manoa, Sch Ocean &amp; Earth Sci &amp; Technol, Int Pacific Res Ctr, Honolulu, HI 96822 USA.</t>
  </si>
  <si>
    <t>tobiasf@hawaii.edu</t>
  </si>
  <si>
    <t>Friedrich, Tobias/D-1053-2013; Timmermann, Axel/Y-2799-2019</t>
  </si>
  <si>
    <t>Timmermann, Axel/0000-0003-0657-2969; Stichel, Torben/0000-0002-5925-1301; Pahnke, Katharina/0000-0001-9114-8411</t>
  </si>
  <si>
    <t>NSF [1400914, 1341311]; Japan Agency for Marine-Earth Science and Technology (JAMSTEC) through International Pacific Research Center; Directorate For Geosciences; Office of Polar Programs (OPP) [1341311] Funding Source: National Science Foundation; Division Of Ocean Sciences; Directorate For Geosciences [1400914] Funding Source: National Science Foundation</t>
  </si>
  <si>
    <t>NSF(National Science Foundation (NSF)); Japan Agency for Marine-Earth Science and Technology (JAMSTEC) through International Pacific Research Center; Directorate For Geosciences; Office of Polar Programs (OPP)(National Science Foundation (NSF)NSF - Directorate for Geosciences (GEO)); Division Of Ocean Sciences; Directorate For Geosciences(National Science Foundation (NSF)NSF - Directorate for Geosciences (GEO))</t>
  </si>
  <si>
    <t>The modeling data for this paper are available by email request to the corresponding author. T. Friedrich is supported by NSF grants 1400914 and 1341311. A. Timmermann is supported by the Japan Agency for Marine-Earth Science and Technology (JAMSTEC) through its sponsorship of the International Pacific Research Center. The authors would like to thank the three anonymous reviewers and the Editor, Heiko Paelike, for their constructive comments. This is IPRC number 1080 and SOEST contribution number 9206.</t>
  </si>
  <si>
    <t>10.1002/2014PA002658</t>
  </si>
  <si>
    <t>AW8CS</t>
  </si>
  <si>
    <t>Green Published, Bronze, Green Submitted</t>
  </si>
  <si>
    <t>WOS:000346489000001</t>
  </si>
  <si>
    <t>Egorov, AG</t>
  </si>
  <si>
    <t>Egorov, A. G.</t>
  </si>
  <si>
    <t>Solar cycle and multiannual variations in the middle troposphere of the Arctic Region in winter</t>
  </si>
  <si>
    <t>Arctic &amp; Antarctic Res Inst, St Petersburg 199226, Russia</t>
  </si>
  <si>
    <t>Egorov, AG (corresponding author), Arctic &amp; Antarctic Res Inst, St Petersburg 199226, Russia.</t>
  </si>
  <si>
    <t>ego@aari.ru</t>
  </si>
  <si>
    <t>10.1134/S1028334X14090037</t>
  </si>
  <si>
    <t>AW0TA</t>
  </si>
  <si>
    <t>WOS:000346005200019</t>
  </si>
  <si>
    <t>Eaton, LA; Businger, S</t>
  </si>
  <si>
    <t>Eaton, Leigh Anne; Businger, Steven</t>
  </si>
  <si>
    <t>Using a snow drift model to simulate eolian drift and snowfall on the summit of Mauna Kea, Hawaii</t>
  </si>
  <si>
    <t>ARCTIC ANTARCTIC AND ALPINE RESEARCH</t>
  </si>
  <si>
    <t>BLOWING-SNOW; TRANSPORT MODEL; AEOLIAN ZONE; LYGAEIDAE; PATTERNS; VOLCANO; ECOLOGY; SYSTEM</t>
  </si>
  <si>
    <t>The goal of this research is to help develop a better understanding of the micro-meteorology of the Mauna Kea summit area and its relationship to the distribution and population health of the Wekiu bug (Nysius wekiuicola). SnowModel, a spatially distributed snow-evolution model, is used to construct snowfall and summit eolian debris (known as bug fall throughout this study) accumulation maps across the summit. Eight weather stations associated with astronomical observatories on the summit ridges and four Davis weather stations located in various cinder cones (pint in Hawaiian), provide the meteorological observations needed as input to run SnowModel. Snow depth observations taken after a passing cold front in January 2011 are used to help validate the model accumulation predictions prior to the climatological study. Observations from summit weather stations over a three-year period (2008, 2009, and 2010) are used as input for the modeled summit accumulations of snowfall and bug fall presented in this study. For the snowfall maps, only weather data from days during which snow fell are included. For the bug-fall estimates, all days where valid weather data are available are included in the model output. Since there are no comprehensive data available on the distribution of bug fall, the bug-fall maps only provide a climatological pattern, without reference to the magnitude of the bug fall. The greatest modeled snow accumulations are found on Pu'u Wekiu and Pu'u Haukea. Similar results are found in the climatological bug-fall accumulation pattern. Prevailing wind direction is most critical for the distribution of snowfall and bug fall, with maximum accumulations occurring on the lee side of ridges and crests. Favorable Wekiu bug trapping sites in which bugs were found historically are spatially well collocated with snowfall and bug-fall accumulations, suggesting that the results of this study will be of interest to entomologists in locating Wekiu bug populations.</t>
  </si>
  <si>
    <t>[Eaton, Leigh Anne; Businger, Steven] Univ Hawaii Manoa, Dept Meteorol, Honolulu, HI 96822 USA</t>
  </si>
  <si>
    <t>Businger, S (corresponding author), Univ Hawaii Manoa, Dept Meteorol, 2525 Correa Rd, Honolulu, HI 96822 USA.</t>
  </si>
  <si>
    <t>businger@hawaii.edu</t>
  </si>
  <si>
    <t>Office of Mauna Kea Management</t>
  </si>
  <si>
    <t>Foremost, we are indebted to Dr. Glen Liston for giving us access to his SnowModel and for his helpful comments and support throughout this research. We are grateful to Sara da Silva for help with data analysis tools. Thanks go to Ryan Lyman for his efforts in siting and collecting the Davis weather station data. Lyman, along with Chris Chambers and Matt Foster helped to collect case snow depth measurements. This research was supported by the Office of Mauna Kea Management.</t>
  </si>
  <si>
    <t>INST ARCTIC ALPINE RES</t>
  </si>
  <si>
    <t>UNIV COLORADO, BOULDER, CO 80309 USA</t>
  </si>
  <si>
    <t>1523-0430</t>
  </si>
  <si>
    <t>1938-4246</t>
  </si>
  <si>
    <t>ARCT ANTARCT ALP RES</t>
  </si>
  <si>
    <t>Arct. Antarct. Alp. Res.</t>
  </si>
  <si>
    <t>10.1657/1938-4246-46.4.719</t>
  </si>
  <si>
    <t>Environmental Sciences; Geography, Physical</t>
  </si>
  <si>
    <t>AW3YR</t>
  </si>
  <si>
    <t>WOS:000346219500003</t>
  </si>
  <si>
    <t>Kitayama, K; Ando, S; Repin, R; Nais, J</t>
  </si>
  <si>
    <t>Kitayama, Kanehiro; Ando, Soichi; Repin, Rimi; Nais, Jamili</t>
  </si>
  <si>
    <t>Vegetation and climate of the summit zone of Mount Kinabalu in relation to the Walker circulation</t>
  </si>
  <si>
    <t>ALTITUDINAL TRANSECT ANALYSIS; WINDWARD VEGETATION; BORNEO; HALEAKALA</t>
  </si>
  <si>
    <t>Mountains of the tropical Pacific are influenced by synoptic-scale air subsidence, which causes a temperature inversion and a distinct dry meteorological condition above the inversion. The inversion appears at a lower altitude in the eastern Pacific where descending air of the Walker circulation prevails. On the other hand, if or how the alpine ecosystem of the tropical mountains of the western Pacific is influenced by dry synoptic-scale air subsidence is not well documented. We studied the vegetation and climate of the summit zone of Mount Kinabalu (4095 m) of Borneo. The leaf-size spectrum and physiognomy of forest community changed abruptly along the slope approximately at 3200 m from microphyll to leptophyll, suggesting that dry climatological conditions influence the vegetation above that altitude. Mean daily vapor pressure deficits (VPDs), estimated daily potential evapotranspiration (ET0), and the ratio of 30-day total ET0 to 30-day total rainfall increased drastically during El Nino and the magnitude of the increase was greater in the summit zone than in the montane zones. Increased VPDs during El Nino were linked with katabatic winds in the summit zone. We suggest that such irregular dry spells caused by synoptic-scale air subsidence in El Nino years can be a major factor for the formation of xeromorphic vegetation of the summit zone of Mount Kinabalu.</t>
  </si>
  <si>
    <t>[Kitayama, Kanehiro; Ando, Soichi] Kyoto Univ, Grad Sch Agr, Sakyo Ku, Kyoto 6068502, Japan; [Repin, Rimi; Nais, Jamili] Sabah Pk, Kota Kinabalu 88806, Malaysia</t>
  </si>
  <si>
    <t>Kyoto University</t>
  </si>
  <si>
    <t>Kitayama, K (corresponding author), Kyoto Univ, Grad Sch Agr, Sakyo Ku, Kitashirakawa Oiwake Cho, Kyoto 6068502, Japan.</t>
  </si>
  <si>
    <t>kanehiro@kais.kyoto-u.ac.jp</t>
  </si>
  <si>
    <t>MEXT [22255002]; Grants-in-Aid for Scientific Research [22255002] Funding Source: KAKEN</t>
  </si>
  <si>
    <t>MEXT(Ministry of Education, Culture, Sports, Science and Technology, Japan (MEXT)); Grants-in-Aid for Scientific Research(Ministry of Education, Culture, Sports, Science and Technology, Japan (MEXT)Japan Society for the Promotion of ScienceGrants-in-Aid for Scientific Research (KAKENHI))</t>
  </si>
  <si>
    <t>We are grateful to Paul Basintal (director of the Sabah Parks) and Lamri All (former director) for encouraging our long-term research. This study was supported by the MEXT grant-in-aid 22255002 to Kitayama. We are grateful to Prof. Jim Juvik for giving us a chance to write this paper and to Prof. T. Giambelluca for useful suggestions to improve our manuscript.</t>
  </si>
  <si>
    <t>10.1657/1938-4246-46.4.745</t>
  </si>
  <si>
    <t>WOS:000346219500005</t>
  </si>
  <si>
    <t>Hope, G</t>
  </si>
  <si>
    <t>Hope, Geoffrey</t>
  </si>
  <si>
    <t>The sensitivity of the high mountain ecosystems of New Guinea to climatic change and anthropogenic impact</t>
  </si>
  <si>
    <t>MT WILHELM; SUB-ALPINE; PAPUA; GLACIATION; GRASSLANDS; FLORA</t>
  </si>
  <si>
    <t>The New Guinea alpine-subalpine zone is the highest, largest, and wettest such region on any tropical island and it preserves great variations in biodiversity between the individual mountain areas. Relatively few plant species are confined to the alpine zone and this may reflect a limited time for adaptation by herbaceous species arriving in the formerly extensive alpine-subalpine biome. In the Pleistocene a zone above 3400 m was affected by glaciation while open subalpine habitat was greatly expanded by cooler climates and low levels of CO2 which hindered the formation of subalpine forest. With post-glacial warming, the subalpine contracted and open areas were invaded by shrublands and forest. Early to late Holocene opening out of the subalpine forest and shrublands is associated with fire that was a result of hunting by humans. This process starts early in some areas but is late or absent on more remote areas. The alpine is threatened by increased warming and potential invasion by emergent shrubs but is likely to prove resilient to extinction provided that wet conditions continue to prevail. Changing cultural use of high altitudes suggests that the subalpine shrublands are recovering in some areas. However, some mammals and bird species seem to have been lost or become restricted on mountains that are accessible from population centers at lower altitude. With few exceptions, management consists of benign neglect although widespread fires in 1997-1998 point to continuing human impacts linked to drought events. The large mine on Mount Jaya influences subalpine usage over a large area. Tourism is very minor and unlikely to expand while political problems affect both Papua New Guinea and Papua province and logistics remain a severe difficulty. However, locally managed tourism on Mount Wilhelm provides a good model for future development.</t>
  </si>
  <si>
    <t>Australian Natl Univ, Coll Asia Pacific, Dept Archaeol &amp; Nat Hist, Canberra, ACT 2601, Australia</t>
  </si>
  <si>
    <t>Australian National University</t>
  </si>
  <si>
    <t>Hope, G (corresponding author), Australian Natl Univ, Coll Asia Pacific, Dept Archaeol &amp; Nat Hist, GPO Box 4, Canberra, ACT 2601, Australia.</t>
  </si>
  <si>
    <t>Geoffrey.Hope@anu.edu.au</t>
  </si>
  <si>
    <t>Hope, Geoffrey/O-2757-2019</t>
  </si>
  <si>
    <t>Hope, Geoffrey/0000-0001-8366-0677</t>
  </si>
  <si>
    <t>Australian Research Committee</t>
  </si>
  <si>
    <t>Australian Research Committee(Australian Research Council)</t>
  </si>
  <si>
    <t>I acknowledge the many people who have helped me work on both sides of the island over the past 43 years with support from the Australian National University and additional funding from the Australian Research Committee to Jim Peterson and me. It has been a great privilege to work in these wild backyards of my guides and informants. My introduction to Mount Wilhelm was also the start of a long friendship with Joseph Umba and Peter Kua of Keglsugl. Later trips in PNG were supported by very knowledgeable botanists from Lae, including Yakas Le lean, Greg Laravita, and Jim Croft. In Papua, I have benefited from working with Yance de Fretes, Matheus Kilmaskossu, and Wahyoe Hantoro. Logistic and financial support has been provided by Freeport Mc Moran, Universitas Cenderawasih, Conservation International Papua, World Wide Fund for Nature Papua, Kependuddukan dan Lingkungan Hidup, the Australian Museum, the National Science Foundation, the National Research Institute PNG, the University of PNG, the Wau Ecology Unit, and the Lae Herbarium. And many colleagues around the world have shared my enthusiasm, including Michael Prentice, Ernst Loftier, Lincoln Hall, Tim Barrows, Richard Corlett, Jim Peterson, Pieter van Royen, Lin Gressit, Bob Johns, Ron Petocz, Tim Flannery, Wahyoe Hantoro, Jeremy Smith, Roger Hnatiuk, Donald Walker, Lyn Craven, Matt Prebble, Jim Juvik, and Alan Allison.</t>
  </si>
  <si>
    <t>10.1657/1938-4246-46.4.777</t>
  </si>
  <si>
    <t>WOS:000346219500008</t>
  </si>
  <si>
    <t>Crausbay, S; Genderjahn, S; Hotchkiss, S; Sachse, D; Kahmen, A; Arndt, SK</t>
  </si>
  <si>
    <t>Crausbay, Shelley; Genderjahn, Steffi; Hotchkiss, Sara; Sachse, Dirk; Kahmen, Ansgar; Arndt, Stefan K.</t>
  </si>
  <si>
    <t>Vegetation dynamics at the upper reaches of a tropical montane forest are driven by disturbance over the past 7300 years</t>
  </si>
  <si>
    <t>CLIMATE-CHANGE; EL-NINO; POSTGLACIAL CLIMATE; CLOUD FORESTS; EAST MAUI; PACIFIC; ISLAND; OSCILLATION; IMPACTS; HAWAII</t>
  </si>
  <si>
    <t>We assessed tropical montane cloud forest (TMCF) sensitivity to natural disturbance by drought, fire, and dieback with a 7300-year-long paleorecord. We analyzed pollen assemblages, charcoal accumulation rates, and higher plant biomarker compounds (average chain length [ACL] of n-alkanes) in sediments from Wai 'anapanapa, a small lake near the upper forest limit and the mean trade wind inversion ('IWI) in Hawai`i. The paleorecord of ACL suggests increased drought frequency and a lower awl elevation from 2555-1323 cal yr B.P. and 606-334 cal yr B.P. Charcoal began to accumulate and a novel fire regime was initiated ca. 880 cal yr B.P., followed by a decreased fire return interval at ca. 550 cal yr B.P. Diebacks occurred at 2931, 2161, 1162, and 306 cal yr B.P., and two of these were independent of drought or fire. Pollen assemblages indicate that on average species composition changed only 2.8% per decade. These dynamics, though slight, were significantly associated with disturbance. The direction of species composition change varied with disturbance type. Drought was associated with significantly more vines and lianas; fire was associated with an increase in the tree fern Sadleria and indicators of open, disturbed landscapes at the expense of epiphytic ferns; whereas stand-scale dieback was associated with an increase in the tree fern Cibotium. Though this cloud forest was dynamic in response to past disturbance, it has recovered, suggesting a resilient TMCF with no evidence of state change in vegetation type (e.g., grassland or shrubland).</t>
  </si>
  <si>
    <t>[Crausbay, Shelley] Colorado State Univ, Dept Hort &amp; Landscape Architecture, Ft Collins, CO 80523 USA; [Genderjahn, Steffi; Sachse, Dirk] Univ Potsdam, Leibniz Ctr Surface Proc &amp; Climate Studies, Inst Geowissensch, D-14476 Potsdam, Germany; [Hotchkiss, Sara] Univ Wisconsin, Dept Bot, Madison, WI 53706 USA; [Kahmen, Ansgar] ETH, Inst Agr Wissensch, CH-8092 Zurich, Switzerland; [Arndt, Stefan K.] Univ Melbourne, Sch Ecosyst &amp; Forest Sci, Richmond, Vic 3121, Australia</t>
  </si>
  <si>
    <t>Colorado State University; University of Potsdam; University of Wisconsin System; University of Wisconsin Madison; Swiss Federal Institutes of Technology Domain; ETH Zurich; University of Melbourne</t>
  </si>
  <si>
    <t>Crausbay, S (corresponding author), Colorado State Univ, Dept Hort &amp; Landscape Architecture, 1170 Campus Delivery, Ft Collins, CO 80523 USA.</t>
  </si>
  <si>
    <t>shelley.crausbay@colostate.edu</t>
  </si>
  <si>
    <t>Kahmen, Ansgar/AAC-4899-2019; Sachse, Dirk/D-3410-2012; Arndt, Stefan/G-5021-2013</t>
  </si>
  <si>
    <t>Kahmen, Ansgar/0000-0002-7823-5163; Hotchkiss, Sara/0000-0002-0383-0144; Sachse, Dirk/0000-0003-4207-0309; Crausbay, Shelley/0000-0003-3028-801X; Arndt, Stefan/0000-0001-7086-9375; Genderjahn, Steffi/0000-0002-8912-184X</t>
  </si>
  <si>
    <t>U.S. Geological Survey (USGS); U.S. Fish and Wildlife Service [12170-B-G100]; German Science Foundation (DFG) [SA-1889/1-1]</t>
  </si>
  <si>
    <t>U.S. Geological Survey (USGS)(United States Geological Survey); U.S. Fish and Wildlife Service(US Fish &amp; Wildlife Service); German Science Foundation (DFG)(German Research Foundation (DFG))</t>
  </si>
  <si>
    <t>Support for this work was provided by funding from the U.S. Geological Survey (USGS) Biological Resources Discipline Global Change Research Program to Hotchkiss and U.S. Fish and Wildlife Service in support of the Pacific Islands Climate Change Cooperative (PICCC; award number 12170-B-G100) to Hotchkiss and Crausbay, and support from the USGS Pacific Island Ecosystems Research Center. We thank Haleakala National Park for supporting this research. We are indebted to Basil Tikoff, Gregor Schuurman, and Corie Yanger, who helped core the lake, and Jordan Briggs, Haeyoon Chang, Erin Mellenthin, and Kelsey Sorum, who prepared and quantified charcoal particles. Lac Core, the National Lacustrine Core Facility, prepared all of the pollen/spore extracts. Sachse was supported by an Emmy-Noether research grant of the German Science Foundation (DFG) (SA-1889/1-1). Author order reflects degree of involvement; the last position does not signify principal investigator status.</t>
  </si>
  <si>
    <t>10.1657/1938-4246-46.4.787</t>
  </si>
  <si>
    <t>WOS:000346219500009</t>
  </si>
  <si>
    <t>Fernández-Palacios, JM; Otto, R; Thebaud, C; Price, J</t>
  </si>
  <si>
    <t>Maria Fernandez-Palacios, Jose; Otto, Ruediger; Thebaud, Christophe; Price, Jonathan</t>
  </si>
  <si>
    <t>Overview of habitat history in subtropical oceanic island summit ecosystems</t>
  </si>
  <si>
    <t>CANARY-ISLANDS; EVOLUTION; BIOGEOGRAPHY; DIVERSIFICATION; TIMBERLINE; ELEVATION; DIVERSITY; TENERIFE</t>
  </si>
  <si>
    <t>Summit ecosystems of oceanic islands constitute one of the most ephemeral and isolated ecosystems existing, harboring specific features that confer on their biota an outstanding distinctness. Summits are short-lived entities, being the last ecosystems to be constructed during the growth of the new oceanic island, and the first to vanish due either to island subsidence, island erosion, or both. Whereas their geological emergence/disappearance is controlled by the volcanic/erosion activity, Pleistocene glaciations in the past million years, by forcing the altitudinal shift of the timberline, have also likely created or destroyed summit ecosystems, enabling the appearance of alpine ecosystems during glacial maxima where they were not present in interglacial periods and vice versa. On the other hand, summit ecosystems constitute islands within islands, being more isolated from climatically similar ecosystems than the coastlines of the islands containing them. Thus summit biota, frequently displaying a high endemicity, may originate either through dispersal from other close summit ecosystems during peak periods, or from the colonization of the summits and later evolution to the new conditions from mid-altitude species of the same island. Conversely, if peak periods are absent, the disappearance of summit ecosystems implies the extinction or extirpation of their constitutive species. Current summit species have likely occupied a much larger area during glacial periods. Thus the summits may be classified as climatic refuges. This is especially the case if glacial periods were associated with much drier conditions on oceanic islands as is the case on continents.</t>
  </si>
  <si>
    <t>[Maria Fernandez-Palacios, Jose; Otto, Ruediger] Univ La Laguna, Isl Ecol &amp; Biogeog Grp, E-38206 Tenerife, Islas Canarias, Spain; [Thebaud, Christophe] Univ Toulouse 3, CNRS, Dept Evolut &amp; Biol Divers, F-31062 Toulouse, France; [Price, Jonathan] Univ Hawaii, Dept Geog &amp; Environm Studies, Hilo, HI 96720 USA; [Maria Fernandez-Palacios, Jose] Univ La Laguna, Fac Biol, Dept Ecol, E-38206 Tenerife, Islas Canarias, Spain</t>
  </si>
  <si>
    <t>Universidad de la Laguna; Universite de Toulouse; Universite Toulouse III - Paul Sabatier; Centre National de la Recherche Scientifique (CNRS); University of Hawaii System; University Hawaii Hilo; Universidad de la Laguna</t>
  </si>
  <si>
    <t>Fernández-Palacios, JM (corresponding author), Univ La Laguna, Fac Biol, Dept Ecol, E-38206 Tenerife, Islas Canarias, Spain.</t>
  </si>
  <si>
    <t>jmferpal@ull.es; rudiotto@ull.es; christophe.thebaud@univ-tlse3.fr; jpprice@hawaii.edu</t>
  </si>
  <si>
    <t>Thébaud, Christophe/N-3916-2016; Fernández-Palacios, José María/H-2054-2015</t>
  </si>
  <si>
    <t>Fernández-Palacios, José María/0000-0001-9741-6878; Thebaud, Christophe/0000-0002-8586-1234</t>
  </si>
  <si>
    <t>10.1657/1938-4246-46.4.801</t>
  </si>
  <si>
    <t>WOS:000346219500010</t>
  </si>
  <si>
    <t>Ah-Peng, C; Flores, O; Wilding, N; Bardat, J; Marline, L; Hedderson, TAJ; Strasberg, D</t>
  </si>
  <si>
    <t>Ah-Peng, Claudine; Flores, Olivier; Wilding, Nicholas; Bardat, Jacques; Marline, Lovanomanjanahary; Hedderson, Terry A. J.; Strasberg, Dominique</t>
  </si>
  <si>
    <t>Functional diversity of subalpine bryophyte communities in an oceanic island (La Reunion)</t>
  </si>
  <si>
    <t>LIFE-HISTORY VARIATION; LIMITING SIMILARITY; WATER RELATIONS; PLANT; SIZE; REDUNDANCY; GRADIENTS; PATTERNS; MOSS</t>
  </si>
  <si>
    <t>Increasing temperature imperils worldwide tropical subalpine and alpine ecosystems with the threat of mountaintop extinctions and a subsequent loss of biodiversity and ecosystem functions. This paper provides a first assessment of functional diversity along a high climatic gradient for bryophytes, which represent a major plant compartment in these ecosystems. The present study takes place on the highlands of the Piton des Neiges volcano, the highest summit of La Reunion Island (Western Indian Ocean). We find a relatively high species richness of bryophytes in these subalpine habitats, with a peak of diversity at 2750 m for the ground-dwelling community. We report a strong linear relationship between functional diversity and species richness for epiphytes. Within the same plant group, the relationship between functional richness, based on eight traits, and elevation differed between the ground-dwelling and epiphytic communities, suggesting that different processes may structure bryophyte species assemblages along this short subalpine climatic gradient. Higher functional redundancy in ground-dwelling bryophyte assemblages indicates that this community may be more robust than epiphytic bryophytes to disturbances in these subalpine ecosystems.</t>
  </si>
  <si>
    <t>[Ah-Peng, Claudine; Wilding, Nicholas; Marline, Lovanomanjanahary; Hedderson, Terry A. J.] Univ Cape Town, Dept Biol Sci, ZA-7701 Rondebosch, South Africa; [Strasberg, Dominique] Univ La Reunion, UMR PVBMT, F-97715 St Denis, France; [Ah-Peng, Claudine; Flores, Olivier] CIRAD, UMR PVBMT, F-97410 St Pierre, France; [Bardat, Jacques] Museum Natl Hist Nat, Inst Systemat Evolut &amp; Biodiversite, UMR CNRS 7205, F-75231 Paris 05, France</t>
  </si>
  <si>
    <t>University of Cape Town; University of La Reunion; CIRAD; Museum National d'Histoire Naturelle (MNHN)</t>
  </si>
  <si>
    <t>Ah-Peng, C (corresponding author), Univ Cape Town, Dept Biol Sci, Private Bag X3, ZA-7701 Rondebosch, South Africa.</t>
  </si>
  <si>
    <t>claudine.ahpeng@gmail.com</t>
  </si>
  <si>
    <t>AH-PENG, Claudine/N-6431-2013; Hedderson, Terry/AAD-8614-2021</t>
  </si>
  <si>
    <t>Flores, Olivier/0000-0002-1416-0449; Strasberg, Dominique/0000-0003-3012-252X; Wilding, Nicholas/0000-0003-4029-5387; Marline, Lovanomenjanahary/0000-0002-6181-0440</t>
  </si>
  <si>
    <t>Claude Leon Harris Foundation</t>
  </si>
  <si>
    <t>The authors would like to thank the National Park of Reunion for the collecting permit (no. 2008/1020BL) and also the organizing committee of the Tropical Alpine and Subalpine Conference in Hawaii, for covering expenses of Ah-Peng to attend this meeting. We thank Hashradah Ramburn for collecting some of the trait data for this study. We are grateful to the Claude Leon Harris Foundation for the postdoctoral fellowship of Ah-Peng. This manuscript was finalized while Ah-Peng and Wilding were visiting Bernard Goffinet's laboratory at the Ecology and Evolutionary Biology department at the University of Connecticut supported by the University of Cape Town travel grants. Logistic support was provided by the field station of Mare Longue (P.O.E Reunion 2.02 and OSU Reunion). This work was realized in the framework of the research program MOVECLIM and benefited from the support of the Agence Nationale de la Recherche, Conseil regional de La Reunion, Conseil regional de Guadeloupe, Government of Azores, Government of Canarias, under the framework of Net-Biome transnational first call.</t>
  </si>
  <si>
    <t>10.1657/1938-4246-46.4.841</t>
  </si>
  <si>
    <t>WOS:000346219500013</t>
  </si>
  <si>
    <t>Nogales, M; Rumeu, B; de Nascimento, L; Fernández-Palacios, JM</t>
  </si>
  <si>
    <t>Nogales, Manuel; Rumeu, Beatriz; de Nascimento, Lea; Maria Fernandez-Palacios, Jose</t>
  </si>
  <si>
    <t>Newly discovered seed dispersal system of Juniperus cedrus questions the pristine nature of the high elevation scrub of El Teide (Tenerife, Canary Islands)</t>
  </si>
  <si>
    <t>RED CEDAR; FORESTS; BIRDS; COMMUNIS; GENETICS; ECOLOGY; EXTENT</t>
  </si>
  <si>
    <t>As a working hypothesis, we examined evidence for the former presence of a climacic woodland of Juniperus cedrus above the pine forest in the high elevation area of Tenerife (Canary Islands), which would indicate that the current dominant vegetation (endemic Spartocytisus supranubius scrub) may not be pristine. The main causes of the great regression of this woodland were caused by human activities (timber harvesting, herbivory by goats, and fires). The main support for this hypothesis is the survival of a presumably relict seed dispersal system of the endangered endemic J. cedrus, which relies mainly on the wintering thrush Turdus torquatus. The fact that genetic factors are directly involved in the control of bird migration routes strongly supports the idea that this interaction could be remnant of an older system, probably more widespread in the past. To test this hypothesis, we propose that a paleoecological approach could reconstruct the vegetation dynamics in the Teide National Park (Tenerife) and the past presence of this seed disperser migratory thrush. The analysis of plant microfossils in sediments (e.g., pollen, spores, phytoliths, coprolites, and charcoal) would allow us to evaluate whether the current vegetation is the same as that which naturally existed in the past, and assess the impact of the anthropogenic and natural factors to which it has been subjected during history. The results of these analyses will be useful for future management policies and practices aimed at restoring the pristine landscape and biotic interactions of the Teide National Park. To our knowledge, the case presented in this contribution, based on the high dependence of the seed dispersal of an endemic tree (J. cedrus) on a migratory bird, is the only reported in the context of oceanic islands.</t>
  </si>
  <si>
    <t>[Nogales, Manuel; Rumeu, Beatriz] Isl Ecol &amp; Evolut Res Grp IPNA CSIC, Tenerife 38206, Canary Islands, Spain; [de Nascimento, Lea; Maria Fernandez-Palacios, Jose] Univ La Laguna, IUETSPC, Isl Ecol &amp; Biogeog Grp, E-38206 Tenerife, Canary Islands, Spain</t>
  </si>
  <si>
    <t>Consejo Superior de Investigaciones Cientificas (CSIC); CSIC - Instituto de Productos Naturales y Agrobiologia (IPNA); Universidad de la Laguna</t>
  </si>
  <si>
    <t>Nogales, M (corresponding author), Isl Ecol &amp; Evolut Res Grp IPNA CSIC, Astrofis Francisco Sanchez 3, Tenerife 38206, Canary Islands, Spain.</t>
  </si>
  <si>
    <t>mnogales@ipna.csic.es</t>
  </si>
  <si>
    <t>Nogales, Manuel/I-9831-2014; de Nascimento, Lea/ABC-6723-2021; Rumeu, Beatriz/ABF-6936-2020; Fernández-Palacios, José María/H-2054-2015; de Nascimento, Lea/F-7349-2012</t>
  </si>
  <si>
    <t>Nogales, Manuel/0000-0002-5327-3104; Rumeu, Beatriz/0000-0002-9017-5466; Fernández-Palacios, José María/0000-0001-9741-6878; de Nascimento, Lea/0000-0003-1085-2605</t>
  </si>
  <si>
    <t>Spanish National Research Council [CSIC: JAE-PRE]; Spanish Ministry of Science and Innovation [CGL2010-18759, PI2007/053]; Spanish Ministry of Science and Innovation; Canary Islands Government; Organismo Autonomo de Parques Nacionales (Canary Islands National Parks Council) [051/2010]</t>
  </si>
  <si>
    <t>Spanish National Research Council; Spanish Ministry of Science and Innovation(Spanish Government); Spanish Ministry of Science and Innovation(Spanish Government); Canary Islands Government; Organismo Autonomo de Parques Nacionales (Canary Islands National Parks Council)</t>
  </si>
  <si>
    <t>Rumeu was funded by a Spanish National Research Council grant (CSIC: JAE-PRE). This study is framed within the projects CGL2010-18759 and PI2007/053 and financed by the Spanish Ministry of Science and Innovation and the Canary Islands Government, respectively; both of which were partially funded by the European Union. The Organismo Autonomo de Parques Nacionales (Canary Islands National Parks Council) also financed this project (051/2010). Eduardo Carque, Manuel Marrero, Manuel Durban, Pedro Jordano, and Vicente Soler shared with us important information about the environment of El Teide, and Heriberto Lopez and Helena Morales helped us with the illustration of Figure 2. Several comments and suggestions made by editors and two anonymous referees helped to improve this manuscript.</t>
  </si>
  <si>
    <t>10.1657/1938-4246-46.4.853</t>
  </si>
  <si>
    <t>WOS:000346219500014</t>
  </si>
  <si>
    <t>Irl, SDH; Steinbauer, MJ; Messinger, J; Blume-Werry, G; Palomares-Martínez, A; Beierkuhnlein, C; Jentsch, A</t>
  </si>
  <si>
    <t>Irl, Severin D. H.; Steinbauer, Manuel J.; Messinger, Jana; Blume-Werry, Gesche; Palomares-Martinez, Angel; Beierkuhnlein, Carl; Jentsch, Anke</t>
  </si>
  <si>
    <t>Burned and devoured-Introduced herbivores, fire, and the endemic flora of the high-elevation ecosystem on La Palma, Canary Islands</t>
  </si>
  <si>
    <t>POTENTIAL NATURAL VEGETATION; SPECIES RICHNESS; PINUS-CANARIENSIS; OCEANIC ISLAND; TENERIFE; MAMMALS; DISTURBANCE; DRIVEN; PLANTS; SHRUB</t>
  </si>
  <si>
    <t>Novel disturbance regimes (e.g., introduced herbivores and fire) are among the major drivers of degradation in island ecosystems. High-elevation ecosystems (HEEs) on islands might be especially vulnerable to these disturbances due to high endemism. Here, data from an 11-year exclosure experiment in the HEE of La Palma (Canary Islands) are presented where mammalian herbivores have been introduced. We investigate the combined effect of herbivory and fire on total species richness, seedling richness, and seedling establishment on the whole system and a subset of highly endangered species (target species). Total species richness, seedling species richness, and seedling establishment decreased with herbivory. Five out of eight target species were exclusively found inside the exclosures indicating the negative impact of introduced herbivores on endemic high elevation flora. Target species were generally affected more negatively by introduced herbivores and were subject to significantly higher browsing pressure, probably owing to their lack of defense strategies. A natural wildfire that occurred six years before data sampling substantially increased total species richness and seedling richness in both herbivory exclosure and reference conditions. We conclude that species composition of the HEE has been severely altered by the introduction of non-native herbivores, even though fire seems to have a positive effect on this system.</t>
  </si>
  <si>
    <t>[Irl, Severin D. H.; Jentsch, Anke] Univ Bayreuth, BayCEER, Dept Disturbance Ecol, D-95447 Bayreuth, Germany; [Steinbauer, Manuel J.; Messinger, Jana; Blume-Werry, Gesche; Beierkuhnlein, Carl] Univ Bayreuth, BayCEER, Dept Biogeog, D-95447 Bayreuth, Germany; [Messinger, Jana] Univ Bayreuth, Ecol Bot Garden, D-95447 Bayreuth, Germany; [Blume-Werry, Gesche] Umea Univ, Dept Ecol &amp; Environm Sci, Climate Impacts Res Ctr, SE-98107 Abisko, Sweden; [Palomares-Martinez, Angel] Parque Nacl Caldera Taburiente, El Paso 38750, Spain</t>
  </si>
  <si>
    <t>University of Bayreuth; University of Bayreuth; University of Bayreuth; Umea University</t>
  </si>
  <si>
    <t>Irl, SDH (corresponding author), Univ Bayreuth, BayCEER, Dept Disturbance Ecol, Univ Str 30, D-95447 Bayreuth, Germany.</t>
  </si>
  <si>
    <t>severin.irl@uni-bayreuth.de</t>
  </si>
  <si>
    <t>Steinbauer, Manuel/KBC-4392-2024; Beierkuhnlein, Carl/ABF-8797-2021; Beierkuhnlein, Carl/ABF-9693-2021</t>
  </si>
  <si>
    <t>Steinbauer, Manuel/0000-0002-7142-9272; Beierkuhnlein, Carl/0000-0002-6456-4628; Beierkuhnlein, Carl/0000-0002-6456-4628; Blume-Werry, Gesche/0000-0003-0909-670X; Irl, Severin/0000-0002-1734-8607</t>
  </si>
  <si>
    <t>Elite Network of Bavaria (ENB)</t>
  </si>
  <si>
    <t>We would like to thank the employees of the Caldera de Taburiente NP for establishing and maintaining the exclosures during the last 11 years, the Elite study program Global Change Ecology (GCE) within the Elite Network of Bavaria (ENB) for its financial support, and Dr. Felix Medina from the Consejeria de Medio Ambiente del Cabildo Insular de La Palma for providing us with helpful information. A special thank you goes to all organizers of the great conference Vulnerable Islands in the Sky: Science and Management of Tropical Islands Alpine and Sub-alpine Ecosystems in Waimea, Hawaii, in August 2012 and the financial support provided for the two main authors, enabling them to participate. We would especially like to express our gratitude to the four reviewers for their constructive and knowledgeable comments and remarks.</t>
  </si>
  <si>
    <t>10.1657/1938-4246-46.4.859</t>
  </si>
  <si>
    <t>WOS:000346219500015</t>
  </si>
  <si>
    <t>Banko, PC; Hess, SC; Scowcroft, PG; Farmer, C; Jacobi, JD; Stephens, RM; Camp, RJ; Leonard, DL; Brinck, KW; Juvik, JO; Juvik, SP</t>
  </si>
  <si>
    <t>Banko, Paul C.; Hess, Steven C.; Scowcroft, Paul G.; Farmer, Chris; Jacobi, James D.; Stephens, Robert M.; Camp, Richard J.; Leonard, David L., Jr.; Brinck, Kevin W.; Juvik, J. O.; Juvik, S. P.</t>
  </si>
  <si>
    <t>Evaluating the long-term management of introduced ungulates to protect the palila, an endangered bird, and its critical habitat in subalpine forest of Mauna Kea, Hawai'i</t>
  </si>
  <si>
    <t>FERAL HERBIVORES; MAMANE; ELEVATION; ECOLOGY; IMPACT; LEPIDOPTERA; TORTRICIDAE; PARASITISM; EXCLUSION; ABUNDANCE</t>
  </si>
  <si>
    <t>Under the multiple-use paradigm, conflicts may arise when protection of an endangered species must compete with other management objectives. To resolve such a conflict in the Critical Habitat of the endangered Hawaiian honeycreeper, palila (Loxioides bailleui), federal courts ordered the eradication of introduced ungulates responsible for damaging the mamane (Sophora chrysophylla) forest on which palila depend. During 1980-2011, a total of 18,130 sheep (Ovis aries and O. gmelini musimon) and 310 goats (Capra hircus) were removed from Palila Critical Habitat (PCH) primarily by public hunters (54%) and secondarily by aerial shooting. Nevertheless, our analysis indicates that ungulates have increased over time. Palila numbers have declined sharply since 2003 due to long-term habitat degradation by ungulates and drought. Although culling ungulate populations has allowed some habitat improvement, their complete removal is necessary for palila to recover, especially given the potential for continued drought. Introduced predators are being controlled to reduce palila mortality, mamane and other native trees are being planted to restore some areas, and fencing is being constructed to prevent ungulate immigration. Funds are recently available for more effective eradication efforts, which are urgently needed to eliminate browsing damage in PCH and protect the palila from extinction.</t>
  </si>
  <si>
    <t>[Banko, Paul C.; Hess, Steven C.; Jacobi, James D.] US Geol Survey, Pacific Isl Ecosyst Res Ctr, Hawaii Natl Pk, HI 96718 USA; [Scowcroft, Paul G.] US Forest Serv, Inst Pacific Isl Forestry, Pacific Southwest Res Stn, USDA, Hilo, HI 96720 USA; [Farmer, Chris] Amer Bird Conservancy, Hawaii Natl Pk, HI 96718 USA; [Farmer, Chris; Camp, Richard J.; Brinck, Kevin W.] Univ Hawaii Hilo, Hawaii Cooperat Studies Unit, Hawaii Natl Pk, HI 96718 USA; [Stephens, Robert M.] Univ Hawaii Manoa, Pacific Cooperat Studies Unit, Hilo, HI 96720 USA; [Leonard, David L., Jr.] Hawaii Dept Land &amp; Nat Resources, Div Forestry &amp; Wildlife, Honolulu, HI 96813 USA; [Leonard, David L., Jr.] Univ Hawaii Manoa, Pacific Cooperat Studies Unit, Honolulu, HI 96813 USA; [Leonard, David L., Jr.] US Fish &amp; Wildlife Serv, Portland, OR 97232 USA; [Camp, Richard J.; Brinck, Kevin W.] Univ Hawaii, Dept Geog, Hilo, HI 96720 USA</t>
  </si>
  <si>
    <t>United States Department of the Interior; United States Geological Survey; United States Department of Agriculture (USDA); United States Forest Service; University of Hawaii System; University Hawaii Hilo; University of Hawaii System; University of Hawaii Manoa; University of Hawaii System; University of Hawaii Manoa; United States Department of the Interior; US Fish &amp; Wildlife Service; University of Hawaii System; University Hawaii Hilo</t>
  </si>
  <si>
    <t>Banko, PC (corresponding author), US Geol Survey, Pacific Isl Ecosyst Res Ctr, POB 44, Hawaii Natl Pk, HI 96718 USA.</t>
  </si>
  <si>
    <t>pbanko@usgs.gov</t>
  </si>
  <si>
    <t>Banko, Paul/AAK-3787-2021</t>
  </si>
  <si>
    <t>Camp, Richard/0000-0001-7008-923X; Hess, Steven/0000-0001-6403-9922</t>
  </si>
  <si>
    <t>Federal Highway Administration; U.S. Army Garrison Hawai'i; U.S. Geological Survey</t>
  </si>
  <si>
    <t>Federal Highway Administration; U.S. Army Garrison Hawai'i; U.S. Geological Survey(United States Geological Survey)</t>
  </si>
  <si>
    <t>This research was made possible thanks to major funding from the Federal Highway Administration, U.S. Army Garrison Hawai'i, and U.S. Geological Survey wildlife research program. Additional support was provided by the U.S. Forest Service, U.S. Fish and Wildlife Service (USFWS), American Bird Conservatory, National Fish and Wildlife Foundation, Pacific Cooperative Studies Unit, Hawai`i Division of Forestry and Wildlife, Natural Resources Conservation Service, Arbor Day Foundation, American Reinvestment and Recovery Act, and University of Hawai`i at Hilo. We thank the Office of Mauna Kea Management for hosting the symposium in which these results were presented and for supporting the publication of this article. The USFWS and Hawai 1 Division of Forestry and Wildlife provided permits and access to study sites. We are very grateful to the hundreds of technicians, students, and volunteers who assisted with field studies over the past 30 years. We thank Paul Berkowitz for his assistance with Figure 1. We thank David Henlcin and Jay Nelson for their comments and suggestions for improving the manuscript. We thank Susan Culliney for help with interpreting and citing the legal highlights (Appendix). The findings and conclusions in this article are those of the authors and do not necessarily represent the views of the U.S. Fish and Wildlife Service.</t>
  </si>
  <si>
    <t>10.1657/1938-4246-46.4.871</t>
  </si>
  <si>
    <t>WOS:000346219500016</t>
  </si>
  <si>
    <t>Anderson, B; Willis, I; Goodsell, B; Banwell, A; Owens, I; Mackintosh, A; Lawson, W</t>
  </si>
  <si>
    <t>Anderson, Brian; Willis, Ian; Goodsell, Becky; Banwell, Alison; Owens, Ian; Mackintosh, Andrew; Lawson, Wendy</t>
  </si>
  <si>
    <t>Annual to daily ice velocity and water pressure variations on Ka Roimata o Hine Hukatere (Franz Josef Glacier), New Zealand</t>
  </si>
  <si>
    <t>SURFACE VELOCITY; MIDRE LOVENBREEN; LEVEL VARIATIONS; BALANCE; MOTION; DYNAMICS; DAROLLA; FLOW; MELT; HINTEREISFERNER</t>
  </si>
  <si>
    <t>Ka Roimata o Hine Hukatere (Franz Josef Glacier) is a fast-flowing maritime glacier and its climatological and hydrological drivers are different from those of many previously studied alpine glaciers. The glacier tongue has recently advanced as well as retreated, remains largely snow free, has significant volumes of melt and rainwater inputs throughout the year, and experiences small radiation and air temperature fluctuations over diurnal to seasonal time scales. We discuss measurements of surface velocity made between 2000 and 2012 at annual, seasonal, weekly, and daily time scales together with measurements of glacier geometry change, and calculations of surface water inputs and subglacial water pressure variations derived from a distributed surface mass balance model and a one-dimensional conduit hydrology model, respectively. Annual velocity variations are linked to changes in glacier geometry and advance/retreat cycles with accelerations during thickening and advance and decelerations during thinning and retreat. At seasonal, weekly and daily time scales, velocities are correlated with water input variations and with rates of water pressure fluctuation rather than absolute magnitudes of water pressure.</t>
  </si>
  <si>
    <t>[Anderson, Brian; Goodsell, Becky; Mackintosh, Andrew] Victoria Univ, Antarctic Res Ctr, Wellington, New Zealand; [Willis, Ian; Banwell, Alison] Univ Cambridge, Scott Polar Res Inst, Dept Geog, Cambridge CB2 1ER, England; [Owens, Ian; Lawson, Wendy] Univ Canterbury, Dept Geog, Christchurch 1, New Zealand</t>
  </si>
  <si>
    <t>Victoria University Wellington; University of Cambridge; University of Canterbury</t>
  </si>
  <si>
    <t>Anderson, B (corresponding author), Victoria Univ, Antarctic Res Ctr, POB 600, Wellington, New Zealand.</t>
  </si>
  <si>
    <t>brian.anderson@vuw.ac.nz</t>
  </si>
  <si>
    <t>Banwell, Alison/W-8180-2018</t>
  </si>
  <si>
    <t>Banwell, Alison/0000-0001-9545-829X; Mackintosh, Andrew/0000-0002-6430-4711; Willis, Ian/0000-0002-0750-7088</t>
  </si>
  <si>
    <t>10.1657/1938-4246-46.4.919</t>
  </si>
  <si>
    <t>WOS:000346219500019</t>
  </si>
  <si>
    <t>Niu, FJ; Luo, J; Lin, ZJ; Liu, MH; Yin, GA</t>
  </si>
  <si>
    <t>Niu, Fujun; Luo, Jing; Lin, Zhanju; Liu, Minhao; Yin, Guoan</t>
  </si>
  <si>
    <t>Morphological characteristics of thermokarst lakes along the Qinghai-Tibet engineering corridor</t>
  </si>
  <si>
    <t>THAW LAKES; ORIENTED LAKES; PERMAFROST</t>
  </si>
  <si>
    <t>In order to determine the distribution and morphometric characteristics of thermokarst lakes on the Qinghai-Tibet Plateau, SPOT-5 satellite images were acquired from the Chumaerhe High Plateau to Beiluhe Basin within a 10-km-wide corridor along the Qinghai-Tibet Railway. A total of 2163 water bodies, having a total area of 1.09 x 10(7) m(2), were identified in the study area using unsupervised classification and image interpretation. Several shape metrics (area, perimeter, circularity index, elongation index, orientation of major axis, and curvature of lake shoreline) were determined for lakes from the imagery, and bathymetric profiles of lake bottoms were derived using ground-penetrating radar. The results highlighted significant morphometric differences between lakes larger than 5000 m(2) among three subregions: the Chumaerhe High Plain (CUP), the Hoh Xil Hill region (HXR), and the Beluhe Basin region (BBR). The lakes in CI-IP usually have a more regular outline and smooth lake bottoms, while the lakes in HXR often have the greatest depths and the most complex shorelines. The most elongated and largest lakes were typically in BBR. Other than a minor NE-SE peak in HXR and BBR, the major axis orientation for lakes in the three subregions is mostly ENE-WSW. The differences in lake morphology between the three subregions are associated with differences in ground-ice content, local relief, and topography. The dominant factors controlling the development of orientated thermokarst lakes in the region are the prevailing summer wind direction and solar insolation.</t>
  </si>
  <si>
    <t>[Niu, Fujun; Luo, Jing; Lin, Zhanju; Liu, Minhao; Yin, Guoan] Chinese Acad Sci, State Key Lab Frozen Soil Engn, Cold &amp; Arid Reg Environm &amp; Engn Res Inst, Lanzhou 730000, Peoples R China; [Niu, Fujun] CCCC First Highway Consultants Co Ltd, Minist Transport, Key Lab Highway Construct &amp; Maintenance Technol P, Xian 710075, Peoples R China; [Luo, Jing; Liu, Minhao; Yin, Guoan] Univ Chinese Acad Sci, Beijing 100049, Peoples R China</t>
  </si>
  <si>
    <t>Chinese Academy of Sciences; Cold &amp; Arid Regions Environmental &amp; Engineering Research Institute, CAS; Chinese Academy of Sciences; University of Chinese Academy of Sciences, CAS</t>
  </si>
  <si>
    <t>Luo, J (corresponding author), Chinese Acad Sci, State Key Lab Frozen Soil Engn, Cold &amp; Arid Reg Environm &amp; Engn Res Inst, 320 Donggang West Rd, Lanzhou 730000, Peoples R China.</t>
  </si>
  <si>
    <t>luojinabcd@163.com</t>
  </si>
  <si>
    <t>Western Project Program of the Chinese Academy of Sciences [KZCX2-XB3-19]; State Key Development Program of Basic Research of China [2012CB026101]; Foundation for Innovative Research Groups of the National Natural Science Foundation of China [41121061]; Foundation for Excellent Youth Scholars of CAREERI [CAS 51Y251941]</t>
  </si>
  <si>
    <t>Western Project Program of the Chinese Academy of Sciences(Chinese Academy of Sciences); State Key Development Program of Basic Research of China(State Key Development Program for Basic Research of China); Foundation for Innovative Research Groups of the National Natural Science Foundation of China(National Natural Science Foundation of China (NSFC)); Foundation for Excellent Youth Scholars of CAREERI</t>
  </si>
  <si>
    <t>This work was supported by the Western Project Program of the Chinese Academy of Sciences (KZCX2-XB3-19), the State Key Development Program of Basic Research of China (973 Plan, 2012CB026101), the Foundation for Innovative Research Groups of the National Natural Science Foundation of China (Grant No. 41121061), the Foundation for Excellent Youth Scholars of CAREERI (CAS 51Y251941).</t>
  </si>
  <si>
    <t>10.1657/1938-4246-46.4.963</t>
  </si>
  <si>
    <t>WOS:000346219500022</t>
  </si>
  <si>
    <t>Hofstede, RGM; Dickinson, KJM; Mark, AF; Narváez, E</t>
  </si>
  <si>
    <t>Hofstede, Robert G. M.; Dickinson, Katharine J. M.; Mark, Alan F.; Narvaez, Edwin</t>
  </si>
  <si>
    <t>A broad transition from cloud forest to paramo characterizes an undisturbed treeline in Parque Nacional Llanganates, Ecuador</t>
  </si>
  <si>
    <t>PINE PLANTATIONS; CLIMATE-CHANGE; SOIL; VEGETATION; ANDES; ECOSYSTEMS; GRASSLANDS; IMPACTS</t>
  </si>
  <si>
    <t>This study aimed at investigating the vegetation pattern associated with the transition from upper northern Andean cloud forest to paramo grassland in a relatively unmodified area in Ecuador's Eastern Cordillera. Single 20 x 10 m plots were randomly placed in representative sites along an altitudinal gradient from continuously wet Andean montane cloud forest at 3400-3700 m to paramo grassland at 3900-4000 m. Also sampled was a disjunct stand of the stem-rosette Espeletia pycnophylla var. llanganatensis, some 200 km south of the limit of the otherwise continuous distribution of this genus. Several physical and chemical soil factors, including temperature at 30 cm, were determined. Visual estimates of cover in four life-form classes (trees, shrubs, herbs, ground cover) at each site revealed similarities related to their relative proximity along an elevation gradient. Stands with a tree cover were more species-rich than those without, due largely to the differential distribution of the woody flora. No abrupt discontinuity occurred in the mix of species along this gradient. Soil temperature and altitude were the most important factors of those measured to explain the variability in plant community structure and composition. There was no clear zonation evident along the altitudinal gradient, with vegetation structure and fioristics displaying continuous variation. No clear upper forest limit was differentiated. The isolated presence of Espeletia in the area is discussed, but the theory about its origin remains speculative.</t>
  </si>
  <si>
    <t>[Hofstede, Robert G. M.] Univ Amsterdam, IBED, NL-1098 SM Amsterdam, Netherlands; [Dickinson, Katharine J. M.; Mark, Alan F.] Univ Otago, Dept Bot, Dunedin, New Zealand; [Narvaez, Edwin] Univ Cent Ecuador, Escuela Biol &amp; Quim, Quito, Ecuador</t>
  </si>
  <si>
    <t>University of Amsterdam; University of Otago; Universidad Central del Ecuador</t>
  </si>
  <si>
    <t>Hofstede, RGM (corresponding author), Ecopar, Casilla Postal 17-11-6706, Quito, Ecuador.</t>
  </si>
  <si>
    <t>hofstederobert@gmail.com</t>
  </si>
  <si>
    <t>Dickinson, Katharine/M-1728-2017</t>
  </si>
  <si>
    <t>Dickinson, Katharine/0000-0001-6769-552X</t>
  </si>
  <si>
    <t>Royal Netherlands Embassy in Ecuador</t>
  </si>
  <si>
    <t>The authors would like to thank Gab Medina for his great help during the field work, and Maaike Bader and Luis Daniel Llambi for reviewing our manuscript. Pascal Podwojewski arranged the soils analysis in the Institut de Recherche pour le Developpement (IRD) laboratory in France, while Pascale Michel and Jacqueline Nielsen provided helpful discussion and comments on the manuscript. The field work for this study was done within the scope of the Ecuadorian Paramo Conservation Project, executed by the University of Amsterdam, Ecociencia, and the Mountain Institute, with financial support from the Royal Netherlands Embassy in Ecuador.</t>
  </si>
  <si>
    <t>10.1657/1938-4246-46.4.975</t>
  </si>
  <si>
    <t>WOS:000346219500023</t>
  </si>
  <si>
    <t>Apollonio, S; Saros, JE</t>
  </si>
  <si>
    <t>Apollonio, Spencer; Saros, Jasmine E.</t>
  </si>
  <si>
    <t>Temporal and Spatial Dynamics of Ice-Covered Upper Dumbell Lake (Ellesmere Island, Arctic Canada) during the Summer of 1959 (vol 46, pg 293, 2014)</t>
  </si>
  <si>
    <t>[Saros, Jasmine E.] Univ Maine, Climate Change Inst, Orono, ME 04469 USA; [Saros, Jasmine E.] Univ Maine, Sch Biol &amp; Ecol, Orono, ME 04469 USA</t>
  </si>
  <si>
    <t>University of Maine System; University of Maine Orono; University of Maine System; University of Maine Orono</t>
  </si>
  <si>
    <t>Saros, JE (corresponding author), Univ Maine, Climate Change Inst, Orono, ME 04469 USA.</t>
  </si>
  <si>
    <t>jasmine.saros@maine.edu</t>
  </si>
  <si>
    <t>10.1657/1938-4246-46.4.1007</t>
  </si>
  <si>
    <t>WOS:000346219500025</t>
  </si>
  <si>
    <t>Karanovic, T; Kim, K</t>
  </si>
  <si>
    <t>Karanovic, Tomislav; Kim, Kichoon</t>
  </si>
  <si>
    <t>Suitability of cuticular pores and sensilla for harpacticoid copepod species delineation and phylogenetic reconstruction</t>
  </si>
  <si>
    <t>ARTHROPOD STRUCTURE &amp; DEVELOPMENT</t>
  </si>
  <si>
    <t>Stenheliinae; Marine benthos; Cladistics; DNA barcoding; Novel characters</t>
  </si>
  <si>
    <t>INTEGUMENTAL PERFORATION PATTERN; NEARCTIC COLYMBETINAE COLEOPTERA; THERMOCYCLOPS-EMINI MRAZEK; FEMALE COPEPODA; 1ST RECORD; NUCLEOTIDE SUBSTITUTIONS; SIZE DIFFERENTIATION; STENHELIA COPEPODA; CRYPTIC SPECIATION; COMPLEX COPEPODA</t>
  </si>
  <si>
    <t>Cuticular organs have not been described systematically in harpacticoids until recently, and they have never been used as characters for reconstructing phylogenetic relationships in any crustacean group. We survey cuticular pores and sensilla on somites in ten Miraciidae species, belonging to six genera, from Korea, Australia, and Russia. Nine species belong to the subfamily Stenheliinae, while the outgroup belongs to the subfamily Diosaccinae. We aim to compare phylogenetic trees reconstructed for these harpactioids based on: 1) cuticular organs (with 76 characters scored, 71% of them phylogenetically informative); 2) traditionally used macro-morphological characters (66 scored, 77% of them informative); and 3) mtCOI DNA data. All analyses suggest that cuticular organs are useful characters for harpacticoid species delineation, although not as sensitive as some fast-evolving molecular markers. Reconstructed cladograms based on all three datasets show very high bootstrap values for clades representing distinct genera, suggesting that cuticular organs are suitable characters for studying phylagenetic relationships. Bootstrap values for the more basal nodes differ among the different cladograms, as do the sister-group relationships they suggest, indicating that cuticular organs probably have different evolutionary constraints from macro-morphological characters. Cuticular organs could be quite useful in the study of old museum specimens and fossil crustaceans. (C) 2014 Elsevier Ltd. All rights reserved.</t>
  </si>
  <si>
    <t>[Karanovic, Tomislav; Kim, Kichoon] Hanyang Univ, Dept Life Sci, Seoul 133791, South Korea; [Karanovic, Tomislav] Univ Tasmania, Inst Marine &amp; Antarctic Studies, Hobart, Tas 7001, Australia</t>
  </si>
  <si>
    <t>Hanyang University; University of Tasmania</t>
  </si>
  <si>
    <t>Karanovic, T (corresponding author), Hanyang Univ, Dept Life Sci, Seoul 133791, South Korea.</t>
  </si>
  <si>
    <t>Tomislav.Karanovic@utas.edu.au</t>
  </si>
  <si>
    <t>National Institute of Biological Resources (NIBR) - Ministry of Environment of the Republic of Korea (NIBR) [2013-02-001]; Basic Science Research Programme of the National Research Foundation of Korea (NRF) - Ministry of Education, Science and Technology of the Republic of Korea [2012R1A1A2005312]</t>
  </si>
  <si>
    <t>National Institute of Biological Resources (NIBR) - Ministry of Environment of the Republic of Korea (NIBR)(Ministry of Environment (ME), Republic of Korea); Basic Science Research Programme of the National Research Foundation of Korea (NRF) - Ministry of Education, Science and Technology of the Republic of Korea(National Research Foundation of Korea)</t>
  </si>
  <si>
    <t>This work was supported by a grant from the National Institute of Biological Resources (NIBR), funded by the Ministry of Environment of the Republic of Korea (NIBR No. 2013-02-001), as well as a grant from the Basic Science Research Programme of the National Research Foundation of Korea (NRF) funded by the Ministry of Education, Science and Technology of the Republic of Korea (2012R1A1A2005312). The scanning electron microscope was made available through Prof. Jin Hyun Jun (Eulji University, Seoul), and we also want to thank Mr. Junho Kim (Eulji University, Seoul) for the technical help provided. We are very grateful to Dr. Julia Trebukhova (Institute of Marine Biology, Vladivostok) for collecting the samples of Stenhelia pubescens and Itostenhelia golikovi, as well as to Dr. Marina Malyutina (Institute of Marine Biology, Vladivostok) and Prof. Angelika Brandt (Zoological Museum, Hamburg) for their assistance in transporting these specimens. We also thank Dr. Kanghyun Lee and Ms. Eunkyoung Park (Hanyang University, Seoul) for their help in the field and in the molecular lab respectively. We are also very grateful for the numerous comments on an early draft of this paper provided by our friends and colleagues Prof. J.C. von Vaupel Klein (Bilthoven, Netherlands), Dr. Mark J. Grygier (Lake Biwa Museum, Japan), and Prof. John Wells (Victoria University of Wellington, New Zealand).</t>
  </si>
  <si>
    <t>1467-8039</t>
  </si>
  <si>
    <t>1873-5495</t>
  </si>
  <si>
    <t>ARTHROPOD STRUCT DEV</t>
  </si>
  <si>
    <t>Arthropod Struct. Dev.</t>
  </si>
  <si>
    <t>10.1016/j.asd.2014.09.003</t>
  </si>
  <si>
    <t>AU9ZT</t>
  </si>
  <si>
    <t>WOS:000345951100010</t>
  </si>
  <si>
    <t>Vargas-Hernandez, JM; Wijffels, S; Meyers, G; Holbrook, NJ</t>
  </si>
  <si>
    <t>Mauro Vargas-Hernandez, J.; Wijffels, Susan; Meyers, Gary; Holbrook, Neil J.</t>
  </si>
  <si>
    <t>Evaluating SODA for Indo-Pacific Ocean decadal climate variability studies</t>
  </si>
  <si>
    <t>decadal ocean variability; SODA; Interdecadal Pacific Oscillation; subsurface; upper ocean temperature; sea surface height</t>
  </si>
  <si>
    <t>GLACIAL ISOSTATIC-ADJUSTMENT; SEA-SURFACE TEMPERATURE; INDONESIAN THROUGHFLOW; TROPICAL PACIFIC; INDIAN-OCEAN; LEVEL; ENSO; INTENSIFICATION; PREDICTABILITY; CIRCULATION</t>
  </si>
  <si>
    <t>Estimates of changes in upper ocean temperature, heat content, and sea level are dependent on the coverage of subsurface observations in space and time. Historically, these data are sparse, which has limited our understanding of ocean climate variability and change mechanisms. Ocean state estimates, which effectively represent a model synthesis and integration of the available observations, including internal observations in the ocean and surface forcing, help to address the inhomogeneity of sparse observations in space and time. Here we evaluate the representativeness of ocean state estimates from the Simple Ocean Data Assimilation Version 2.2.4 (SODA) data for studying Indo-Pacific Ocean decadal temperature and sea level variability over the period 1950-2007. The SODA data are evaluated against independent sea level anomalies from long-record tide gauges at Midway Island and Fremantle, reconstructed sea surface height anomalies, and sea surface height anomalies from TOPEX/Poseidon satellite altimeter observations at the decadal time scale. This study demonstrates that SODA captures the characteristic Interdecadal Pacific Oscillation (IPO) over the upper 200 m, and accurately represents these decadal changes against the independent observations. The SODA-product shows a meridional asymmetry of patterns that connect the western tropical Pacific and the Indian Ocean, apparently in relation to IPO changes. Regional sea level at the Midway Island and Fremantle tide gauges confirm this decadal connection and the relationship with the IPO. We concluded that SODA is potentially a useful tool to examine ocean decadal climate variability across the Indo-Pacific Ocean.</t>
  </si>
  <si>
    <t>[Mauro Vargas-Hernandez, J.; Meyers, Gary; Holbrook, Neil J.] Univ Tasmania, Inst Marine &amp; Antarctic Studies, Hobart, Tas, Australia; [Mauro Vargas-Hernandez, J.; Wijffels, Susan; Meyers, Gary] CSIRO Oceans &amp; Atmosphere Flagship, Hobart, Tas, Australia; [Mauro Vargas-Hernandez, J.] Univ Nacl, Lab Oceanog &amp; Manejo Costero, Heredia, Costa Rica; [Wijffels, Susan] Ctr Australian Weather &amp; Climate Res, Hobart, Tas, Australia; [Holbrook, Neil J.] ARC Ctr Excellence Climate Syst Sci, Hobart, Tas, Australia</t>
  </si>
  <si>
    <t>University of Tasmania; Commonwealth Scientific &amp; Industrial Research Organisation (CSIRO); Universidad Nacional Costa Rica; Commonwealth Scientific &amp; Industrial Research Organisation (CSIRO); ARC Centre of Excellence for Climate System Science</t>
  </si>
  <si>
    <t>Vargas-Hernandez, JM (corresponding author), Univ Tasmania, Inst Marine &amp; Antarctic Studies, Hobart, Tas, Australia.</t>
  </si>
  <si>
    <t>jose.vargas.hernandez@una.cr</t>
  </si>
  <si>
    <t>Wijffels, Susan E/I-8215-2012; Holbrook, Neil/M-7544-2013</t>
  </si>
  <si>
    <t>Holbrook, Neil/0000-0002-3523-6254; Wijffels, Susan/0000-0002-4717-0811; Vargas-Hernandez, Jose Mauro/0000-0002-7014-7054</t>
  </si>
  <si>
    <t>University of Tasmania; Universidad Nacional de Costa Rica; CSIRO</t>
  </si>
  <si>
    <t>University of Tasmania; Universidad Nacional de Costa Rica; CSIRO(Commonwealth Scientific &amp; Industrial Research Organisation (CSIRO))</t>
  </si>
  <si>
    <t>This work was conducted as part of the Jose Mauro Vargas Hernandez PhD in Quantitative Marine Sciences PhD Program, a joint initiative between the University of Tasmania and CSIRO. The research was partially supported by grants from University of Tasmania, Universidad Nacional de Costa Rica, and CSIRO. The authors are thankful to John Church and Neil White from CSIRO Marine and Atmospheric Research for providing sea level data at Midway Island and Fremantle, the reconstructed sea level for the period 1950-2009, and the TOPEX/Poseidon satellite altimeter data (data available from http://www.cmar.csiro.au/sealevel/index.html). Richard Coleman is thanked for suggesting the EOF analysis used to prepare Figure 8. SODA data were provided by the SODA/TAMU research group, Texas A&amp;M University (http://soda.tamu.edu/). The dynamic height anomaly was estimated using the Gibbs Seawater (GSW) Oceanographic Toolbox of the Thermodynamic Equation of Seawater (TEOS-10) [McDougall and Barker, 2011] available from http://www.teos10.org/. The IPO index was obtained from the calculations of Chris Folland, UK Met Office Hadley Centre (http://iges.org/c20c/IPO_v2.doc). The PDO index was obtained from the Joint Institute for the study of the Atmosphere and Ocean (JISAO) at University of Washington (http://jisao.washington.edu/pdo/). This paper makes a contribution to the goals of the Australian Research Council Centre of Excellence for Climate System Science.</t>
  </si>
  <si>
    <t>10.1002/2014JC010175</t>
  </si>
  <si>
    <t>AW2FG</t>
  </si>
  <si>
    <t>WOS:000346102900028</t>
  </si>
  <si>
    <t>Peña-Molino, B; Rintoul, SR; Mazloff, MR</t>
  </si>
  <si>
    <t>Pena-Molino, B.; Rintoul, S. R.; Mazloff, M. R.</t>
  </si>
  <si>
    <t>Barotropic and baroclinic contributions to along-stream and across-stream transport in the Antarctic Circumpolar Current</t>
  </si>
  <si>
    <t>ACC; transport; along-stream; barotropic; baroclinic</t>
  </si>
  <si>
    <t>GENERAL-CIRCULATION MODEL; MERIDIONAL OVERTURNING CIRCULATION; SOUTHERN-OCEAN; DRAKE PASSAGE; DEACON CELL; PART I; TOPOGRAPHY; AUSTRALIA; BALANCE; VARIABILITY</t>
  </si>
  <si>
    <t>The Southern Ocean's ability to store and transport heat and tracers as well as to dissipate momentum and energy are intimately related to the vertical structure of the Antarctic Circumpolar Current (ACC). Here the partition between barotropic and baroclinic flow in the time-mean ACC is investigated in a Southern Ocean state estimate. The zonal geostrophic transport is predominantly baroclinic, with at most 25% of the transport at any longitude carried by the barotropic component. Following surface streamlines, changes in vertical shear and near-bottom velocity are large, and result in changes in the local partition of barotropic/baroclinic vertically integrated transport from 10/90% in the center of the basins, to 50/50% near complex topography. The velocity at depth is not aligned with the surface velocity. This nonequivalent barotropic flow supports significant cross-stream transports. Barotropic and baroclinic mass transport across the ACC is, on average, in opposite directions, with the net barotropic cross-stream transport being poleward and the net baroclinic equatorward. The sum partially cancels out, leaving a net geostrophic poleward transport across the different fronts between -5 and -20 Sv. Temperature is also transported across the fronts by the nonequivalent barotropic part of the ACC, with maximum values across the northern ACC fronts equivalent to -0.2 PW. The sign and magnitude of these transports are not sensitive to the choice of stream-coordinate. These cross-stream volume and temperature transports are variable in space, and dependent on the interactions between deep flow and bathymetry, thus difficult to infer from surface and hydrographic observations alone.</t>
  </si>
  <si>
    <t>[Pena-Molino, B.; Rintoul, S. R.] Univ Tasmania, Antarctic Climate &amp; Ecosyst Cooperat Res Ctr, Hobart, Tas, Australia; [Rintoul, S. R.] CSIRO Oceans &amp; Atmosphere Flagship, Hobart, Tas, Australia; [Rintoul, S. R.] Ctr Weather &amp; Climate Res, Hobart, Tas, Australia; [Mazloff, M. R.] Univ Calif San Diego, Scripps Inst Oceanog, La Jolla, CA 92093 USA</t>
  </si>
  <si>
    <t>University of Tasmania; Antarctic Climate &amp; Ecosystems Cooperative Research Centre (ACE CRC); Commonwealth Scientific &amp; Industrial Research Organisation (CSIRO); University of California System; University of California San Diego; Scripps Institution of Oceanography</t>
  </si>
  <si>
    <t>Peña-Molino, B (corresponding author), Univ Tasmania, Antarctic Climate &amp; Ecosyst Cooperat Res Ctr, Hobart, Tas, Australia.</t>
  </si>
  <si>
    <t>beatriz.penamolino@utas.edu.au</t>
  </si>
  <si>
    <t>Pena-Molino, Beatriz/IYK-0313-2023; Mazloff, Matthew/AAG-6463-2019; Rintoul, Stephen R/A-1471-2012</t>
  </si>
  <si>
    <t>Pena-Molino, Beatriz/0000-0003-1587-1696; Mazloff, Matthew/0000-0002-1650-5850; Rintoul, Stephen R/0000-0002-7055-9876</t>
  </si>
  <si>
    <t>Australian government's Cooperative Research Centres Program through the Antarctic Climate and Ecosystems Cooperative Research Centre (ACE CRC); Australian Government Department of the Environment; Bureau of Meteorology; CSIRO through Australian Climate Change Science Program; National Science Foundation (NSF) [OCE-1234473, OPP-0961218, MCA06N007]; Directorate For Geosciences; Office of Polar Programs (OPP) [0961218] Funding Source: National Science Foundation; Division Of Ocean Sciences; Directorate For Geosciences [1234473] Funding Source: National Science Foundation</t>
  </si>
  <si>
    <t>Australian government's Cooperative Research Centres Program through the Antarctic Climate and Ecosystems Cooperative Research Centre (ACE CRC)(Australian GovernmentDepartment of Industry, Innovation and ScienceCooperative Research Centres (CRC) Programme); Australian Government Department of the Environment(Australian Government); Bureau of Meteorology(Bureau of Meteorology - Australia); CSIRO through Australian Climate Change Science Program; National Science Foundation (NSF)(National Science Foundation (NSF)); Directorate For Geosciences; Office of Polar Programs (OPP)(National Science Foundation (NSF)NSF - Directorate for Geosciences (GEO)); Division Of Ocean Sciences; Directorate For Geosciences(National Science Foundation (NSF)NSF - Directorate for Geosciences (GEO))</t>
  </si>
  <si>
    <t>This work was supported by the Australian government's Cooperative Research Centres Program through the Antarctic Climate and Ecosystems Cooperative Research Centre (ACE CRC), and by the Australian Government Department of the Environment, the Bureau of Meteorology, and CSIRO through the Australian Climate Change Science Program. MRM acknowledges the National Science Foundation (NSF) for support of this research through grants OCE-1234473 and OPP-0961218. SOSE was produced using the Extreme Science and Engineering Discovery Environment (XSEDE), which is supported by National Science Foundation grant MCA06N007. The data used in this study can be found at sose.ucsd.edu. We would also like to thank the reviewers, specially Randy Watts, as their comments greatly improved the manuscript.</t>
  </si>
  <si>
    <t>10.1002/2014JC010020</t>
  </si>
  <si>
    <t>WOS:000346102900037</t>
  </si>
  <si>
    <t>Köhler, P; Knorr, G; Bard, E</t>
  </si>
  <si>
    <t>Koehler, Peter; Knorr, Gregor; Bard, Edouard</t>
  </si>
  <si>
    <t>Permafrost thawing as a possible source of abrupt carbon release at the onset of the Bolling/Allerod</t>
  </si>
  <si>
    <t>ICE CORE DATA; ATMOSPHERIC CO2; ANTARCTIC TEMPERATURE; ISOTOPIC COMPOSITION; GLACIAL MAXIMUM; GLOBAL CLIMATE; LAST; RECORD; OCEAN; C-14</t>
  </si>
  <si>
    <t>One of the most abrupt and yet unexplained past rises in atmospheric CO2 (&gt;10 p.p.m.v. in two centuries) occurred in quasi-synchrony with abrupt northern hemispheric warming into the Bolling/Allerod, similar to 14,600 years ago. Here we use a U/Th-dated record of atmospheric Delta C-14 from Tahiti corals to provide an independent and precise age control for this CO2 rise. We also use model simulations to show that the release of old (nearly C-14-free) carbon can explain these changes in CO2 and Delta C-14. The Delta C-14 record provides an independent constraint on the amount of carbon released (similar to 125 Pg C). We suggest, in line with observations of atmospheric CH4 and terrigenous biomarkers, that thawing permafrost in high northern latitudes could have been the source of carbon, possibly with contribution from flooding of the Siberian continental shelf during meltwater pulse 1A. Our findings highlight the potential of the permafrost carbon reservoir to modulate abrupt climate changes via greenhouse-gas feedbacks.</t>
  </si>
  <si>
    <t>[Koehler, Peter; Knorr, Gregor] Alfred Wegener Inst Helmholtz Zentrum Polar &amp; Mee, D-27515 Bremerhaven, Germany; [Knorr, Gregor] Cardiff Univ, Sch Earth &amp; Ocean Sci, Cardiff CF10 3AT, S Glam, Wales; [Bard, Edouard] Aix Marseille Univ, CEREGE, CNRS, IRD,Coll France, F-13545 Aix En Provence, France</t>
  </si>
  <si>
    <t>Helmholtz Association; Alfred Wegener Institute, Helmholtz Centre for Polar &amp; Marine Research; Cardiff University; Universite PSL; College de France; Aix-Marseille Universite; Centre National de la Recherche Scientifique (CNRS); Institut de Recherche pour le Developpement (IRD)</t>
  </si>
  <si>
    <t>Köhler, P (corresponding author), Alfred Wegener Inst Helmholtz Zentrum Polar &amp; Mee, POB 12 01 61, D-27515 Bremerhaven, Germany.</t>
  </si>
  <si>
    <t>Peter.Koehler@awi.de</t>
  </si>
  <si>
    <t>Köhler, Peter/F-7293-2010</t>
  </si>
  <si>
    <t>Köhler, Peter/0000-0003-0904-8484; Knorr, Gregor/0000-0002-8317-5046</t>
  </si>
  <si>
    <t>REKLIM; European Community; Agence Nationale de la Recherche (Project EQUIPEX ASTER-CEREGE)</t>
  </si>
  <si>
    <t>REKLIM; European Community; Agence Nationale de la Recherche (Project EQUIPEX ASTER-CEREGE)(Agence Nationale de la Recherche (ANR))</t>
  </si>
  <si>
    <t>We thank H. Fischer for some insights on CH4 in ice cores and T. Opel for details on permafrost. R. Muscheler calculated GISP2 10Be fluxes and provided all GISP2 10Be data on the GICC05 age scale. A. Ridgwell provided helpful comments and GENIE model results used for carbon cycle model evaluation. K. Saito provided PMIP3 result on LGM permafrost distribution. M. Mudelsee helped with the application of the Breakfit software, V. Helm transformed IDL data into netCDF. G. K. acknowledges helpful discussions with G. Lohmann and S. Barker. G. K. is funded by REKLIM. E. B. is supported by the European Community (Project Past for Future) and by the Agence Nationale de la Recherche (Project EQUIPEX ASTER-CEREGE).</t>
  </si>
  <si>
    <t>10.1038/ncomms6520</t>
  </si>
  <si>
    <t>AU9LD</t>
  </si>
  <si>
    <t>WOS:000345913300005</t>
  </si>
  <si>
    <t>Delparte, DM; Belt, M; Nishioka, C; Turner, N; Richardson, RT; Ericksen, T</t>
  </si>
  <si>
    <t>Delparte, D. M.; Belt, M.; Nishioka, C.; Turner, N.; Richardson, R. T.; Ericksen, T.</t>
  </si>
  <si>
    <t>Monitoring tropical alpine lake levels in a culturally sensitive environment utilizing 3D technological approaches</t>
  </si>
  <si>
    <t>GEOMAGNETIC SECULAR VARIATION; MAUNA-KEA; WAIAU; SEDIMENTS</t>
  </si>
  <si>
    <t>Lake Waiau is a tropical alpine lake situated near the summit of Mauna Kea on the Island of Hawai`i at an elevation of 3969 m. The lake is a place of Hawaiian cultural practice that encompasses Hawaiian mythology, history, genealogy, and spirituality. Concern over declining lake levels has created the stimulus to examine methodologies to monitor lake levels without disturbance. The objective of this research study was to determine the most accurate and cost-effective combination of new approaches to enable long-term monitoring with minimal disturbance to the lake and its environs. Three strategies were used to construct 3D models of the lake: soft-copy stereo photogrammetry from aerial photography, image-based 3D reconstruction from overlapping photographs (Structure from Motion), and terrestrial laser scanning (TLS). To supplement these detection methods, side scan sonar was used to collect bathymetric data. The results were three high-resolution 3D models that were used to calculate volumetric and areal changes over time using Geographic Information Systems (GIS) to analyze and visualize the lake body. The methodologies used in this study are compared for the feasibility of long-term data collection based on variations in accuracy and the associated costs of data collection.</t>
  </si>
  <si>
    <t>[Delparte, D. M.; Belt, M.] Idaho State Univ, Pocatello, ID 83209 USA; [Nishioka, C.; Turner, N.] Univ Hawaii, Spatial Data Anal &amp; Visualizat Lab, Hilo, HI 96720 USA; [Richardson, R. T.] Idaho State Univ, Coll Educ, Pocatello, ID 83209 USA; [Ericksen, T.] Univ Hawaii Manoa, Pacific GPS Facil, Honolulu, HI 96822 USA</t>
  </si>
  <si>
    <t>Idaho; Idaho State University; University of Hawaii System; University Hawaii Hilo; Idaho; Idaho State University; University of Hawaii System; University of Hawaii Manoa</t>
  </si>
  <si>
    <t>Delparte, DM (corresponding author), Idaho State Univ, 921 South 8th Ave,STOP 8072, Pocatello, ID 83209 USA.</t>
  </si>
  <si>
    <t>delparte@isu.edu</t>
  </si>
  <si>
    <t>Office of Mauna Kea Management (OMKM); EPSCoR [0903833] Funding Source: National Science Foundation; Office Of The Director [0903833] Funding Source: National Science Foundation</t>
  </si>
  <si>
    <t>Office of Mauna Kea Management (OMKM); EPSCoR(National Science Foundation (NSF)NSF - Office of the Director (OD)NSF - Office of Integrative Activities (OIA)); Office Of The Director(National Science Foundation (NSF)NSF - Office of the Director (OD))</t>
  </si>
  <si>
    <t>The authors would like to acknowledge the Office of Mauna Kea Management (OMKM) for supporting this research endeavor and sharing their monthly photographs of Lake Waiau, which are taken from the same vantage point by the OMKM rangers at the beginning of every month. We would also like to extend our appreciation for the cooperation of Hawail Department of Land and Natural Resources, Division of Forestry and Wildlife, Natural Area Reserves System, for providing permits for this work to occur. The Spatial Data Analysis and Visualization Lab at the University of Hawai'i at Hilo provided instrumental support in data collection and processing. Special thanks for Dr. Jim Juvik, Stephanie Nagata, Fritz Klasner, and Lisa Hadway for facilitating this project and providing feedback.</t>
  </si>
  <si>
    <t>10.1657/1938-4246-46.4.709</t>
  </si>
  <si>
    <t>WOS:000346219500002</t>
  </si>
  <si>
    <t>Xu, S; Zhang, BC; Liu, RY; Guo, LX; Wu, YW</t>
  </si>
  <si>
    <t>Xu Sheng; Zhang Bei-Chen; Liu Rui-Yuan; Guo Li-Xin; Wu Ye-Wen</t>
  </si>
  <si>
    <t>Comparative studies on solar activity variations of NmF2 at the Arctic and Antarctic Stations</t>
  </si>
  <si>
    <t>CHINESE JOURNAL OF GEOPHYSICS-CHINESE EDITION</t>
  </si>
  <si>
    <t>Polar ionosphere; F-2 layer peak electron density; Solar 10.7 cm radioflux; Geographic/Geomagnetic conjugate</t>
  </si>
  <si>
    <t>PEAK ELECTRON-DENSITY; CLIMATOLOGICAL FEATURES; POLAR IONOSPHERE; CYCLE VARIATIONS; RADIO NOISE; FOF2; IONIZATION; EUV; HYSTERESIS</t>
  </si>
  <si>
    <t>Solar activity dependences of the ionospheric F-2 peak electron density (NmF2) are investigated and compared based on long-term observations at the Arctic and Antarctic stations of Tromso, Longyearbyen, and Zhongshan. It is found that NmF2 increases linearly with solar activity indices at most of the time at all three stations, illustrating that the solar radiation is the primary factor in the formation of the ionosphere. Also, there exits an apparent saturation effect at Zhongshan in the Southern Hemisphere summer, but exits an amplification effect at Tromso and Longyearbyen in the Northern Hemisphere winter. The linear relationship between NmF2 and solar activity indices F10.7P is the strongest at Tromso, and it is the weakest at Longyearbyen. For the diurnal variations, NmF2 is the most sensitive to solar activity variations around local noon at Tromso, around magnetic noon at Longyearbyen, and between the two at Zhongshan. It is mainly subjected to the different proportion of photoionization and plasma convection between the three stations, which is controlled by their geographic latitude and geomagnetic latitude. For its annual variations, NmF2 is the is the most sensitive to solar activity variations in winter at Tromso, and it is more sensitive in equinoxes than in summer. At Zhongshan and Longyearbyen, NmF2 is the most sensitive to solar activity in equinoxes. The sensitivity is the lowest in summer at Zhongshan, but the lowest in winter at Longyearbyen. The annual variations of sensitivity of NmF2 to the solar activity are mainly due to the differences, in photoionization and chemical compositions at the three stations. At magnetic midnight in winter of both Tromso and Zhongshan, NmF2 has the lowest sensitivity to solar activity and the linear relationship between NmF2 and F10.7P is the worst. And so is it during 12-16UT at Zhongshan in winter. Different from the other two stations, NmF2 still has a strong sensitivity to solar activity before magnetic midnight in winter at Longyearbyen, which is attributed to the transpolar transport of EUV ionization from day to night.</t>
  </si>
  <si>
    <t>[Xu Sheng; Guo Li-Xin] Xidian Univ, Sch Phys &amp; Optoelect Engn, Xian 710071, Peoples R China; [Xu Sheng; Zhang Bei-Chen; Liu Rui-Yuan] Polar Res Inst China, SOA Key Lab Polar Sci, Shanghai 200136, Peoples R China; [Wu Ye-Wen] Nanjing Univ Informat Sci &amp; Technol, Inst Space Weather, Nanjing 210044, Jiangsu, Peoples R China</t>
  </si>
  <si>
    <t>Xidian University; Polar Research Institute of China; Nanjing University of Information Science &amp; Technology</t>
  </si>
  <si>
    <t>Xu, S (corresponding author), Xidian Univ, Sch Phys &amp; Optoelect Engn, Xian 710071, Peoples R China.</t>
  </si>
  <si>
    <t>xusheng@pric.org.cn</t>
  </si>
  <si>
    <t>Liu, Ruiyuan/GWC-4730-2022; Linong, Ji/AAB-6543-2020</t>
  </si>
  <si>
    <t>Liu, Ruiyuan/0000-0002-1678-3500; Zhang, Beichen/0000-0002-0927-9568</t>
  </si>
  <si>
    <t>0001-5733</t>
  </si>
  <si>
    <t>CHINESE J GEOPHYS-CH</t>
  </si>
  <si>
    <t>Chinese J. Geophys.-Chinese Ed.</t>
  </si>
  <si>
    <t>10.6038/cjg20141102</t>
  </si>
  <si>
    <t>AU4AJ</t>
  </si>
  <si>
    <t>WOS:000345551200002</t>
  </si>
  <si>
    <t>Dalziel, IWD</t>
  </si>
  <si>
    <t>Dalziel, Ian W. D.</t>
  </si>
  <si>
    <t>Cambrian transgression and radiation linked to an Iapetus-Pacific oceanic connection?</t>
  </si>
  <si>
    <t>GEOLOGY</t>
  </si>
  <si>
    <t>POLAR WANDER; SEA-LEVEL; EXPLOSION; GONDWANA; TECTONICS; EVOLUTION; ANIMALS; PALEOGEOGRAPHY; ANTARCTICA; LAURENTIA</t>
  </si>
  <si>
    <t>The geologically abrupt appearance in the fossil record of almost all animal phyla is referred to as the Cambrian radiation or explosion of life on Earth. Also known as Darwin's dilemma,because it seemingly posed a major problem for his theory of gradual evolution, it coincided with the initiation of the first of the two principal global marine transgressions of the Phanerozoic. Although now seen as more protracted, it is still one of the most striking and critical events in the history of the biosphere. Almost all paleogeographic reconstructions for the early Cambrian feature a previously isolated Laurentia, the core of ancestral North America. Yet geological evidence from five continents, integrated here for the first time, indicates that the present-day southern cone of Laurentia was still attached to the newly amalgamated supercontinent of Gondwanaland into Cambrian times. Laurentia was then isolated by the development of a major deep oceanic connection between the opening Iapetus Ocean basin and the already well-developed paleo-Pacific. As the marine transgression advanced, major changes in ocean chemistry occurred, upwelling generated phosphorite deposits, and the number of fossilized metazoan phyla exploded with morphologic disparity between Laurentia and Gondwanaland already established. The development of this deep oceanic gateway, and of an ocean floor-consuming and arc-generating subduction zone along virtually the entire margin of Gondwanaland shortly thereafter, need to be taken into account in consideration of the global environmental and biotic changes associated with the Neoproterozoic-Phanerozoic transition.</t>
  </si>
  <si>
    <t>Univ Texas Austin, Jackson Sch Geosci, Inst Geophys, Austin, TX 78758 USA</t>
  </si>
  <si>
    <t>University of Texas System; University of Texas Austin</t>
  </si>
  <si>
    <t>Dalziel, IWD (corresponding author), Univ Texas Austin, Jackson Sch Geosci, Inst Geophys, 10100 Burnet Rd, Austin, TX 78758 USA.</t>
  </si>
  <si>
    <t>ian@ig.utexas.edu</t>
  </si>
  <si>
    <t>Dalziel, Ian W. D./G-5926-2010</t>
  </si>
  <si>
    <t>United States Antarctic Program of the National Science Foundation</t>
  </si>
  <si>
    <t>My work in the Antarctic was funded by the United States Antarctic Program of the National Science Foundation. I thank Lisa Gahagan for help with the reconstructions. This is Institute for Geophysics, The University of Texas at Austin, contribution #2721.</t>
  </si>
  <si>
    <t>0091-7613</t>
  </si>
  <si>
    <t>1943-2682</t>
  </si>
  <si>
    <t>10.1130/G35886.1</t>
  </si>
  <si>
    <t>AU2IC</t>
  </si>
  <si>
    <t>WOS:000345440300013</t>
  </si>
  <si>
    <t>Churakova, OV; Bryukhanova, MV; Saurer, M; Boettger, T; Naurzbaev, MM; Myglan, VS; Vaganov, EA; Hughes, MK; Siegwolf, RTW</t>
  </si>
  <si>
    <t>Churakova (Sidorova), Olga V.; Bryukhanova, Marina V.; Saurer, Matthias; Boettger, Tatjana; Naurzbaev, Mukhtar M.; Myglan, Vladimir S.; Vaganov, Eugene A.; Hughes, Malcolm K.; Siegwolf, Rolf T. W.</t>
  </si>
  <si>
    <t>A cluster of stratospheric volcanic eruptions in the AD 530s recorded in Siberian tree rings</t>
  </si>
  <si>
    <t>AD 536 volcanic eruption; Larch; Tree-ring width; Cell wall thickness; delta C-13 and delta O-18 in tree cellulose; Climate</t>
  </si>
  <si>
    <t>PLAGUE PANDEMICS; SPATIAL RESPONSE; STABLE-ISOTOPES; FROST RINGS; DRY FOGS; ICE CORE; DELTA-C-13; CELLULOSE; TEMPERATURE; LATEWOOD</t>
  </si>
  <si>
    <t>Recently published, improved chronologies for volcanic sulfate in Greenland and Antarctic ice permit a comparison of the growth responses of absolutely annually dated tree rings at three locations in Siberia with annual ice-core records of volcanic eruptions centered on AD 536. For the first time for this region and period, we present unique data sets for tree-ring width, cell-wall thickness, delta C-13 and delta O-18 in cellulose. These were based on multiple samples from relict wood of larch obtained from two sites close to the northern limit of tree growth on the Taimyr Peninsula and in northeastern Yakutia, and at a high-elevation, location 20 degrees further South in the Altai Mts. An event in AD 536 was associated with different, but marked, changes in tree-ring parameters at the high-latitude sites compared with the high elevation site. An AD 541 event was associated with its own distinctive tree-ring responses across the three sites and multiple variables. The years after AD 532 were marked by a strong and sustained decrease in growth at the high-elevation, more southerly, site. The combination of improved ice-core chronology for the climatically effective volcanic eruptions of this part of the 6th century AD, and an array of tree-ring sites with different climates and multiple tree-ring variables permits a richer description of tree responses to this cluster of events. The pattern of tree-ring parameter responses at the three locations in AD 536, AD 541, and perhaps AD 532 is consistent with responses to climatically effective volcanic eruptions influencing tree response in those and subsequent years. (C) 2014 Elsevier B.V. All rights reserved.</t>
  </si>
  <si>
    <t>[Churakova (Sidorova), Olga V.] ETH, Inst Terr Ecosyst, CH-8092 Zurich, Switzerland; [Churakova (Sidorova), Olga V.; Bryukhanova, Marina V.; Naurzbaev, Mukhtar M.; Vaganov, Eugene A.] VN Sukachev Inst Forest SB RAS, Akademgorodok 660036, Russia; [Churakova (Sidorova), Olga V.; Saurer, Matthias; Siegwolf, Rolf T. W.] Paul Scherrer Inst, CH-5232 Villigen, Switzerland; [Boettger, Tatjana] UFZ Helmholtz Ctr Environm Res, Dept Catchment Hydrol, D-06120 Halle, Germany; [Myglan, Vladimir S.; Vaganov, Eugene A.] Siberian Fed Univ, Krasnoyarsk 660049, Russia; [Hughes, Malcolm K.] Univ Arizona, Tucson, AZ 85721 USA</t>
  </si>
  <si>
    <t>Swiss Federal Institutes of Technology Domain; ETH Zurich; Russian Academy of Sciences; Krasnoyarsk Science Center of the Siberian Branch of the Russian Academy of Sciences; Sukachev Institute of Forest, Siberian Branch, Russian Academy of Sciences; Swiss Federal Institutes of Technology Domain; Paul Scherrer Institute; Helmholtz Association; Helmholtz Center for Environmental Research (UFZ); Siberian Federal University; University of Arizona</t>
  </si>
  <si>
    <t>Churakova, OV (corresponding author), ETH, Inst Terr Ecosyst, CH-8092 Zurich, Switzerland.</t>
  </si>
  <si>
    <t>olga.churakova@usys.ethz.ch</t>
  </si>
  <si>
    <t>Churakova, Olga V./J-9460-2016; Myglan, Vladimir/S-7088-2018; Churakova, Olga V/S-9167-2018; Vaganov, Eugene A./U-2379-2019; Siegwolf, Rolf Theodor Walter/GLT-9297-2022; Fonti, Marina/L-3978-2013; Saurer, Matthias/C-6724-2018</t>
  </si>
  <si>
    <t>Myglan, Vladimir/0000-0002-5268-653X; Churakova, Olga V/0000-0002-1687-1201; Siegwolf, Rolf Theodor Walter/0000-0002-0249-0651; Fonti, Marina/0000-0002-2415-8019; Vaganov, Eugene/0000-0001-9168-1152; Saurer, Matthias/0000-0002-3954-3534; Churakova (Sidorova), Olga/0000-0001-5830-1744</t>
  </si>
  <si>
    <t>Marie Curie International Incoming Fellowship [EU_ISOTREC 235122]; Re-Integration Marie Curie Fellowship [909122]; UFZ; Scientific School [3297.2014.4]; RFBR [09-05-98015_r_sibir_a, 09-04-00803-a, 08-06-00253-a]; US National Science Foundation [ATM-0308525]</t>
  </si>
  <si>
    <t>Marie Curie International Incoming Fellowship(European Union (EU)); Re-Integration Marie Curie Fellowship(European Union (EU)); UFZ; Scientific School; RFBR(Russian Foundation for Basic Research (RFBR)); US National Science Foundation(National Science Foundation (NSF))</t>
  </si>
  <si>
    <t>This work was supported by Marie Curie International Incoming Fellowship (EU_ISOTREC 235122), Re-Integration Marie Curie Fellowship (909122) and UFZ scholarship (2006) granted to Olga V. Sidorova; Scientific School - 3297.2014.4 granted to Eugene A. Vaganov; and research grants RFBR no. 09-05-98015_r_sibir_a, no. 09-04-00803-a, no. 08-06-00253-a, supported this work as did US National Science Foundation grant ATM-0308525 granted to Malcolm K. Hughes.</t>
  </si>
  <si>
    <t>10.1016/j.gloplacha.2014.08.015</t>
  </si>
  <si>
    <t>AU3BT</t>
  </si>
  <si>
    <t>WOS:000345488600012</t>
  </si>
  <si>
    <t>Liu, JF; Xiao, CD; Ding, MH; Ren, JW</t>
  </si>
  <si>
    <t>Liu, Jingfeng; Xiao, Cunde; Ding, Minghu; Ren, Jiawen</t>
  </si>
  <si>
    <t>Variations in stable hydrogen and oxygen isotopes in atmospheric water vapor in the marine boundary layer across a wide latitude range</t>
  </si>
  <si>
    <t>JOURNAL OF ENVIRONMENTAL SCIENCES</t>
  </si>
  <si>
    <t>Atmospheric vapor isotope; Isotope fractionation; Water cycle; CHINREN</t>
  </si>
  <si>
    <t>RING-DOWN SPECTROSCOPY; DEUTERIUM EXCESS; CARBON-DIOXIDE; IN-SITU; EVAPORATION; PRECIPITATION; FRACTIONATION; RATIOS; O-18</t>
  </si>
  <si>
    <t>The newly-developed cavity ring-down laser absorption spectroscopy analyzer with special calibration protocols has enabled the direct measurement of atmospheric vapor isotopes at high spatial and temporal resolution. This paper presents real-time hydrogen and oxygen stable isotope data for atmospheric water vapor above the sea surface, over a wide range of latitudes spanning from 38 degrees N to 69 degrees S. Our results showed relatively higher values of delta O-18 and delta H-2 in the subtropical regions than those in the tropical and high latitude regions, and also a notable decreasing trend in the Antarctic coastal region. By combining the hydrogen and oxygen isotope data with meteoric water line and backward trajectory model analysis, we explored the kinetic fractionation caused by subsiding air masses and related saturated vapor pressure in the subtropics, and the evaporation-driven kinetic fractionation in the Antarctic region. Simultaneous observations of meteorological and marine variables were used to interpret the isotopic composition characteristics and influential factors, indicating that d-excess is negatively correlated with humidity across a wide range of latitudes and weather conditions worldwide. Coincident with previous studies, d-excess is also positively correlated with sea surface temperature and air temperature (T-air), with greater sensitivity to T-air. Thus, atmospheric vapor isotopes measured with high accuracy and good spatial temporal resolution could act as informative tracers for exploring the water cycle at different regional scales. Such monitoring efforts should be undertaken over a longer time period and in different regions of the world. (C) 2014 The Research Center for Eco-Environmental Sciences, Chinese Academy of Sciences. Published by Elsevier B.V.</t>
  </si>
  <si>
    <t>[Liu, Jingfeng; Xiao, Cunde; Ding, Minghu; Ren, Jiawen] Chinese Acad Sci, Cold &amp; Arid Reg Environm &amp; Engn Res Inst, State Key Lab Cryospher Sci, Lanzhou 730000, Peoples R China; [Xiao, Cunde; Ding, Minghu] Chinese Acad Meteorol Sci, Beijing 100081, Peoples R China; [Liu, Jingfeng] Univ Chinese Acad Sci, Beijing 100049, Peoples R China</t>
  </si>
  <si>
    <t>Chinese Academy of Sciences; Cold &amp; Arid Regions Environmental &amp; Engineering Research Institute, CAS; China Meteorological Administration; Chinese Academy of Meteorological Sciences (CAMS); Chinese Academy of Sciences; University of Chinese Academy of Sciences, CAS</t>
  </si>
  <si>
    <t>Liu, JF (corresponding author), Chinese Acad Sci, Cold &amp; Arid Reg Environm &amp; Engn Res Inst, State Key Lab Cryospher Sci, Lanzhou 730000, Peoples R China.</t>
  </si>
  <si>
    <t>liujingfeng7732@126.com</t>
  </si>
  <si>
    <t>Jiawen, Ren/K-7734-2012; Ding, Minghu/AFU-3600-2022</t>
  </si>
  <si>
    <t>Ding, Minghu/0000-0002-1142-6598</t>
  </si>
  <si>
    <t>National Giant Scientific Research Project [2013CBA01804]; State Oceanic Administration Project of the People's Republic of China on Climate in Polar Regions [201203015]</t>
  </si>
  <si>
    <t>National Giant Scientific Research Project; State Oceanic Administration Project of the People's Republic of China on Climate in Polar Regions</t>
  </si>
  <si>
    <t>This work was funded by the National Giant Scientific Research Project (No. 2013CBA01804), and the State Oceanic Administration Project of the People's Republic of China on Climate in Polar Regions (No. 201203015). We also appreciate logistical support provided by CHINARE-28.</t>
  </si>
  <si>
    <t>1001-0742</t>
  </si>
  <si>
    <t>1878-7320</t>
  </si>
  <si>
    <t>J ENVIRON SCI</t>
  </si>
  <si>
    <t>J. Environ. Sci.</t>
  </si>
  <si>
    <t>NOV 1</t>
  </si>
  <si>
    <t>10.1016/j.jes.2014.09.007</t>
  </si>
  <si>
    <t>AU4AL</t>
  </si>
  <si>
    <t>WOS:000345551400012</t>
  </si>
  <si>
    <t>Xu, K; Fu, FX; Hutchins, DA</t>
  </si>
  <si>
    <t>Xu, Kai; Fu, Fei-Xue; Hutchins, David A.</t>
  </si>
  <si>
    <t>Comparative responses of two dominant Antarctic phytoplankton taxa to interactions between ocean acidification, warming, irradiance, and iron availability</t>
  </si>
  <si>
    <t>PHAEOCYSTIS-ANTARCTICA; ROSS SEA; TEMPERATURE; LIMITATION; CO2; PRYMNESIOPHYCEAE; PHOTOPHYSIOLOGY; PHOTOSYNTHESIS; GROWTH; EXPORT</t>
  </si>
  <si>
    <t>We investigated the responses of the ecologically dominant Antarctic phytoplankton species Phaeocystis antarctica (a prymnesiophyte) and Fragilariopsis cylindrus (a diatom) to a clustered matrix of three global change variables (CO2, mixed-layer depth, and temperature) under both iron (Fe)-replete and Fe-limited conditions based roughly on the Intergovernmental Panel on Climate Change (IPCC) A2 scenario: (1) Current conditions, 39 Pa (380 ppmv) CO2, 50 mu mol photons m(-2) s(-1) light, and 2 degrees C; (2) Year 2060, 61 Pa (600 ppmv) CO2, 100 mu mol photons m(-2) s(-1) light, and 4 degrees C; (3) Year 2100, 81 Pa (800 ppmv) CO2, 150 mu mol photons m(-2) s(-1) light, and 6 degrees C. The combined interactive effects of these global change variables and changing Fe availability on growth, primary production, and cell morphology are species specific. A competition experiment suggested that future conditions could lead to a shift away from P. antarctica and toward diatoms such as F. cylindrus. Along with decreases in diatom cell size and shifts from prymnesiophyte colonies to single cells under the future scenario, this could potentially lead to decreased carbon export to the deep ocean. Fe : C uptake ratios of both species increased under future conditions, suggesting phytoplankton of the Southern Ocean will increase their Fe requirements relative to carbon fixation. The interactive effects of Fe, light, CO2, and temperature on Antarctic phytoplankton need to be considered when predicting the future responses of biology and biogeochemistry in this region.</t>
  </si>
  <si>
    <t>[Xu, Kai; Fu, Fei-Xue; Hutchins, David A.] Univ So Calif, Dept Biol Sci, Los Angeles, CA 90089 USA</t>
  </si>
  <si>
    <t>University of Southern California</t>
  </si>
  <si>
    <t>Hutchins, DA (corresponding author), Univ So Calif, Dept Biol Sci, Los Angeles, CA 90089 USA.</t>
  </si>
  <si>
    <t>dahutch@usc.edu</t>
  </si>
  <si>
    <t>Xu, Kai/GWX-6427-2022; Fu, Feixue/IAP-5787-2023; Hutchins, David A/D-3301-2013</t>
  </si>
  <si>
    <t>Xu, Kai/0000-0002-1341-1525; Hutchins, David A/0000-0002-6637-756X</t>
  </si>
  <si>
    <t>National Science Foundation Antarctic Organisms and Ecosystems [ANT1043748]; Directorate For Geosciences; Office of Polar Programs (OPP) [1043748] Funding Source: National Science Foundation</t>
  </si>
  <si>
    <t>National Science Foundation Antarctic Organisms and Ecosystems; Directorate For Geosciences; Office of Polar Programs (OPP)(National Science Foundation (NSF)NSF - Directorate for Geosciences (GEO))</t>
  </si>
  <si>
    <t>We thank two anonymous reviewers for their constructive suggestions and comments. This work was supported by National Science Foundation Antarctic Organisms and Ecosystems grant ANT1043748 to DAH.</t>
  </si>
  <si>
    <t>10.4319/lo.2014.59.6.1919</t>
  </si>
  <si>
    <t>AU2QK</t>
  </si>
  <si>
    <t>WOS:000345462700009</t>
  </si>
  <si>
    <t>Grilli, R; Marrocco, N; Desbois, T; Guillerm, C; Triest, J; Kerstel, E; Romanini, D</t>
  </si>
  <si>
    <t>Grilli, R.; Marrocco, N.; Desbois, T.; Guillerm, C.; Triest, J.; Kerstel, E.; Romanini, D.</t>
  </si>
  <si>
    <t>Invited Article: SUBGLACIOR: An optical analyzer embedded in an Antarctic ice probe for exploring the past climate</t>
  </si>
  <si>
    <t>REVIEW OF SCIENTIFIC INSTRUMENTS</t>
  </si>
  <si>
    <t>20th Topical Conference on High-Temperature Plasma Diagnostics</t>
  </si>
  <si>
    <t>JUN 01-05, 2014</t>
  </si>
  <si>
    <t>Atlanta, GA</t>
  </si>
  <si>
    <t>CAVITY RING-DOWN; IN-SITU; ABSORPTION-SPECTROSCOPY; NONMETHANE HYDROCARBONS; METHANE; SPECTROMETER; SYSTEM</t>
  </si>
  <si>
    <t>This article describes the advances made in the development of a specific optical spectrometer based on the Optical Feedback-Cavity Enhanced Absorption Spectroscopy technique for exploring past climate by probing the original composition of the atmosphere stored in the ice sheet of a glacier. Based on significant technological progresses and unconventional approaches, SUBGLACIOR will be a revolutionary tool for ice-core research: the optical spectrometer, directly embedded in the drilling probe, will provide in situ real-time measurements of deuterium isotopic variations (delta H-2) and CH4 concentrations down to 3500 m of ice depth within a single Antarctic season. The instrument will provide simultaneous and real-time vertical profiles of these two key climate signatures in order to evaluate if a target site can offer ice cores as old as 1.5 million years by providing direct insight into past temperatures and climate cycles. The spectrometer has a noise equivalent absorption coefficient of 2.8 x 10 (10) cm (1) Hz (1/2), corresponding to a detection limit of 0.2 ppbv for CH4 and a precision of 0.2 parts per thousand on the delta H-2 of H2O within 1 min acquisition time. (C) 2014 AIP Publishing LLC.</t>
  </si>
  <si>
    <t>[Grilli, R.; Marrocco, N.; Desbois, T.; Kerstel, E.; Romanini, D.] CNRS, LIPhy, F-38000 Grenoble, France; [Guillerm, C.] DT INSU CNRS, F-29280 Plouzane, France; [Triest, J.] CNRS, LGGE, F-38000 Grenoble, France; [Kerstel, E.; Romanini, D.] Univ Grenoble Alpes, LIPhy, F-38000 Grenoble, France</t>
  </si>
  <si>
    <t>Centre National de la Recherche Scientifique (CNRS); Centre National de la Recherche Scientifique (CNRS); Communaute Universite Grenoble Alpes; Universite Grenoble Alpes (UGA); Centre National de la Recherche Scientifique (CNRS); Communaute Universite Grenoble Alpes; Universite Grenoble Alpes (UGA)</t>
  </si>
  <si>
    <t>Grilli, R (corresponding author), CNRS, LIPhy, F-38000 Grenoble, France.</t>
  </si>
  <si>
    <t>Kerstel, Erik/AAG-3042-2020</t>
  </si>
  <si>
    <t>Kerstel, Erik/0000-0001-5325-7860; Grilli, Roberto/0000-0001-5636-264X</t>
  </si>
  <si>
    <t>European Research Council under the European Community's Seventh Framework Program FP7 [291062]; French Agence Nationale de la Recherche (ANR) [SIMI5-6 ANR-11-BS56-0019]; BNP Paribas Foundation project SUBGLACIOR; French polar institute IPEV (SUBGLACIOR project) [1119]</t>
  </si>
  <si>
    <t>European Research Council under the European Community's Seventh Framework Program FP7(European Research Council (ERC)); French Agence Nationale de la Recherche (ANR)(Agence Nationale de la Recherche (ANR)); BNP Paribas Foundation project SUBGLACIOR; French polar institute IPEV (SUBGLACIOR project)</t>
  </si>
  <si>
    <t>We thank the GLACCIOS group at LSCE in Paris that provided the calibrated deuterium delta-values of the water samples used for the analysis and our colleague Samir Kassi at LIPhy for the useful and interesting discussions and for his help in the software development. This work has received funding from the European Research Council under the European Community's Seventh Framework Program FP7/2007-2013 Grant Agreement No. 291062 (project ICE&amp;LASERS). It benefits from additional funding from the French Agence Nationale de la Recherche (ANR) through the grant SIMI5-6 ANR-11-BS56-0019 (project SUBGLACIOR), and from the BNP Paribas Foundation project SUBGLACIOR. Finally, it is part of specific equipment built in the frame of the Equipement d'Excellence EquipEX CLIMCOR (ANR-11-EQPX-0009-CLIMCOR). We should also underline that the fieldwork in Antarctica will be supported by the French polar institute IPEV (SUBGLACIOR project no 1119) and by the Italian Antarctic programme.</t>
  </si>
  <si>
    <t>0034-6748</t>
  </si>
  <si>
    <t>1089-7623</t>
  </si>
  <si>
    <t>REV SCI INSTRUM</t>
  </si>
  <si>
    <t>Rev. Sci. Instrum.</t>
  </si>
  <si>
    <t>10.1063/1.4901018</t>
  </si>
  <si>
    <t>Instruments &amp; Instrumentation; Physics, Applied</t>
  </si>
  <si>
    <t>Instruments &amp; Instrumentation; Physics</t>
  </si>
  <si>
    <t>AU5KO</t>
  </si>
  <si>
    <t>WOS:000345646000238</t>
  </si>
  <si>
    <t>Paquay, FS; Ravizza, G; Coccioni, R</t>
  </si>
  <si>
    <t>Paquay, Francois S.; Ravizza, Greg; Coccioni, Rodolfo</t>
  </si>
  <si>
    <t>The influence of extraterrestrial material on the late Eocene marine Os isotope record</t>
  </si>
  <si>
    <t>ACCRETION RATE; OS-187/OS-188 RECORD; POPIGAI CRATER; SHOCKED QUARTZ; OSMIUM; MASSIGNANO; IMPACT; BOUNDARY; IRIDIUM; FLUX</t>
  </si>
  <si>
    <t>A reconstruction of seawater Os-187/Os-188 ratios during the late Eocene (similar to 36-34 Ma), based upon bulk sediment analyses from the sub-Antarctic Southern Atlantic Ocean (Ocean Drilling Program (ODP) Site 1090), Eastern Equatorial Pacific Ocean (ODP Sites 1218 and 1219) and the uplifted (land-based) Tethyan section (Massignano, Italy), confirms that the previously reported abrupt shift to lower Os-187/Os-188 is a unique global feature of the marine Os isotope record that occurs in magnetochron C16n.1n. This feature is interpreted to represent the change in seawater Os-187/Os-188 caused by the Popigai impact event. Higher in the Massignano section, two other iridium anomalies previously proposed to represent additional impact events do not show a comparable excursion to low Os-187/Os-188, suggesting that these horizons do not record multiple large impacts. Comparison of records from three different ocean basins indicates that seawater Os-187/Os-188 begins to decline in advance of the Popigai impact event. At Massignano this decline coincides with a previously reported episode of elevated He-3 flux, suggesting that increased influx of interplanetary dust particles (IDPs) contributed to the pre-impact shift in Os-187/Os-188 and not to the longer-term latest Eocene Os-187/Os-188 decline that occurred similar to 1 million year after the Popigai impact event. Published by Elsevier Ltd.</t>
  </si>
  <si>
    <t>[Paquay, Francois S.; Ravizza, Greg] Univ Hawaii Manoa, Dept Geol &amp; Geophys, Honolulu, HI 96822 USA; [Coccioni, Rodolfo] Vita &amp; Ambiente Univ, Dipartimento Sci Terra, I-61209 Urbino, Italy</t>
  </si>
  <si>
    <t>Paquay, FS (corresponding author), Univ Hawaii Manoa, Dept Geol &amp; Geophys, 1680 East West Rd,POST 712, Honolulu, HI 96822 USA.</t>
  </si>
  <si>
    <t>paquay@hawaii.edu</t>
  </si>
  <si>
    <t>COCCIONI, Rodolfo/0000-0003-2333-4030</t>
  </si>
  <si>
    <t>NSF [EAR0843930, OCE1061061]; Division Of Ocean Sciences; Directorate For Geosciences [1061061] Funding Source: National Science Foundation</t>
  </si>
  <si>
    <t>NSF(National Science Foundation (NSF)); Division Of Ocean Sciences; Directorate For Geosciences(National Science Foundation (NSF)NSF - Directorate for Geosciences (GEO))</t>
  </si>
  <si>
    <t>FSP thanks Steven Bohaty for suggesting studying ODP Site 1218, Bernhard Diekmann, Jennifer Latimer, Annette Olivarez Lyle and Thomas Westerhold for sharing data from ODP Sites 1090, 1218 and 1219. This research used samples and data provided by the Integrated Ocean Drilling Program (IODP); in particular we thank Walter Hale (Bremen repository) for his patience and excellent work with the numerous sample requests. Discussion with Steven Goderis and James Hetfield were useful. We thank Philippe Claeys, Frank Kyte, Sandro Montanari, one anonymous reviewer and associate editor Christian Koeberl for thoughtful comments on various versions of this manuscript, which helped us to improve the final product. Denys Vonderhaar provided essential laboratory support for this work. NSF awards, EAR0843930 and OCE1061061, to GR supported this research.</t>
  </si>
  <si>
    <t>10.1016/j.gca.2014.08.024</t>
  </si>
  <si>
    <t>AT4XM</t>
  </si>
  <si>
    <t>WOS:000344945600015</t>
  </si>
  <si>
    <t>Makarova, LN; Shirochkov, AV; Nikolaeva, VD</t>
  </si>
  <si>
    <t>Makarova, L. N.; Shirochkov, A. V.; Nikolaeva, V. D.</t>
  </si>
  <si>
    <t>Dynamics of the auroral Es layer during weak and strong disturbances in the magnetosphere</t>
  </si>
  <si>
    <t>The paper is dedicated to studying the dynamics of the auroral ionosphere at the level of the sporadic Es layer during magnetospheric disturbances. A new approach to this problem, proposed in the paper, uses the geomagnetic PC index, which is calculated using the magnetic data in the polar caps of the northern and southern hemispheres and manifests the geoefficiency of the interplanetary electric field. It is shown that variations in the sporadic electron concentration in the auroral Es layer could be related to changes in the PC index with a high degree of statistical reliability. However, the character of precipitations of sporadic particles into the ionosphere under high (PC &gt; 2 mV/m) and low (PC &lt; 2 mV/m) magnetic activity differs substantially. During strong magnetic disturbances and under intensified electric fields in the interplanetary environment, the intensity of particle precipitation from the magnetosphere into the E region of the high-latitude ionosphere is governed by the values of the PC magnetic index. During weak magnetic disturbances, short-time pulses of an increase in the PC values, caused by the variability in electric field in the magnetosphere, are the main factor in the occurrence of sporadic ionization in the Es layer.</t>
  </si>
  <si>
    <t>[Makarova, L. N.; Shirochkov, A. V.; Nikolaeva, V. D.] Arctic &amp; Antarctic Res Inst, St Petersburg 199397, Russia</t>
  </si>
  <si>
    <t>Makarova, LN (corresponding author), Arctic &amp; Antarctic Res Inst, Beringa St 38, St Petersburg 199397, Russia.</t>
  </si>
  <si>
    <t>lumak@aari.nw.ru</t>
  </si>
  <si>
    <t>Nikolaeva, Vera/AGK-6779-2022</t>
  </si>
  <si>
    <t>Nikolaeva, Vera/0000-0003-4987-6452</t>
  </si>
  <si>
    <t>10.1134/S0016793214050090</t>
  </si>
  <si>
    <t>AT7DX</t>
  </si>
  <si>
    <t>WOS:000345098100010</t>
  </si>
  <si>
    <t>Uljev, VA; Danilova, OA</t>
  </si>
  <si>
    <t>Uljev, V. A.; Danilova, O. A.</t>
  </si>
  <si>
    <t>Seasonal variations in the parameters of the effects of noon absorption recovery during PCA</t>
  </si>
  <si>
    <t>POLAR-CAP ABSORPTION; IONOSPHERE; MODEL</t>
  </si>
  <si>
    <t>During many PCAs at auroral zone stations in the daytime, a smooth decrease in the absorption, called the noon recovery effect, is observed. The manifestation of this effect in PCA events registered at various seasons of the year (in spring, summer, and fall under a completely illuminated ionosphere and in winter under a completely (or partially) dark ionosphere) is analyzed in this paper. In the summer PCA, the amplitude of the noon recovery (the strongest decrease in the absorption in the hours close to the noon) and the frequency of occurrence of this effect are lower than in equinox conditions. A decrease in temperature and the enhanced content of water vapor in the upper mesosphere in summer as compared to the equinox seasons are the main factors governing the small amplitude of the noon recovery in summer PCA. Using experimental and calculated data, the presence of the noon recovery effect in winter PCA is found for the first time. In winter PCA, the absorption variation during noon recovery has a complicated shape: a smooth decrease in the daytime hours and a short-term (pulse-type) increase in the absorption in the local noon. This increase is caused by the fact that the ionosphere over auroral stations in the winter season is illuminated for a short time interval (around the local noon), which causes a sharp increase in the absorption. The amplitude of the noon recovery in winter PCA is higher than in equinox and summer PCA.</t>
  </si>
  <si>
    <t>[Uljev, V. A.] Arctic &amp; Antarctic Res Inst, St Petersburg 199397, Russia; [Danilova, O. A.] Russian Acad Sci, Inst Terr Magnetism Ionosphere &amp; Radiowave Propag, St Petersburg Branch, St Petersburg 191023, Russia</t>
  </si>
  <si>
    <t>Arctic &amp; Antarctic Research Institute; Russian Academy of Sciences; Pushkov Institute of Terrestrial Magnetism, Ionosphere &amp; Radio Wave Propagation</t>
  </si>
  <si>
    <t>Uljev, VA (corresponding author), Arctic &amp; Antarctic Res Inst, Beringa St 38, St Petersburg 199397, Russia.</t>
  </si>
  <si>
    <t>vauliev@yandex.ru; md1555@mail.ru</t>
  </si>
  <si>
    <t>Danilova, Olga/HNR-9373-2023</t>
  </si>
  <si>
    <t>10.1134/S0016793214060206</t>
  </si>
  <si>
    <t>WOS:000345098100014</t>
  </si>
  <si>
    <t>Kong, Q; Karanovic, I; Yu, N</t>
  </si>
  <si>
    <t>Kong, Qiang; Karanovic, Ivana; Yu, Na</t>
  </si>
  <si>
    <t>PHYLOGENY OF THE GENUS CHRISSIA (OSTRACODA: CYPRIDIDAE) WITH DESCRIPTION OF A NEW SPECIES FROM CHINA</t>
  </si>
  <si>
    <t>18S rDNA; cladistics; Herpetocypridinae; molecular phylogeny; taxonomy</t>
  </si>
  <si>
    <t>RIBOSOMAL DNA; MOLECULAR EVOLUTION; CRUSTACEA; FRESH; HERPETOCYPRIDINAE; ALIGNMENT; POSITION; ORIGIN</t>
  </si>
  <si>
    <t>A new species of the genus Chrissia Hartmann, 1957 is described from Dongqian Lake, East China. Chrissia dongqianhuensis n. sp. is characterized by short swimming setae on the second antenna. This character state is very rare in the genus, and besides the new species the feature is found only in Chrissia ceylonica (Daday, 1898). The two species can be distinguished from each other based on the shell shape: C. ceylonica has distinctly protruding posterior end with sinusoid postero-dorsal margin, while in C. dongqianhuensis the postero-dorsal margin is evenly rounded and the posterior end is not protruding. In addition, C. dongqianhuensis has only 5 swimming setae. Chrissia presently contains 35 living species. In order to assess the position of the new species within the genus and the position of Chrissia within Cyprididae, we analyzed morphological data and nucleotide sequences for 18S rDNA. A total of 18 morphological characters for 32 species were used. Molecular data include sequences from 29 species (18 from the GenBank, 11 newly obtained) belonging to several lineages of Cyprididae and Ilyocyprididae. Analysis of the morphological characters resulted in 16 equally parsimonious trees with several well-supported lineages, such as the African-Indian lineage of Chrissia with pointed extensions on their shells, and a predominantly Asian lineage with low shells with rounded margins. The molecular phylogeny suggests that Herpetocypridinae is polyphyletic and in need of revision, and also indicates that some sequences from the GenBank are probably misidentified. High bootstrap values support Cypridopsinae, Cypricercinae, and Dolerocypridinae, while Cyprinotinae seems to be polyphyletic.</t>
  </si>
  <si>
    <t>[Kong, Qiang; Yu, Na] E China Normal Univ, Sch Life Sci, Shanghai 200062, Peoples R China; [Karanovic, Ivana] Hanyang Univ, Coll Nat Sci, Dept Life Sci, Seoul 133791, South Korea; [Karanovic, Ivana] Univ Tasmania, Inst Marine &amp; Antarctic Studies, Hobart, Tas 7001, Australia</t>
  </si>
  <si>
    <t>East China Normal University; Hanyang University; University of Tasmania</t>
  </si>
  <si>
    <t>Yu, N (corresponding author), E China Normal Univ, Sch Life Sci, Shanghai 200062, Peoples R China.</t>
  </si>
  <si>
    <t>nyu@bio.ecnu.edu.cn</t>
  </si>
  <si>
    <t>National Science Foundation of China [41372365]; Fundamental Research Funds for the Central Universities; Overseas Graduate Students Program (OGSP)</t>
  </si>
  <si>
    <t>National Science Foundation of China(National Natural Science Foundation of China (NSFC)); Fundamental Research Funds for the Central Universities(Fundamental Research Funds for the Central Universities); Overseas Graduate Students Program (OGSP)</t>
  </si>
  <si>
    <t>Special thanks to Robin J. Smith (Lake Biwa Museum, Japan) for providing important literature and useful comments. The molecular work and morphological phylogeny are mostly done at the Hanyang University during a research stay of the first author in the lab of the second author. This research visit was sponsored by the National Science Foundation of China (No. 41372365), the Fundamental Research Funds for the Central Universities, and the Overseas Graduate Students Program (OGSP). We thank Dr. Bill Humphreys (from the Western Australian Museum) for collecting species of Stenocypris n. sp. from Australia, and Dr. Tom Karanovic (Hanyang Univerisity) for collecting specimens of Tanycypris sp. from the Lake Biwa. Two anonymous reviewers improved the text with many constructive remarks.</t>
  </si>
  <si>
    <t>10.1163/1937240X-00002276</t>
  </si>
  <si>
    <t>AT8PX</t>
  </si>
  <si>
    <t>WOS:000345195800011</t>
  </si>
  <si>
    <t>Magi, E; Tanwar, S</t>
  </si>
  <si>
    <t>Magi, Emanuele; Tanwar, Shivani</t>
  </si>
  <si>
    <t>'Extreme Mass Spectrometry': the role of mass spectrometry in the study of the Antarctic Environment</t>
  </si>
  <si>
    <t>Antarctica; mass spectrometry; organic contaminants; environment; biomarkers</t>
  </si>
  <si>
    <t>PERSISTENT ORGANIC POLLUTANTS; POLYCYCLIC AROMATIC-HYDROCARBONS; POLYBROMINATED DIPHENYL ETHERS; KING GEORGE ISLAND; TERRA-NOVA BAY; LIQUID-CHROMATOGRAPHY; ROSS SEA; CHLORINATED HYDROCARBONS; CARBONIC-ANHYDRASE; POLYCHLORINATED-BIPHENYLS</t>
  </si>
  <si>
    <t>A focus on the studies of the Antarctic environment that have been performed by mass spectrometry is presented herein; our aim is to give evidence of the essential role of this instrumental technique in the framework of the scientific research in Antarctica, with a comprehensive review on the main literature of the last two decades. Due to the wideness of the topic, the present review is limited to the determination of organic pollutants, natural molecules and biomarkers in Antarctica, thus excluding elemental analysis and studies on inorganic species. The work has been divided into five sections, on the basis of the considered environmental compartment: air; ice and snow; seawater, pack ice and lakes; soil and sediments; and organisms and biomarkers. Copyright (c) 2014 John Wiley &amp; Sons, Ltd.</t>
  </si>
  <si>
    <t>[Magi, Emanuele; Tanwar, Shivani] Univ Genoa, Dept Chem &amp; Ind Chem, I-16146 Genoa, Italy</t>
  </si>
  <si>
    <t>Magi, E (corresponding author), Univ Genoa, Dept Chem &amp; Ind Chem, Via Dodecaneso 31, I-16146 Genoa, Italy.</t>
  </si>
  <si>
    <t>emanuele.magi@unige.it</t>
  </si>
  <si>
    <t>Magi, Emanuele/C-9564-2011</t>
  </si>
  <si>
    <t>Magi, Emanuele/0000-0002-8183-5020</t>
  </si>
  <si>
    <t>10.1002/jms.3442</t>
  </si>
  <si>
    <t>AT8ZD</t>
  </si>
  <si>
    <t>WOS:000345216500001</t>
  </si>
  <si>
    <t>Mayzaud, P; Pakhomov, EA</t>
  </si>
  <si>
    <t>Mayzaud, Patrick; Pakhomov, Evgeny A.</t>
  </si>
  <si>
    <t>The role of zooplankton communities in carbon recycling in the Ocean: the case of the Southern Ocean</t>
  </si>
  <si>
    <t>JOURNAL OF PLANKTON RESEARCH</t>
  </si>
  <si>
    <t>zooplankton community; carbon recycling; Southern Ocean</t>
  </si>
  <si>
    <t>ATLANTIC SECTOR; AUSTRAL SUMMER; INDIAN SECTOR; PHYTOPLANKTON PRODUCTION; ANTARCTIC ZOOPLANKTON; THYSANOESSA-MACRURA; EUPHAUSIA-SUPERBA; BIOGENIC CARBON; VERTICAL FLUX; PART 1</t>
  </si>
  <si>
    <t>Basin-scale carbon recycling estimates were obtained by combining high-resolution data on zooplankton taxonomic and functional composition with species-specific respiration rates. Datasets were collected in the Atlantic and Indian sectors of the Southern Ocean during four cruises covering spring, mid-summer, autumn and late winter between 1993 and 1998. Carbon recycling by Antarctic meso-and macrozooplankton represented a significant (44-62%) fraction of the primary production, which is at the higher end of previous estimates. Assessment based on detailed community structure appeared to be more realistic than previous estimates and showed that carbon dioxide recycling at the global scale is not a mere function of temperature and abundance of zooplankton. Both species and functional diversity influence current estimates at the community level through trophic type and developmental stage composition. In addition, a regional spatial heterogeneity linked to hydrodynamic features (frontal zones) is also important. The Southern Ocean zooplankton community respiration is assessed to be similar to 0.6 GtC year(-1).</t>
  </si>
  <si>
    <t>[Mayzaud, Patrick] Univ Paris 06, LOV UMR CNRS 7093, Observ Oceanol, F-06230 Villefranche Sur Mer, France; [Pakhomov, Evgeny A.] Univ British Columbia, Dept Earth Ocean &amp; Atmospher Sci, Vancouver, BC V6T 1Z4, Canada</t>
  </si>
  <si>
    <t>Sorbonne Universite; University of British Columbia</t>
  </si>
  <si>
    <t>Pakhomov, EA (corresponding author), Univ British Columbia, Dept Earth Ocean &amp; Atmospher Sci, 2207 Main Mall, Vancouver, BC V6T 1Z4, Canada.</t>
  </si>
  <si>
    <t>epakhomov@eos.ubc.ca</t>
  </si>
  <si>
    <t>French CNRS; South African NRF (Science Liaison Centre)</t>
  </si>
  <si>
    <t>French CNRS(Centre National de la Recherche Scientifique (CNRS)); South African NRF (Science Liaison Centre)</t>
  </si>
  <si>
    <t>The French CNRS and the South African NRF (Science Liaison Centre) provided the funds for bilateral collaboration.</t>
  </si>
  <si>
    <t>0142-7873</t>
  </si>
  <si>
    <t>1464-3774</t>
  </si>
  <si>
    <t>J PLANKTON RES</t>
  </si>
  <si>
    <t>J. Plankton Res.</t>
  </si>
  <si>
    <t>10.1093/plankt/fbu076</t>
  </si>
  <si>
    <t>AT6LW</t>
  </si>
  <si>
    <t>WOS:000345051100014</t>
  </si>
  <si>
    <t>Chiswell, SM; Rickard, GJ</t>
  </si>
  <si>
    <t>Chiswell, Stephen M.; Rickard, Graham J.</t>
  </si>
  <si>
    <t>Evaluation of Bluelink hindcast BRAN 3.5 at surface and 1000 m</t>
  </si>
  <si>
    <t>Ocean numerical model; Model evaluation; Eddy diffusivity; Lagrangian statistics</t>
  </si>
  <si>
    <t>RESOLVING OCEAN MODEL; PACIFIC-OCEAN; SOUTH-PACIFIC; DATA ASSIMILATION; NORTH-ATLANTIC; EDDY; CIRCULATION; SCALES; TRAJECTORIES; VARIABILITY</t>
  </si>
  <si>
    <t>We present an evaluation of a 19-year numerical hindcast, Bluelink ReANalysis 3.5 (BRAN 3.5), derived from the Australian Bluelink programme. The evaluation is made for the surface and at 1000 m depth using Global Drifter Program (GDP) drifters and Argo floats, respectively. It is aimed at comparing the model's ability to correctly simulate the Lagrangian mixing processes. These mixing and dispersal processes are often parameterised in terms of an eddy diffusivity, and we use diffusivity as a metric of comparison. Because the data are spatially sparse and non-uniform in time, the hindcast was sampled at the data locations to provide a model velocity corresponding to each observed velocity. Pseudo-Eulerian mean velocity and eddy kinetic energy fields were computed from bin-averaging of the Lagrangian velocities, and eddy diffusivities were computed from single-particle statistics. The mean field at 2.5 m in BRAN is largely dominated by Ekman transport. The mean velocities at 12.5 m compare well with the GDP drifter mean velocities, except that the Antarctic Circumpolar Current (ACC) is stronger in GDP than in BRAN. At the surface, EKE in BRAN tends to be marginally higher than in GDP. Modelled eddy diffusivity compares well with observed diffusivity, except in the boundary currents and near the equator. At 1000 m, BRAN tends to overestimate the mean field, EKE and eddy diffusivity at low latitudes and underestimate them at higher latitudes. (C) 2014 Elsevier Ltd. All rights reserved.</t>
  </si>
  <si>
    <t>[Chiswell, Stephen M.; Rickard, Graham J.] Natl Inst Water &amp; Atmospher Res NIWA, Wellington, New Zealand</t>
  </si>
  <si>
    <t>Chiswell, SM (corresponding author), Natl Inst Water &amp; Atmospher Res NIWA, Private Bag 14-901, Wellington, New Zealand.</t>
  </si>
  <si>
    <t>s.chiswell@niwa.cri.nz</t>
  </si>
  <si>
    <t>Chiswell, Stephen/0000-0002-5957-3706; rickard, graham/0000-0002-0169-4361</t>
  </si>
  <si>
    <t>New Zealand Government under a Grant to the National Institute of Water &amp; Atmospheric Research (NIWA)</t>
  </si>
  <si>
    <t>Global Drifter Program data were provided by The GDP Drifter Data Assembly Center (DAC) of NOAA. Argo data were provided by the International ARGO Project and the national programs that contribute to it. We thank three anonymous reviewers for their time and effort in reviewing this paper. We thank P. Oke, D. Griffin, A. Schiller and CSIRO for access to the BRAN 3.5 products. NCEP Reanalysis Derived data provided by the NOAA/OAR/ESRL PSD, Boulder, Colorado, USA, from their Web site at http://www.esrl.noaa.gov/ psd/. This work was funded by the New Zealand Government under a Grant to the National Institute of Water &amp; Atmospheric Research (NIWA).</t>
  </si>
  <si>
    <t>10.1016/j.ocemod.2014.08.002</t>
  </si>
  <si>
    <t>AT7DH</t>
  </si>
  <si>
    <t>WOS:000345096400005</t>
  </si>
  <si>
    <t>Cubillos, VM; Lamare, MD; Peake, BM; Burritt, DJ</t>
  </si>
  <si>
    <t>Cubillos, Victor M.; Lamare, Miles D.; Peake, Barrie M.; Burritt, David J.</t>
  </si>
  <si>
    <t>Cellular Changes Associated with the Acclimation of the Intertidal Sea Anemone Actinia tenebrosa to Ultraviolet Radiation</t>
  </si>
  <si>
    <t>PHOTOCHEMISTRY AND PHOTOBIOLOGY</t>
  </si>
  <si>
    <t>AMINO-ACIDS MAAS; INDUCED DNA-DAMAGE; URCHIN STRONGYLOCENTROTUS-DROEBACHIENSIS; EXCITED-STATE PROPERTIES; SOLAR UV-RADIATION; OXIDATIVE STRESS; ANTHOPLEURA-ELEGANTISSIMA; EUPHAUSIA-SUPERBA; ANTARCTIC KRILL; NATURAL LEVELS</t>
  </si>
  <si>
    <t>To assess the relative importance of long- and short-term cellular defense mechanisms in seasonally UV-R-acclimated Actinia tenebrosa (Anthozoa, Actiniidae), individuals were exposed to summer doses of PAR, UV-A, UV-B and enhanced UV-B (20%) for a period of 4days. Mycosporine-like amino acids (MAAs) and cyclobutane pyrimidine dimer (CPD) concentrations were quantified, while oxidative damage to lipids and proteins, and the activities or levels of the antioxidant enzymes SOD, CAT, GR, GPOX and total glutathione were determined. Our results show that summer UV-R-acclimated individuals had a higher UV-R tolerance, with no significant increases in CPDs levels, than winter-acclimated sea anemones possibly due to higher MAA concentrations. Summer-acclimated individuals showed increased lipid and protein oxidation and GPOX activity only when they were exposed to UV-B at 20% above ambient UV-R levels. In contrast, winter-acclimated sea anemones showed elevated levels of oxidative damage, GPOX and SOD activities after exposure to UV-A or UV-B at ambient and elevated levels. Thus, this study indicates that long-term UV-R acclimation mechanisms such as the accumulation of MAAs could be more important than short-term increases in antioxidant defenses with respect to reducing indirect UV-R damage in intertidal sea anemones.</t>
  </si>
  <si>
    <t>[Cubillos, Victor M.; Burritt, David J.] Univ Otago, Dept Bot, Dunedin, New Zealand; [Cubillos, Victor M.; Lamare, Miles D.] Univ Otago, Dept Marine Sci, Dunedin, New Zealand; [Cubillos, Victor M.; Peake, Barrie M.] Univ Otago, Dept Chem, Dunedin, New Zealand</t>
  </si>
  <si>
    <t>University of Otago; University of Otago; University of Otago</t>
  </si>
  <si>
    <t>Cubillos, VM (corresponding author), Univ Austral Chile, Inst Ciencias Marinas &amp; Limnol, Valdivia, Chile.</t>
  </si>
  <si>
    <t>victorcubillos@gmail.com</t>
  </si>
  <si>
    <t>Remy, Melanie/G-3598-2010</t>
  </si>
  <si>
    <t>Remy, Melanie/0000-0002-3238-2125; Lamare, Miles/0000-0001-8656-7240</t>
  </si>
  <si>
    <t>University of Otago through the PhD International Research Scholarship; University of Otago</t>
  </si>
  <si>
    <t>This research was funded by the University of Otago through the PhD International Research Scholarship. Financial support in the form of the University of Otago Publication bursary was also provided to V.M.C.</t>
  </si>
  <si>
    <t>0031-8655</t>
  </si>
  <si>
    <t>1751-1097</t>
  </si>
  <si>
    <t>PHOTOCHEM PHOTOBIOL</t>
  </si>
  <si>
    <t>Photochem. Photobiol.</t>
  </si>
  <si>
    <t>10.1111/php.12310</t>
  </si>
  <si>
    <t>AT8ZP</t>
  </si>
  <si>
    <t>WOS:000345217800015</t>
  </si>
  <si>
    <t>Wouters, B; Bonin, JA; Chambers, DP; Riva, REM; Sasgen, I; Wahr, J</t>
  </si>
  <si>
    <t>Wouters, B.; Bonin, J. A.; Chambers, D. P.; Riva, R. E. M.; Sasgen, I.; Wahr, J.</t>
  </si>
  <si>
    <t>GRACE, time-varying gravity, Earth system dynamics and climate change</t>
  </si>
  <si>
    <t>REPORTS ON PROGRESS IN PHYSICS</t>
  </si>
  <si>
    <t>GRACE; climate change; Earth system dynamics</t>
  </si>
  <si>
    <t>GLACIAL-ISOSTATIC-ADJUSTMENT; SEA-LEVEL CHANGE; OCEAN-BOTTOM PRESSURE; ANTARCTIC CIRCUMPOLAR CURRENT; ICE-MASS-LOSS; CURRENT TRANSPORT VARIABILITY; SUMATRA-ANDAMAN EARTHQUAKE; SEASONAL WATER STORAGE; LAND-SURFACE MODEL; VARIABLE GRAVITY</t>
  </si>
  <si>
    <t>Continuous observations of temporal variations in the Earth's gravity field have recently become available at an unprecedented resolution of a few hundreds of kilometers. The gravity field is a product of the Earth's mass distribution, and these data-provided by the satellites of the Gravity Recovery And Climate Experiment (GRACE)-can be used to study the exchange of mass both within the Earth and at its surface. Since the launch of the mission in 2002, GRACE data has evolved from being an experimental measurement needing validation from ground truth, to a respected tool for Earth scientists representing a fixed bound on the total change and is now an important tool to help unravel the complex dynamics of the Earth system and climate change. In this review, we present the mission concept and its theoretical background, discuss the data and give an overview of the major advances GRACE has provided in Earth science, with a focus on hydrology, solid Earth sciences, glaciology and oceanography.</t>
  </si>
  <si>
    <t>[Wouters, B.] Sch Geog Sci, Bristol Glaciol Ctr, Bristol, Avon, England; [Wouters, B.; Wahr, J.] Univ Colorado, Dept Phys, Boulder, CO 80309 USA; [Bonin, J. A.; Chambers, D. P.] Univ S Florida, Coll Marine Sci, St Petersburg, FL 33701 USA; [Riva, R. E. M.] Delft Univ Technol, Dept Geosci &amp; Remote Sensing, Delft, Netherlands; [Sasgen, I.] German Res Ctr Geosci, Potsdam, Germany; [Sasgen, I.] Penn State Univ, Dept Geosci, University Pk, PA 16802 USA</t>
  </si>
  <si>
    <t>University of Bristol; University of Colorado System; University of Colorado Boulder; State University System of Florida; University of South Florida; Delft University of Technology; Helmholtz Association; Helmholtz-Center Potsdam GFZ German Research Center for Geosciences; Pennsylvania Commonwealth System of Higher Education (PCSHE); Pennsylvania State University; Pennsylvania State University - University Park</t>
  </si>
  <si>
    <t>Wouters, B (corresponding author), Sch Geog Sci, Bristol Glaciol Ctr, Bristol, Avon, England.</t>
  </si>
  <si>
    <t>Wouters, Bert/AAA-4254-2019</t>
  </si>
  <si>
    <t>Wouters, Bert/0000-0002-1086-2435; Riva, Riccardo/0000-0002-2042-5669; Chambers, Don/0000-0002-5439-0257</t>
  </si>
  <si>
    <t>Marie Curie International Outgoing Fellowship within the 7th European Community Framework Program [FP7-PEOPLE-2011-IOF-301260]; DFG [SPP1158, SA 1734/4-1]; NASA Grant from the GRACE Science Team [NNX12AL28G]</t>
  </si>
  <si>
    <t>Marie Curie International Outgoing Fellowship within the 7th European Community Framework Program(European Union (EU)); DFG(German Research Foundation (DFG)); NASA Grant from the GRACE Science Team</t>
  </si>
  <si>
    <t>The authors would like to thank the anonymous reviewer and editor for their helpful and constructive comments, and Volker Klemann and Srinivas Bettadpur for commenting on parts of the manuscript. Shin-Chan Han, Andreas Hoechner, Rasmus Houborg, Volker Klemann, Marc Leblanc, Matthew Rodell, Holger Steffen and Sean Swenson are acknowledged for sharing their figures, and M King, R Bingham and P Moore for updating and sharing their Antarctica trend numbers. B Wouters is funded by a Marie Curie International Outgoing Fellowship within the 7th European Community Framework Program (FP7-PEOPLE-2011-IOF-301260). I Sasgen acknowledges support from the DFG priority program SPP1158 'Antarctic Research' through grant SA 1734/4-1. J A Bonin and D P Chambers were both supported under NASA Grant NNX12AL28G from the GRACE Science Team.</t>
  </si>
  <si>
    <t>0034-4885</t>
  </si>
  <si>
    <t>1361-6633</t>
  </si>
  <si>
    <t>REP PROG PHYS</t>
  </si>
  <si>
    <t>Rep. Prog. Phys.</t>
  </si>
  <si>
    <t>10.1088/0034-4885/77/11/116801</t>
  </si>
  <si>
    <t>AT7FT</t>
  </si>
  <si>
    <t>WOS:000345103000006</t>
  </si>
  <si>
    <t>Cayla, G; Cuisset, T; Silvain, J; Henry, P; Leclercq, F; Carrié, D; Saint Etienne, C; Belle, L; Rangé, G; Pouillot, C; Varenne, O; Van Belle, E; Boueri, B; Motreff, P; Elhadad, S; Delarche, N; El Mahmoud, R; Vicaut, E; Collet, JP; Montalescot, G</t>
  </si>
  <si>
    <t>Cayla, Guillaume; Cuisset, Thomas; Silvain, Johanne; Henry, Patrick; Leclercq, Florence; Carrie, Didier; Saint Etienne, Christophe; Belle, Loic; Range, Gregoire; Pouillot, Christophe; Varenne, Olivier; Van Belle, Eric; Boueri, Ziad; Motreff, Pascal; Elhadad, Simon; Delarche, Nicolas; El Mahmoud, Rami; Vicaut, Eric; Collet, Jean-Philippe; Montalescot, Gilles</t>
  </si>
  <si>
    <t>ANTARCTIC Investigators</t>
  </si>
  <si>
    <t>Platelet function monitoring in elderly patients on prasugrel after stenting for an acute coronary syndrome: Design of the randomized antarctic study</t>
  </si>
  <si>
    <t>AMERICAN HEART JOURNAL</t>
  </si>
  <si>
    <t>ELEVATION MYOCARDIAL-INFARCTION; HEART-ASSOCIATION COUNCIL; HEALTH-CARE PROFESSIONALS; HIGH-DOSE CLOPIDOGREL; ANTIPLATELET THERAPY; SCIENTIFIC STATEMENT; CLINICAL CARDIOLOGY; INTERVENTION; REACTIVITY; REVASCULARIZATION</t>
  </si>
  <si>
    <t>Background Elderly patients are at high risk for both ischemic and bleeding events. Platelet monitoring offers the opportunity to individualized antiplatelet therapy to optimize the therapeutic risk/benefit ratio. Study design The ANTARCTIC study is designed to demonstrate the superiority of a strategy of platelet function monitoring with dose and drug adjustment in patients initially on prasugrel 5 mg as compared with a more conventional strategy using prasugrel 5 mg without monitoring and without adjustment (Conventional Treatment Arm) to reduce the primary end point evaluated 1 year after stent percutaneous coronary intervention in elderly patients presenting with an acute coronary syndrome (ACS). ANTARCTIC is a multicenter, prospective, open-label study with 2 parallel arms. A total of 852 elderly patients (75 years) undergoing stent percutaneous coronary intervention for ACS are to be enrolled. The primary end point is the time to first occurrence of cardiovascular death, myocardial infarction, stroke, definite stent thrombosis, urgent revascularization, and bleeding complications (Bleeding Academic Research Consortium definition 2, 3, or 5). Platelet function analyses will be performed 14 days after randomization and repeated 14 days later in patients who require a change in treatment. Conclusion ANTARCTIC is a nationwide, prospective, open-label study testing a strategy of platelet function monitoring with dose and drug adjustment to reduce ischemic and bleeding complications in elderly ACS patients undergoing coronary stenting</t>
  </si>
  <si>
    <t>[Cayla, Guillaume] CHU Caremeau, Serv Cardiol, Nimes, France; [Cuisset, Thomas] Hop La Timone, Dept Cardiol, Marseille, France; [Silvain, Johanne; Collet, Jean-Philippe; Montalescot, Gilles] Hop La Pitie Salpetriere, Inst Cardiol, Paris, France; [Henry, Patrick] Hop Lariboisiere, Serv Cardiol, F-75475 Paris, France; [Leclercq, Florence] CHU Montpellier, Dept Cardiol, Montpellier, France; [Carrie, Didier] CHU, Serv Cardiol, Toulouse, France; [Saint Etienne, Christophe] CHU Tours, Serv Cardiol, Tours, France; [Belle, Loic] CH, Serv Cardiol, Annecy, France; [Range, Gregoire] Hop Louis Pasteur, Serv Cardiol, Le Coudray, France; [Pouillot, Christophe] Clin St Clotilde, St Denis, Reunion, France; [Varenne, Olivier] Hop Cochin, Serv Cardiol, F-75674 Paris, France; [Van Belle, Eric] CHRU Lille, Serv Cardiol, F-59037 Lille, France; [Boueri, Ziad] CH, Serv Cardiol, Bastia, France; [Motreff, Pascal] CHRU, Serv Cardiol, Clermont Ferrand, France; [Elhadad, Simon] CH, Serv Cardiol, De Lagny, Marne La Vallee, France; [Delarche, Nicolas] CH, Hop Francois Mitterand, Pau, France; [El Mahmoud, Rami] Hop Ambroise Pare, Boulogne, France; [Vicaut, Eric] Hop Fernand Widal, Unite Rech Clin Lariboisere, Paris, France</t>
  </si>
  <si>
    <t>Universite de Montpellier; CHU de Nimes; Aix-Marseille Universite; Assistance Publique-Hopitaux de Marseille; Sorbonne Universite; Assistance Publique Hopitaux Paris (APHP); Hopital Universitaire Pitie-Salpetriere - APHP; Universite Paris Cite; Assistance Publique Hopitaux Paris (APHP); Hopital Universitaire Lariboisiere-Fernand-Widal - APHP; Universite de Montpellier; CHU de Montpellier; Universite de Toulouse; Universite Toulouse III - Paul Sabatier; CHU de Toulouse; CHU Tours; Centre Hospitalier Annecy Genevois; Assistance Publique Hopitaux Paris (APHP); Universite Paris Cite; Hopital Universitaire Cochin - APHP; Universite de Lille; CHU Lille; Assistance Publique Hopitaux Paris (APHP); Hopital Universitaire Ambroise-Pare - APHP; Assistance Publique Hopitaux Paris (APHP); Universite Paris Cite; Hopital Universitaire Lariboisiere-Fernand-Widal - APHP; Hopital Universitaire Saint-Louis - APHP</t>
  </si>
  <si>
    <t>Montalescot, G (corresponding author), Pitie Salpetriere Univ Hosp, Inst Cardiol, Bur 2-236,47 Blvd Hop, F-75013 Paris, France.</t>
  </si>
  <si>
    <t>gilles.montalescot@psl.aphp.fr</t>
  </si>
  <si>
    <t>Carrie, Didier/M-5781-2014; SILVAIN, Johanne/C-7521-2016</t>
  </si>
  <si>
    <t>VAN BELLE, ERIC/0000-0001-6509-443X; CARRIE, didier/0000-0003-2479-8144; SILVAIN, Johanne/0000-0002-1901-2808</t>
  </si>
  <si>
    <t>AstraZeneca; Eli Lilly; Daiichi-Sankyo; Abbott Vascular; BMS; Bayer; Boehringer-Ingelheim; CLS Behring; Iroko Cardio; Pfizer; Novartis; Boston; Bristol-Myers Squibb; Sanofi-Aventis; Guerbet Medical; Medtronic; Boston Scientific; Cordis; Stago; Centocor; Fondation de France; INSERM; Federation Francaise de Cardiologie; Societe Francaise de Cardiologie; BRAHMS; Medicines company; STENTYS; Biotronik; Institut de France; Nanospheres; Roche; Menarini; Accumetrics; Duke Institute; Europa; GSK; Iroko; Lead-Up; Springer; TIMI group; WebMD; Wolters; AstraZeneca; Eli Lilly; Daiichi-Sankyo; Abbott Vascular; BMS; Bayer; Boehringer-Ingelheim; CLS Behring; Iroko Cardio; Pfizer; Novartis; Boston; Bristol-Myers Squibb; Sanofi-Aventis; Guerbet Medical; Medtronic; Boston Scientific; Cordis; Stago; Centocor; Fondation de France; INSERM; Federation Francaise de Cardiologie; Societe Francaise de Cardiologie; BRAHMS; Medicines company; STENTYS; Biotronik; Institut de France; Nanospheres; Roche; Menarini; Accumetrics; Duke Institute; Europa; GSK; Iroko; Lead-Up; Springer; TIMI group; WebMD; Wolters</t>
  </si>
  <si>
    <t>AstraZeneca(AstraZeneca); Eli Lilly(Eli Lilly); Daiichi-Sankyo(Daiichi Sankyo Company Limited); Abbott Vascular(Abbott Laboratories); BMS(Bristol-Myers Squibb); Bayer(Bayer AG); Boehringer-Ingelheim(Boehringer Ingelheim); CLS Behring; Iroko Cardio; Pfizer(Pfizer); Novartis(Novartis); Boston; Bristol-Myers Squibb(Bristol-Myers Squibb); Sanofi-Aventis(Sanofi-Aventis); Guerbet Medical; Medtronic(Medtronic); Boston Scientific(Boston Scientific); Cordis; Stago; Centocor; Fondation de France(Fondation de France); INSERM(Institut National de la Sante et de la Recherche Medicale (Inserm)); Federation Francaise de Cardiologie; Societe Francaise de Cardiologie; BRAHMS; Medicines company; STENTYS; Biotronik; Institut de France; Nanospheres; Roche(Roche Holding); Menarini(Menarini Group); Accumetrics; Duke Institute; Europa; GSK(GlaxoSmithKline); Iroko; Lead-Up; Springer; TIMI group; WebMD; Wolters; AstraZeneca(AstraZeneca); Eli Lilly(Eli Lilly); Daiichi-Sankyo(Daiichi Sankyo Company Limited); Abbott Vascular(Abbott Laboratories); BMS(Bristol-Myers Squibb); Bayer(Bayer AG); Boehringer-Ingelheim(Boehringer Ingelheim); CLS Behring; Iroko Cardio; Pfizer(Pfizer); Novartis(Novartis); Boston; Bristol-Myers Squibb(Bristol-Myers Squibb); Sanofi-Aventis(Sanofi-Aventis); Guerbet Medical; Medtronic(Medtronic); Boston Scientific(Boston Scientific); Cordis; Stago; Centocor; Fondation de France(Fondation de France); INSERM(Institut National de la Sante et de la Recherche Medicale (Inserm)); Federation Francaise de Cardiologie; Societe Francaise de Cardiologie; BRAHMS; Medicines company; STENTYS; Biotronik; Institut de France; Nanospheres; Roche(Roche Holding); Menarini(Menarini Group); Accumetrics; Duke Institute; Europa; GSK(GlaxoSmithKline); Iroko; Lead-Up; Springer; TIMI group; WebMD; Wolters</t>
  </si>
  <si>
    <t>G. Cayla reports receiving consulting/lecture fees from AstraZeneca, Eli Lilly, Daiichi-Sankyo, Abbott Vascular, BMS, Bayer, Boehringer-Ingelheim, CLS Behring, Iroko Cardio, Pfizer, Novartis, and Boston.r J.P. Collet has received research grants from Bristol-Myers Squibb, Sanofi-Aventis, Eli Lilly, Guerbet Medical, Medtronic, Boston Scientific, Cordis, Stago, Centocor, Fondation de France, INSERM, Federation Francaise de Cardiologie, and Societe Francaise de Cardiologie; consulting fees from Sanofi-Aventis, Eli Lilly, and BMS; and lecture fees from BMS, Sanofi-Aventis, and Eli Lilly.r J. Silvain reports receiving research grants to the institution from Boehringer-Ingelheim, Daiichi-Sankyo, Eli Lilly, BRAHMS, Sanofi-Aventis, Federation Francaise de Cardiologie, Societe Francaise de Cardiologie, and INSERM; consultant fees from Daiichi-Sankyo, Eli Lilly, AstraZeneca, and the Medicines company; and lecture fees from AstraZeneca, Cordis, Daiichi-Sankyo, Eli Lilly, Iroko Cardio, and STENTYS.r G. Montalescot reports receiving research grants to the institution or consulting/lecture fees from Abbott Vascular, AstraZeneca, Biotronik, Daiichi-Sankyo, Eli Lilly, Federation Francaise de Cardiologie, Fondation de France, INSERM, Institut de France, Medtronic, Nanospheres, Pfizer, Roche, Sanofi-Aventis, Stentys, Societe Francaise de Cardiologie, The Medicines Company, BMS, Menarini, Accumetrics, Bayer, Boehringer-Ingelheim, Duke Institute, Europa, GSK, Iroko, Lead-Up, Novartis, Springer, TIMI group, WebMD, and Wolters.</t>
  </si>
  <si>
    <t>MOSBY-ELSEVIER</t>
  </si>
  <si>
    <t>360 PARK AVENUE SOUTH, NEW YORK, NY 10010-1710 USA</t>
  </si>
  <si>
    <t>0002-8703</t>
  </si>
  <si>
    <t>1097-6744</t>
  </si>
  <si>
    <t>AM HEART J</t>
  </si>
  <si>
    <t>Am. Heart J.</t>
  </si>
  <si>
    <t>10.1016/j.ahj.2014.07.026</t>
  </si>
  <si>
    <t>Cardiac &amp; Cardiovascular Systems</t>
  </si>
  <si>
    <t>Cardiovascular System &amp; Cardiology</t>
  </si>
  <si>
    <t>AS7KE</t>
  </si>
  <si>
    <t>WOS:000344434300009</t>
  </si>
  <si>
    <t>Dzialowski, EM; Tattersall, GJ; Nicol, SC; Frappell, PB</t>
  </si>
  <si>
    <t>Dzialowski, Edward M.; Tattersall, Glenn J.; Nicol, Stewart C.; Frappell, Peter B.</t>
  </si>
  <si>
    <t>Fluctuations in oxygen influence facultative endothermy in bumblebees</t>
  </si>
  <si>
    <t>JOURNAL OF EXPERIMENTAL BIOLOGY</t>
  </si>
  <si>
    <t>Thermoregulation; Bombus terrestris; Hypoxia; Ventilation; Metabolism</t>
  </si>
  <si>
    <t>HYPOXIC METABOLIC-RESPONSE; MANTLED GROUND-SQUIRREL; TEMPERATURE REGULATION; SCHISTOCERCA-AMERICANA; BEHAVIORAL THERMOREGULATION; THORACIC TEMPERATURE; RESPIRATORY-FUNCTION; BOMBUS-VOSNESENSKII; BROOD INCUBATION; PARTIAL-PRESSURE</t>
  </si>
  <si>
    <t>Bumblebees are facultative endotherms, having the ability to elevate thorax temperature above ambient temperature by elevating metabolism. Here, we investigated the influence of hypoxia on metabolic demands and thermoregulatory capabilities of the bumblebee Bombus terrestris. We measured thorax temperature, rates of oxygen consumption and carbon dioxide production, and abdominal pumping rates of bees randomly exposed to oxygen levels of 20, 15, 10 and 5 kPa at 26 degrees C. Under normoxia, bumblebees maintained an elevated mean thorax temperature of 35.5 degrees C. There was no significant change in thorax temperature at 15 kPa O-2 (33.4 degrees C). Mean thorax temperature decreased significantly at 10 kPa O-2 (31.6 degrees C) and 5 kPa O-2 (27.3 degrees C). Bees were able to maintain an elevated metabolic rate at 15 and 10 kPa O-2. In normoxia, endothermic bees exhibited periods of rapid abdominal pumping (327 min(-1)) interspaced by periods of no abdominal pumping. At 10 kPa O-2, abdominal pumping rate decreased (255 min(-1)) but became more continuous. Upon exposure to 5 kPa, metabolic rate and abdominal pumping rate (152 min(-1)) decreased, although the animals continued abdominal pumping at the reduced rate throughout the exposure period. Bumblebees are able to meet the energetic demands of endothermy at 15 kPa O-2, but become compromised at levels of 10 kPa O-2 and below.</t>
  </si>
  <si>
    <t>[Dzialowski, Edward M.] Univ N Texas, Dept Biol Sci, Denton, TX 76203 USA; [Tattersall, Glenn J.] Brock Univ, Dept Biol Sci, St Catharines, ON L2S 3A1, Canada; [Nicol, Stewart C.] Univ Tasmania, Sch Biol Sci, Hobart, Tas 7005, Australia; [Frappell, Peter B.] Univ Tasmania, Inst Marine &amp; Antarctic Studies, Hobart, Tas 7005, Australia</t>
  </si>
  <si>
    <t>University of North Texas System; University of North Texas Denton; Brock University; University of Tasmania; University of Tasmania</t>
  </si>
  <si>
    <t>Dzialowski, EM (corresponding author), Univ N Texas, Dept Biol Sci, Denton, TX 76203 USA.</t>
  </si>
  <si>
    <t>edzial@unt.edu</t>
  </si>
  <si>
    <t>Tattersall, Glenn J/D-3469-2009</t>
  </si>
  <si>
    <t>Tattersall, Glenn J/0000-0002-6591-6760</t>
  </si>
  <si>
    <t>COMPANY OF BIOLOGISTS LTD</t>
  </si>
  <si>
    <t>BIDDER BUILDING CAMBRIDGE COMMERCIAL PARK COWLEY RD, CAMBRIDGE CB4 4DL, CAMBS, ENGLAND</t>
  </si>
  <si>
    <t>0022-0949</t>
  </si>
  <si>
    <t>1477-9145</t>
  </si>
  <si>
    <t>J EXP BIOL</t>
  </si>
  <si>
    <t>J. Exp. Biol.</t>
  </si>
  <si>
    <t>10.1242/jeb.107052</t>
  </si>
  <si>
    <t>Biology</t>
  </si>
  <si>
    <t>Life Sciences &amp; Biomedicine - Other Topics</t>
  </si>
  <si>
    <t>AT3XA</t>
  </si>
  <si>
    <t>WOS:000344866300017</t>
  </si>
  <si>
    <t>Fisker, KV; Holmstrup, M; Malte, H; Overgaard, J</t>
  </si>
  <si>
    <t>Fisker, Karina Vincents; Holmstrup, Martin; Malte, Hans; Overgaard, Johannes</t>
  </si>
  <si>
    <t>Effect of repeated freeze-thaw cycles on geographically different populations of the freeze-tolerant worm Enchytraeus albidus (Oligochaeta)</t>
  </si>
  <si>
    <t>Freeze-thaw cycles; Glucose; Glycogen; Metabolic rate; Cold tolerance</t>
  </si>
  <si>
    <t>EARTHWORM DENDROBAENA-OCTAEDRA; REPEATED COLD-EXPOSURE; SUB-ANTARCTIC CATERPILLAR; FROG RANA-SYLVATICA; WOOD FROG; LOW-TEMPERATURES; METABOLISM; SURVIVAL; INSECTS; GLUCOSE</t>
  </si>
  <si>
    <t>Freeze-tolerant organisms survive internal ice formation; however, the adaptations to repeated freeze-thaw cycles are often not well investigated. Here we report how three geographically different populations of Enchytraeus albidus (Germany, Iceland and Svalbard) respond to three temperature treatments - constant thawed (0 degrees C), constant freezing (-5 degrees C) and fluctuating temperature (0 to -5 degrees C) over a period of 42 days. Survival varied between treatments and populations such that enchytraeids from arctic locations had a higher survival following prolonged freeze periods compared with temperate populations. However, enchytraeids from temperate locations had the same survival rate as arctic populations when exposed to repeated freeze-thaw events. Across all populations, metabolic rate decreased markedly in frozen animals (-5 degrees C) compared with thawed controls (0 degrees C). This decrease is likely due to the lower temperature of frozen animals, but also to the transition to the frozen state per se. Animals exposed to repeated freeze-thaw events had an intermediate metabolic rate and freeze-thaw events were not associated with pronounced excess energetic costs. Overwintering under either condition was not associated with a decrease in lipid content; however, during exposure to constant freezing and repeated freeze-thaw events there was a noticeable decrease in carbohydrate stores over time. Thus, animals exposed to constant freezing showed a decrease in glycogen stores, while both glucose and glycogen content decreased over time when the organisms were exposed to repeated freezing. The results therefore suggest that carbohydrate resources are important as a fuel for E. albidus during freezing whereas lipid resources are of marginal importance.</t>
  </si>
  <si>
    <t>[Fisker, Karina Vincents; Malte, Hans; Overgaard, Johannes] Aarhus Univ, Dept Biosci, DK-8000 Aarhus C, Denmark; [Fisker, Karina Vincents; Holmstrup, Martin] Aarhus Univ, Dept Biosci, Sect Soil Fauna Ecol &amp; Ecotoxicol, DK-8600 Silkeborg, Denmark</t>
  </si>
  <si>
    <t>Aarhus University; Aarhus University</t>
  </si>
  <si>
    <t>Fisker, KV (corresponding author), Aarhus Univ, Dept Biosci, Bldg 131, DK-8000 Aarhus C, Denmark.</t>
  </si>
  <si>
    <t>kvf@dmu.dk</t>
  </si>
  <si>
    <t>Fisker, Karina V/I-8043-2013; Overgaard, Johannes/I-7493-2013; Holmstrup, Martin/E-8731-2017; Malte, Hans/J-6018-2013; Overgaard, Johannes/AAA-3922-2022; Holmstrup, Martin/I-7463-2013</t>
  </si>
  <si>
    <t>Overgaard, Johannes/0000-0002-2851-4551; Holmstrup, Martin/0000-0001-8395-6582</t>
  </si>
  <si>
    <t>Sapere Aude DFF-Starting grant from The Danish Council for Independent Research; Danish Research Council</t>
  </si>
  <si>
    <t>Sapere Aude DFF-Starting grant from The Danish Council for Independent Research; Danish Research Council(Det Frie Forskningsrad (DFF))</t>
  </si>
  <si>
    <t>This study was supported by a Sapere Aude DFF-Starting grant from The Danish Council for Independent Research (to J.O.) and the Danish Research Council (to M.H.).</t>
  </si>
  <si>
    <t>10.1242/jeb.105650</t>
  </si>
  <si>
    <t>WOS:000344866300018</t>
  </si>
  <si>
    <t>Kusahara, K; Ohshima, KI</t>
  </si>
  <si>
    <t>Kusahara, Kazuya; Ohshima, Kay I.</t>
  </si>
  <si>
    <t>Kelvin Waves around Antarctica</t>
  </si>
  <si>
    <t>GLOBAL OCEAN; DRAKE PASSAGE; WIND; PRESSURE; SHELF; MODES; FLOW</t>
  </si>
  <si>
    <t>The Southern Ocean allows circumpolar structure and the Antarctic coastline plays a role as a waveguide for oceanic Kelvin waves. Under the cyclic conditions, the horizontal wavenumbers and frequencies for circum-polarly propagating waves are quantized, with horizontal wavenumbers 1, 2, and 3, corresponding to periods of about 32, 16, and 11 h, respectively. At these frequencies, westward-propagating signals are detected in sea level variation observed at Antarctic coastal stations. The occurrence frequency of westward-propagating signals far exceeds the statistical significance, and the phase speed of the observed signal agrees well with the theoretical phase speed of external Kelvin waves. Therefore, this study concludes that the observed, westward-propagating sea level variability is a signal of the external Kelvin waves of wavenumbers 1, 2, and 3 around Antarctica. A series of numerical model experiments confirms that Kelvin waves around Antarctica are driven by surface air pressure and that these waves are excited not only by local forcing over the Southern Ocean, but also by remote forcing over the Pacific Ocean. Sea level variations generated over the Pacific Ocean can travel to the western side of the South American coast and cross over Drake Passage to the Antarctic continent, constituting a part of the Kelvin waves around Antarctica.</t>
  </si>
  <si>
    <t>[Kusahara, Kazuya; Ohshima, Kay I.] Hokkaido Univ, Inst Low Temp Sci, Sapporo, Hokkaido 0600819, Japan</t>
  </si>
  <si>
    <t>Hokkaido University</t>
  </si>
  <si>
    <t>Kusahara, K (corresponding author), Hokkaido Univ, Inst Low Temp Sci, Kita Ku, N19W8, Sapporo, Hokkaido 0600819, Japan.</t>
  </si>
  <si>
    <t>kazuya.kusahara@lowtem.hokudai.ac.jp</t>
  </si>
  <si>
    <t>Ohshima, Kay I/D-6909-2012</t>
  </si>
  <si>
    <t>Kusahara, Kazuya/0000-0003-4067-7959</t>
  </si>
  <si>
    <t>Japan Society for the Promotion of Science (JSPS) [25241001, 26247080, 23340138, 25887001]; Canon Foundation; Grants-in-Aid for Scientific Research [26247080, 25241001, 23340138, 25887001] Funding Source: KAKEN</t>
  </si>
  <si>
    <t>Japan Society for the Promotion of Science (JSPS)(Ministry of Education, Culture, Sports, Science and Technology, Japan (MEXT)Japan Society for the Promotion of Science); Canon Foundation(Canon Foundation); Grants-in-Aid for Scientific Research(Ministry of Education, Culture, Sports, Science and Technology, Japan (MEXT)Japan Society for the Promotion of ScienceGrants-in-Aid for Scientific Research (KAKENHI))</t>
  </si>
  <si>
    <t>We thank Dr. A. D. Fraser for his careful proofreading of the manuscript. This study was supported by Grant-in-Aids for Scientific Research A (25241001 and 26247080) and B (23340138) and the Research Activity Startup (25887001) from the Japan Society for the Promotion of Science (JSPS) and by the Canon Foundation. We are grateful to the two anonymous reviewers for their careful reading and constructive comments on the manuscript.</t>
  </si>
  <si>
    <t>10.1175/JPO-D-14-0051.1</t>
  </si>
  <si>
    <t>AT1TZ</t>
  </si>
  <si>
    <t>Green Submitted, Green Accepted, Bronze</t>
  </si>
  <si>
    <t>WOS:000344718000006</t>
  </si>
  <si>
    <t>Nakayama, Y; Ohshima, KI; Matsumura, Y; Fukamachi, Y; Hasumi, H</t>
  </si>
  <si>
    <t>Nakayama, Yoshihiro; Ohshima, Kay I.; Matsumura, Yoshimasa; Fukamachi, Yasushi; Hasumi, Hiroyasu</t>
  </si>
  <si>
    <t>A Numerical Investigation of Formation and Variability of Antarctic Bottom Water off Cape Darnley, East Antarctica</t>
  </si>
  <si>
    <t>PRYDZ BAY-REGION; DENSE WATER; SUBMARINE CANYONS; SLOPING BOTTOM; DENMARK STRAIT; OCEAN MODEL; WEDDELL SEA; TRANSPORT; RIDGES; SHELF</t>
  </si>
  <si>
    <t>At several locations around Antarctica, dense water is formed as a result of intense sea ice formation. When this dense water becomes sufficiently denser than the surrounding water, it descends the continental slope and forms Antarctic Bottom Water (AABW). This study presents the AABW formation off the coast of Cape Darnley [Cape Darnley Bottom Water (CDBW)] in East Antarctica, using a nonhydrostatic model. The model is forced for 8 months by a temporally uniform surface salt flux (because of sea ice formation) estimated from Advanced Microwave Scanning Radiometer for Earth Observing System (EOS; AMSR-E) data and a heat budget calculation. The authors reproduce AABW formation and associated periodic downslope flows of dense water. Descending pathways of dense water are largely determined by the topography; most dense water flows into depressions on the continental shelf, advects onto the continental slope, and is steered downslope to greater depths by the canyons. Intense sea ice formation is the most important factor in the formation of AABW off Cape Darnley, and the existence of depressions is of only minor importance for the flux of CDBW. The mechanism responsible for the periodic downslope flow of dense water is further analyzed using an idealized model setup. The period of dense water outflow is regulated primarily by the topographic beta effect.</t>
  </si>
  <si>
    <t>[Nakayama, Yoshihiro; Ohshima, Kay I.; Matsumura, Yoshimasa; Fukamachi, Yasushi] Hokkaido Univ, Inst Low Temp Sci, Sapporo, Hokkaido 060, Japan; [Hasumi, Hiroyasu] Univ Tokyo, Atmosphere &amp; Ocean Res Inst, Kashiwa, Chiba, Japan</t>
  </si>
  <si>
    <t>Hokkaido University; University of Tokyo</t>
  </si>
  <si>
    <t>yoshihiro.nakayama@awi.de</t>
  </si>
  <si>
    <t>Nakayama, Yoshihiro/R-4325-2019; Ohshima, Kay I/D-6909-2012; Fukamachi, Yasushi/D-1895-2012; Matsumura, Yoshimasa/D-9456-2012</t>
  </si>
  <si>
    <t>Nakayama, Yoshihiro/0000-0001-6543-529X; Fukamachi, Yasushi/0000-0001-5798-9380;</t>
  </si>
  <si>
    <t>Ministry of Education, Culture, Sports, Science, and Technology in Japan [20221001, 20540419, 23340135, 25241001]; Core Research for Evolutional Science and Technology of the Japan Science and Technology Agency; Grants-in-Aid for Scientific Research [23340135, 26247080, 25241001, 25870021, 20540419, 20221001] Funding Source: KAKEN</t>
  </si>
  <si>
    <t>Ministry of Education, Culture, Sports, Science, and Technology in Japan(Ministry of Education, Culture, Sports, Science and Technology, Japan (MEXT)); Core Research for Evolutional Science and Technology of the Japan Science and Technology Agency(Core Research for Evolutional Science and Technology (CREST)); Grants-in-Aid for Scientific Research(Ministry of Education, Culture, Sports, Science and Technology, Japan (MEXT)Japan Society for the Promotion of ScienceGrants-in-Aid for Scientific Research (KAKENHI))</t>
  </si>
  <si>
    <t>We thank A. Kubokawa, H. Mitsudera, S. Aoki, D. Simizu, and T. Tamura for their comments and suggestions. We also thank the officers, crew, and scientists on board the TR/V Umitaka-maru, R/V Hakuho-maru, and Icebreaker Shirase. We acknowledge T. Nakanowatari and K. Ono for their support on the PORC information system at the Institute of Low Temperature Science and the high performance computing system in Hokkaido University. The AMSR-E data were provided by the National Snow and Ice Data Center (NSIDC), and annual sea ice formation data were calculated by S. Nihashi. Insightful comments from the two anonymous reviewers were very helpful for improvement of the manuscript. This work was supported by Grants-in-Aids for Scientific Research (20221001, 20540419, 23340135, and 25241001) from the Ministry of Education, Culture, Sports, Science, and Technology in Japan and the Core Research for Evolutional Science and Technology of the Japan Science and Technology Agency.</t>
  </si>
  <si>
    <t>10.1175/JPO-D-14-0069.1</t>
  </si>
  <si>
    <t>WOS:000344718000007</t>
  </si>
  <si>
    <t>Zhou, C; Zhao, W; Tian, JW; Yang, QX; Qu, TD</t>
  </si>
  <si>
    <t>Zhou, Chun; Zhao, Wei; Tian, Jiwei; Yang, Qingxuan; Qu, Tangdong</t>
  </si>
  <si>
    <t>Variability of the Deep-Water Overflow in the Luzon Strait</t>
  </si>
  <si>
    <t>SOUTH CHINA SEA; ANTARCTIC BOTTOM WATER; SATELLITE ALTIMETRY; VEMA SILL; CIRCULATION; TRANSPORT; OCEAN; FLUCTUATIONS; OVERTURNS; PROFILES</t>
  </si>
  <si>
    <t>The Luzon Strait, with its deepest sills at the Bashi Channel and Luzon Trough, is the only deep connection between the Pacific Ocean and the South China Sea (SCS). To investigate the deep-water overflow through the Luzon Strait, 3.5 yr of continuous mooring observations have been conducted in the deep Bashi Channel and Luzon Trough. For the first time these observations enable us to assess the detailed variability of the deep-water overflow from the Pacific to the SCS. On average, the along-stream velocity of the overflow is at its maximum at about 120 m above the ocean bottom, reaching 19.9 +/- 6.5 and 23.0 +/- 11.8 cm s(-1) at the central Bashi Channel and Luzon Trough, respectively. The velocity measurements can be translated to a mean volume transport for the deep-water overflow of 0.83 +/- 0.46 Sverdrups (Sv; 1 Sv = 10(6) m(3) s(-1)) at the Bashi Channel and 0.88 +/- 0.77 Sv at the Luzon Trough. Significant intraseasonal and seasonal variations are identified, with their dominant time scales ranging between 20 and 60 days and around 100 days. The intraseasonal variation is season dependent, with its maximum strength taking place in March-May. Deep-water eddies are believed to play a role in this intraseasonal variation. On the seasonal time scale, the deep-water overflow intensifies in late fall (October-December) and weakens in spring (March-May), corresponding well with the seasonal variation of the density difference between the Pacific and SCS, for which enhanced mixing in the deep SCS is possibly responsible.</t>
  </si>
  <si>
    <t>[Zhou, Chun; Zhao, Wei; Tian, Jiwei; Yang, Qingxuan] Ocean Univ China, Phys Oceanog Lab, Qingdao Collaborat Innovat Ctr Marine Sci &amp; Techn, Qingdao 266100, Peoples R China; [Qu, Tangdong] Univ Hawaii, Sch Ocean &amp; Earth Sci &amp; Technol, Int Pacific Res Ctr, Honolulu, HI 96822 USA</t>
  </si>
  <si>
    <t>Ocean University of China; University of Hawaii System</t>
  </si>
  <si>
    <t>Tian, JW (corresponding author), Ocean Univ China, Phys Oceanog Lab, Qingdao Collaborat Innovat Ctr Marine Sci &amp; Techn, 238 Songling Rd, Qingdao 266100, Peoples R China.</t>
  </si>
  <si>
    <t>tianjw@ouc.edu.cn</t>
  </si>
  <si>
    <t>National Natural Science Foundation of China [91028008, 41176010]; Program for New Century Excellent Talents in University [NCET-10-0764]; U.S. National Science Foundation [OCE10-29704, OCE-1130050]; Division Of Ocean Sciences; Directorate For Geosciences [1029704] Funding Source: National Science Foundation</t>
  </si>
  <si>
    <t>National Natural Science Foundation of China(National Natural Science Foundation of China (NSFC)); Program for New Century Excellent Talents in University(Program for New Century Excellent Talents in University (NCET)); U.S. National Science Foundation(National Science Foundation (NSF)); Division Of Ocean Sciences; Directorate For Geosciences(National Science Foundation (NSF)NSF - Directorate for Geosciences (GEO))</t>
  </si>
  <si>
    <t>The authors thank the two anonymous reviewers for their constructive comments and suggestions. The altimeter products used in this work are produced by SSALTO/DUCAS and distributed by AVISO, with support from CNES (available online at www.aviso.oceanobs.com/duacs). Author Jiwei Tian wishes to acknowledge the support from National Natural Science Foundation of China (91028008), author Wei Zhao wishes to acknowledge the support from the National Natural Science Foundation of China (41176010) and the Program for New Century Excellent Talents in University (NCET-10-0764), and author Tangdong Qu wishes to acknowledge the support of the U.S. National Science Foundation (OCE10-29704 and OCE-1130050). The authors are grateful to the crew of the R/V Dongfanghong II for their considerable help during the cruises and also the mooring group at the Ocean University of China.</t>
  </si>
  <si>
    <t>10.1175/JPO-D-14-0113.1</t>
  </si>
  <si>
    <t>WOS:000344718000010</t>
  </si>
  <si>
    <t>Sears, DW; Beauford, R</t>
  </si>
  <si>
    <t>Sears, Derek W.; Beauford, Robert</t>
  </si>
  <si>
    <t>The Sutter's Mill meteorite: Thermoluminescence data on thermal and metamorphic history</t>
  </si>
  <si>
    <t>CM CARBONACEOUS CHONDRITES; NATURAL THERMOLUMINESCENCE; ANTARCTIC METEORITES; AQUEOUS ALTERATION; TERRESTRIAL AGES; LUMINESCENCE; ORBITS; ABLATION; SHOCK</t>
  </si>
  <si>
    <t>A piece of the Sutter's Mill meteorite, fragment SM2-1d, has been examined using thermoluminescence techniques to better understand its thermal and metamorphic history. The sample had very weak but easily measureable natural and induced thermoluminescence (TL) signals; the signal-to-noise ratio was better than 10. The natural TL was restricted to the high-temperature regions of the glow curve suggesting that the meteorite had been heated to approximately 300 degrees C within the time it takes for the TL signal to recover from a heating event, probably within the last 10 5 years. It is possible that this reflects heating during release from the parent body, close passage by the Sun, or heating during atmospheric passage. Of these three options, the least likely is the first, but the other possibilities are equally likely. It seems that temperatures of approximately 300 degrees C reached 5 or 6 mm into the meteorite, so that all but one of the small Sutter's Mill stones have been heated. The Dhajala normalized induced TL signal for SM2-1d is comparable to that of type 3.0 chondrites and is unlike normal CM chondrites, the class it most closely resembles, which do not have detectable TL sensitivity. The shape of the induced TL curve is comparable to other low-type ordinary, CV, and CO chondrites, in that it has a broad hummocky structure, but does not resemble any of them in detail. This suggests that Sutter's Mill is a unique, low-petrographic-type (3.0) chondrite.</t>
  </si>
  <si>
    <t>[Sears, Derek W.] NASA, Bay Area Environm Res Inst, Ames Res Ctr, Mountain View, CA 94035 USA; [Beauford, Robert] Univ Arkansas, Arkansas Ctr Space &amp; Planetary Sci, Fayetteville, AR 72701 USA</t>
  </si>
  <si>
    <t>National Aeronautics &amp; Space Administration (NASA); NASA Ames Research Center; University of Arkansas System; University of Arkansas Fayetteville</t>
  </si>
  <si>
    <t>Sears, DW (corresponding author), NASA, Bay Area Environm Res Inst, Ames Res Ctr, Mail Stop N245-3, Mountain View, CA 94035 USA.</t>
  </si>
  <si>
    <t>derek.sears@nasa.gov</t>
  </si>
  <si>
    <t>10.1111/maps.12259</t>
  </si>
  <si>
    <t>AT1ZZ</t>
  </si>
  <si>
    <t>WOS:000344731500007</t>
  </si>
  <si>
    <t>Groh, A; Ewert, H; Rosenau, R; Fagiolini, E; Gruber, C; Floricioiu, D; Jaber, WA; Linow, S; Flechtner, F; Eineder, M; Dierking, W; Dietrich, R</t>
  </si>
  <si>
    <t>Groh, A.; Ewert, H.; Rosenau, R.; Fagiolini, E.; Gruber, C.; Floricioiu, D.; Jaber, W. Abdel; Linow, S.; Flechtner, F.; Eineder, M.; Dierking, W.; Dietrich, R.</t>
  </si>
  <si>
    <t>Mass, Volume and Velocity of the Antarctic Ice Sheet: Present-Day Changes and Error Effects</t>
  </si>
  <si>
    <t>SURVEYS IN GEOPHYSICS</t>
  </si>
  <si>
    <t>Antarctic ice sheet; Mass balance; Velocity; Accumulation</t>
  </si>
  <si>
    <t>GLACIAL ISOSTATIC-ADJUSTMENT; SEA-LEVEL RISE; TANDEM-X; WEST ANTARCTICA; GRACE; GREENLAND; MODEL; SURFACE; INTERFEROMETRY; ALTIMETRY</t>
  </si>
  <si>
    <t>This study examines present-day changes of the Antarctic ice sheet (AIS) by means of different data sets. We make use of monthly gravity field solutions acquired by the Gravity Recovery and Climate Experiment (GRACE) to study mass changes of the AIS for a 10-year period. In addition to 'standard' solutions of release 05, solutions based on radial base functions were used. Both solutions reveal an increased mass loss in recent years. For a 6-year period surface-height changes were inferred from laser altimetry data provided by the Ice, Cloud, and land Elevation Satellite (ICESat). The basin-scale volume trends were converted into mass changes and were compared with the GRACE estimates for the same period. Focussing on the Thwaites Glacier, Landsat optical imagery was utilised to determine ice-flow velocities for a period of more than two decades. This data set was extended by means of high-resolution synthetic aperture radar (SAR) data from the TerraSAR-X mission, revealing an accelerated ice flow of all parts of the glacier. ICESat data over the Thwaites Glacier were complemented by digital elevation models inferred from TanDEM-X data. This extended data set exhibits an increased surface lowering in recent times. Passive microwave remote sensing data prove the long-term stability of the accumulation rates in a low accumulation zone in East Antarctica over several decades. Finally, we discuss the main error sources of present-day mass-balance estimates: the glacial isostatic adjustment effect for GRACE as well as the biases between laser operational periods and the volume-mass conversion for ICESat.</t>
  </si>
  <si>
    <t>[Groh, A.; Ewert, H.; Rosenau, R.; Dietrich, R.] Tech Univ Dresden, Inst Planetare Geodasie, D-01062 Dresden, Germany; [Fagiolini, E.; Gruber, C.; Flechtner, F.] DLR Oberpfaffenhofen, GFZ German Res Ctr Geosci, Sect Global Geomonitoring &amp; Grav Field 1 2, D-82234 Wessling, Germany; [Floricioiu, D.; Jaber, W. Abdel; Eineder, M.] German Aerosp Ctr DLR, Remote Sensing Technol Inst, D-82234 Wessling, Germany; [Linow, S.; Dierking, W.] Alfred Wegener Inst Polar &amp; Marine Res, Climate Sci Div, D-27570 Bremerhaven, Germany</t>
  </si>
  <si>
    <t>Technische Universitat Dresden; Helmholtz Association; Helmholtz-Center Potsdam GFZ German Research Center for Geosciences; German Aerospace Centre (DLR); Helmholtz Association; German Aerospace Centre (DLR); Helmholtz Association; Alfred Wegener Institute, Helmholtz Centre for Polar &amp; Marine Research</t>
  </si>
  <si>
    <t>Groh, A (corresponding author), Tech Univ Dresden, Inst Planetare Geodasie, D-01062 Dresden, Germany.</t>
  </si>
  <si>
    <t>andreas.groh@tu-dresden.de</t>
  </si>
  <si>
    <t>Jaber, Wael/Y-4713-2019</t>
  </si>
  <si>
    <t>Linow, Stefanie/0000-0001-8896-3976; Groh, Andreas/0000-0003-0106-5802; Flechtner, Frank/0000-0002-3093-5558</t>
  </si>
  <si>
    <t>German Research Foundation (DFG)</t>
  </si>
  <si>
    <t>German Research Foundation (DFG)(German Research Foundation (DFG))</t>
  </si>
  <si>
    <t>This work was supported by the German Research Foundation (DFG) within the Priority Programme SPP1257 Mass Transport and Mass Distribution in the Earth System. TerraSAR-X and TanDEM-X data were provided by DLR within science proposals HYD1303 and XTI_GLAC0538, respectively. We gratefully acknowledge the helpful comments provided by two anonymous reviewers.</t>
  </si>
  <si>
    <t>0169-3298</t>
  </si>
  <si>
    <t>1573-0956</t>
  </si>
  <si>
    <t>SURV GEOPHYS</t>
  </si>
  <si>
    <t>Surv. Geophys.</t>
  </si>
  <si>
    <t>10.1007/s10712-014-9286-y</t>
  </si>
  <si>
    <t>AT2SK</t>
  </si>
  <si>
    <t>WOS:000344785400013</t>
  </si>
  <si>
    <t>Ogunjobi, O; Sivakumar, V; Sivla, WT</t>
  </si>
  <si>
    <t>Ogunjobi, O.; Sivakumar, V.; Sivla, W. T.</t>
  </si>
  <si>
    <t>A superposed epoch study of the effects of solar wind stream interface events on the upper mesospheric and lower thermospheric temperature</t>
  </si>
  <si>
    <t>Solar wind stream interface region; Polar MLT temperature; Magnetospheric convection; Superposed epoch analysis</t>
  </si>
  <si>
    <t>GEOMAGNETIC STORMS; RADIATION BELT; ELECTRONS; DYNAMICS; DRIVEN</t>
  </si>
  <si>
    <t>The response of mesosphere and lower thermosphere (MLT) temperature to energetic particle precipitation over the Earth's polar regions is not uniform due to complex phenomena within the MLT environment. Nevertheless, the modification of MLT temperatures may require an event-based study to be better observed. This work examines the influence of precipitation, triggered by solar wind stream interfaces (SI) event from 2002 to 2007, on polar MLT temperature. We first test the relationship between the ionospheric absorption measured by the SANAE IV (South African National Antarctic Expedition IV) riometer and the layer of energetic particle precipitation from POES (Polar Orbiting Environmental Satellites). The combined particle measurements from POES 15, 16, 17 and 18 were obtained close in time to the pass of the SABER (Sounding of the Atmosphere using Broadband Emission Radiometry) temperature retrieval. Here, a superposed epoch technique is described and implemented to obtain average temperature profiles during SI-triggered particle precipitation. The superposed epoch average shows no significant temperature decrease below 100 km prior to the onset of SI-triggered precipitation, whereas a clear superposed average temperature decrease is observed at 95 km after the SI impact. A case study of SI event also yields similar observations. Results indicate that cooling effects due to the production of mesospheric odd hydrogen might be major contributors to temperature decrease under compressed solar wind stream. (C) 2014 COSPAR. Published by Elsevier Ltd. All rights reserved.</t>
  </si>
  <si>
    <t>[Ogunjobi, O.; Sivakumar, V.] Univ KwaZulu Natal, Sch Chem &amp; Phys, Durban, South Africa; [Sivla, W. T.] Kogi State Univ, Dept Phys, Anyigba, Nigeria</t>
  </si>
  <si>
    <t>University of Kwazulu Natal</t>
  </si>
  <si>
    <t>Ogunjobi, O (corresponding author), Univ KwaZulu Natal, Sch Chem &amp; Phys, Durban, South Africa.</t>
  </si>
  <si>
    <t>olakunle.ukzn@gmail.com; Venkataramans@ukzn.ac.za; sivlaw@yahoo.com</t>
  </si>
  <si>
    <t>Sivakumar, V/B-4570-2009</t>
  </si>
  <si>
    <t>Sivakumar, V/0000-0003-2462-681X; Ogunjobi, Olakunle/0000-0002-0065-0594</t>
  </si>
  <si>
    <t>SANSA</t>
  </si>
  <si>
    <t>The authors are thankful for the availability of the geophysical parameters in OMNI database and the CIRA-86 neutral temperature (published in IRI-2007 model) provided by the GSFC/SPDF at OMNIWeb interface, the NOAA/POES at NGDC. The authors express thanks for the support of South African National Antarctic Program (SANAP) and logistics of South Africa National Space Agency (SANSA) in providing SANAEIV riometer data. In addition, the authors also express thanks to ASR anonymous reviewers for their valuable comments and suggestions. Research is supported by SANSA.</t>
  </si>
  <si>
    <t>10.1016/j.asr.2014.07.005</t>
  </si>
  <si>
    <t>AS3UT</t>
  </si>
  <si>
    <t>WOS:000344204200002</t>
  </si>
  <si>
    <t>Pugin, B; Cornejo, FA; Muñoz-Díaz, P; Muñoz-Villagrán, CM; Vargas-Pérez, JI; Arenas, FA; Vásquez, CC</t>
  </si>
  <si>
    <t>Pugin, Benoit; Cornejo, Fabian A.; Munoz-Diaz, Pablo; Munoz-Villagran, Claudia M.; Vargas-Perez, Joaquin I.; Arenas, Felipe A.; Vasquez, Claudio C.</t>
  </si>
  <si>
    <t>Glutathione Reductase-Mediated Synthesis of Tellurium-Containing Nanostructures Exhibiting Antibacterial Properties</t>
  </si>
  <si>
    <t>APPLIED AND ENVIRONMENTAL MICROBIOLOGY</t>
  </si>
  <si>
    <t>ESCHERICHIA-COLI; SILVER NANOPARTICLES; POTASSIUM TELLURITE; NITRATE REDUCTASE; SENSITIVE METHOD; METAL; CDS; DEHYDROGENASE; BIOSYNTHESIS; RESISTANCE</t>
  </si>
  <si>
    <t>Tellurium, a metalloid belonging to group 16 of the periodic table, displays very interesting physical and chemical properties and lately has attracted significant attention for its use in nanotechnology. In this context, the use of microorganisms for synthesizing nanostructures emerges as an eco-friendly and exciting approach compared to their chemical synthesis. To generate Te-containing nanostructures, bacteria enzymatically reduce tellurite to elemental tellurium. In this work, using a classic biochemical approach, we looked for a novel tellurite reductase from the Antarctic bacterium Pseudomonas sp. strain BNF22 and used it to generate tellurium-containing nanostructures. A new tellurite reductase was identified as glutathione reductase, which was subsequently overproduced in Escherichia coli. The characterization of this enzyme showed that it is an NADPH-dependent tellurite reductase, with optimum reducing activity at 30 degrees C and pH 9.0. Finally, the enzyme was able to generate Te-containing nanostructures, about 68 nm in size, which exhibit interesting antibacterial properties against E. coli, with no apparent cytotoxicity against eukaryotic cells.</t>
  </si>
  <si>
    <t>[Pugin, Benoit; Cornejo, Fabian A.; Munoz-Diaz, Pablo; Munoz-Villagran, Claudia M.; Vargas-Perez, Joaquin I.; Arenas, Felipe A.; Vasquez, Claudio C.] Univ Santiago Chile, Fac Quim &amp; Biol, Dept Biol, Santiago, Chile</t>
  </si>
  <si>
    <t>Vásquez, CC (corresponding author), Univ Santiago Chile, Fac Quim &amp; Biol, Dept Biol, Santiago, Chile.</t>
  </si>
  <si>
    <t>claudio.vasquez@usach.cl</t>
  </si>
  <si>
    <t>Pugin, Benoit/X-2984-2018</t>
  </si>
  <si>
    <t>Pugin, Benoit/0000-0001-7132-9477; Cornejo, Fabian/0000-0002-6633-392X</t>
  </si>
  <si>
    <t>Fondecyt (Fondo Nacional de Ciencia y Tecnologia) [1130362, 3120049]; INACH (Instituto Antartico de Chile) [DG_02-13]; MECESUP (Mejoramiento de la Calidad y Equidad de la Educacion Superior), Chile</t>
  </si>
  <si>
    <t>Fondecyt (Fondo Nacional de Ciencia y Tecnologia)(Comision Nacional de Investigacion Cientifica y Tecnologica (CONICYT)CONICYT FONDECYT); INACH (Instituto Antartico de Chile); MECESUP (Mejoramiento de la Calidad y Equidad de la Educacion Superior), Chile</t>
  </si>
  <si>
    <t>This work was supported by grants from Fondecyt (Fondo Nacional de Ciencia y Tecnologia) Regular 1130362 and Postdoctorado 3120049 to C.C.V. and F.A.S., respectively, and from INACH (Instituto Antartico de Chile) DG_02-13 to B.P. B.P. was supported by a doctoral fellowship from MECESUP (Mejoramiento de la Calidad y Equidad de la Educacion Superior), Chile.</t>
  </si>
  <si>
    <t>AMER SOC MICROBIOLOGY</t>
  </si>
  <si>
    <t>1752 N ST NW, WASHINGTON, DC 20036-2904 USA</t>
  </si>
  <si>
    <t>0099-2240</t>
  </si>
  <si>
    <t>1098-5336</t>
  </si>
  <si>
    <t>APPL ENVIRON MICROB</t>
  </si>
  <si>
    <t>Appl. Environ. Microbiol.</t>
  </si>
  <si>
    <t>10.1128/AEM.02207-14</t>
  </si>
  <si>
    <t>Biotechnology &amp; Applied Microbiology; Microbiology</t>
  </si>
  <si>
    <t>AS3FH</t>
  </si>
  <si>
    <t>WOS:000344161700023</t>
  </si>
  <si>
    <t>Li, G; Li, CY; Tan, YK; Wang, X</t>
  </si>
  <si>
    <t>Li, Gang; Li, Chongyin; Tan, Yanke; Wang, Xin</t>
  </si>
  <si>
    <t>Observed Relationship of Boreal Winter South Pacific Tripole SSTA with Eastern China Rainfall during the Following Boreal Spring</t>
  </si>
  <si>
    <t>YANGTZE-RIVER VALLEY; SEA-SURFACE TEMPERATURE; HEMISPHERE ANNULAR MODE; INDIAN-OCEAN SST; ANTARCTIC OSCILLATION; SUMMER MONSOON; DECADAL VARIABILITY; DIPOLE EVENTS; NORTH PACIFIC; ENSO</t>
  </si>
  <si>
    <t>The present study investigates the relationships between the December-February (DJF) South Pacific tripole (SPT) sea surface temperature anomaly (SSTA) pattern and the following March-May (MAM) rainfall over eastern China based on multiple datasets. It is found that the relationships between the DJF SPT and the following MAM rainfall over eastern China are modulated by the El Nino-Southern Oscillation (ENSO). When the ENSO signal is removed, the positive DJF SPT is significantly associated with more rainfall over eastern China during the following boreal spring. However, such significant relationships disappear if ENSO is considered. After removing ENSO impacts, the possible mechanisms through which the DJF SPT impacts the following MAM rainfall over eastern China are investigated. The positive DJF SPT is associated with the significantly positive SSTA in the tropical western Pacific, which can persist to the following MAM. In response to the positive SSTA in the tropical western Pacific, a wave-like train in the low-level troposphere extends from the tropical western Pacific (an anomalous cyclone) to the western North Pacific (an anomalous anticyclone) during the following MAM. The anomalous anticyclone over the western North Pacific enhances the anomalous southwesterly over eastern China, which can bring more moisture and favor anomalous increased rainfall. It should be pointed out that La Nina (El Nino) could induce an anomalous cyclone (anticyclone) over the western North Pacific, which offsets the MAM anomalous anticyclone (cyclone) caused by the positive (negative) SPT in the preceding DJF and thus weakens the relationship between the SPT and the rainfall over eastern China.</t>
  </si>
  <si>
    <t>[Li, Gang; Li, Chongyin; Tan, Yanke] PLA Univ Sci &amp; Technol, Coll Meteorol &amp; Oceanog, Nanjing, Jiangsu, Peoples R China; [Li, Chongyin] Chinese Acad Sci, Inst Atmospher Phys, LASG, Beijing, Peoples R China; [Wang, Xin] Chinese Acad Sci, South China Sea Inst Oceanol, State Key Lab Trop Oceanog, Guangzhou 510301, Guangdong, Peoples R China</t>
  </si>
  <si>
    <t>Army Engineering University of PLA; Chinese Academy of Sciences; Institute of Atmospheric Physics, CAS; Chinese Academy of Sciences; South China Sea Institute of Oceanology, CAS</t>
  </si>
  <si>
    <t>Wang, X (corresponding author), Chinese Acad Sci, South China Sea Inst Oceanol, State Key Lab Trop Oceanog, 164 West Xingang Rd, Guangzhou 510301, Guangdong, Peoples R China.</t>
  </si>
  <si>
    <t>wangxin@scsio.ac.cn</t>
  </si>
  <si>
    <t>Wang, Xin/B-4624-2012; XIN, WANG/KGK-5385-2024</t>
  </si>
  <si>
    <t>Wang, Xin/0000-0002-7323-2289;</t>
  </si>
  <si>
    <t>Chinese Key Developing Program for Basic Sciences [2010CB950400, 2013CB956200]; Strategic Priority Research Program of the Chinese Academy of Sciences [XDA11010403]; National Natural Science Foundation of China [41422601, 41376025]</t>
  </si>
  <si>
    <t>Chinese Key Developing Program for Basic Sciences; Strategic Priority Research Program of the Chinese Academy of Sciences(Chinese Academy of Sciences); National Natural Science Foundation of China(National Natural Science Foundation of China (NSFC))</t>
  </si>
  <si>
    <t>The authors thank the editor and three anonymous reviewers, who provided valuable and constructive comments on our manuscript which were helpful for improving the quality of the manuscript. This research is sponsored by the Chinese Key Developing Program for Basic Sciences (2010CB950400 and 2013CB956200), the Strategic Priority Research Program of the Chinese Academy of Sciences (XDA11010403), and the National Natural Science Foundation of China (41422601 and 41376025).</t>
  </si>
  <si>
    <t>10.1175/JCLI-D-14-00074.1</t>
  </si>
  <si>
    <t>AS2TE</t>
  </si>
  <si>
    <t>WOS:000344131500008</t>
  </si>
  <si>
    <t>Jiang, QF; Reinecke, A; Doyle, JD</t>
  </si>
  <si>
    <t>Jiang, Qingfang; Reinecke, Alex; Doyle, James D.</t>
  </si>
  <si>
    <t>Orographic Wave Drag over the Southern Ocean: A Linear Theory Perspective</t>
  </si>
  <si>
    <t>GENERAL-CIRCULATION MODEL; MESOSCALE GRAVITY-WAVES; JET-FRONT SYSTEMS; MIDDLE-ATMOSPHERE; MOUNTAIN WAVES; CLIMATE MODELS; ANDES; PARAMETERIZATION; BREAKING; PASSAGE</t>
  </si>
  <si>
    <t>Recent studies suggest that stratospheric wind biases in global and climate models in the Southern Hemisphere may result from insufficient orographic wave drag, particularly over the Southern Ocean in the latitude belt centered near 60 degrees S. In this study, contributions to the stratospheric wave drag along 60 degrees S from three neighboring orographic wave sources are evaluated using a multiple-layer linear wave model with large-scale wind and stratification profiles derived from the Interim ECMWF Re-Analysis (ERA-Interim) between the years 1991 and 2010. The orographic wave sources include the Patagonian peaks in the southern Andes, the Antarctic Peninsula, and the island of South Georgia. The climatological and dynamical aspects of the wave drag and its dependence on tropospheric winds are investigated. The results suggest that these orographic wave sources may have significant contributions to the stratospheric drag over the Southern Ocean through meridional spreading of the wave momentum flux aloft associated with three-dimensional wave propagation. Among the three locations considered, the wave drag from the Antarctic Peninsula is substantially larger than that from Patagonia and nearly two orders of magnitude larger than that from South Georgia island. The orographic wave drag is in general proportional to the westerly component of the surface winds and becomes virtually zero when the surface winds have an easterly component, associated with critical level absorption between the tropospheric easterlies and prevailing westerlies in the stratosphere. The derived wave drag exhibits substantial temporal variations, including synoptic-scale, month-to-month, and interannual variations.</t>
  </si>
  <si>
    <t>[Jiang, Qingfang; Reinecke, Alex; Doyle, James D.] Naval Res Lab, Monterey, CA 93940 USA</t>
  </si>
  <si>
    <t>United States Department of Defense; United States Navy; Naval Research Laboratory</t>
  </si>
  <si>
    <t>Jiang, QF (corresponding author), Naval Res Lab, 7 Grace Hopper Ave, Monterey, CA 93940 USA.</t>
  </si>
  <si>
    <t>jiang@nrlmry.navy.mil</t>
  </si>
  <si>
    <t>Chief of Naval Research through the NRL Base Program [PE 0601153N]</t>
  </si>
  <si>
    <t>Chief of Naval Research through the NRL Base Program</t>
  </si>
  <si>
    <t>This research is supported by the Chief of Naval Research through the NRL Base Program, PE 0601153N. The authors thank Dr. Pulido and an anonymous reviewer for their helpful comments.</t>
  </si>
  <si>
    <t>10.1175/JAS-D-14-0035.1</t>
  </si>
  <si>
    <t>AS4BS</t>
  </si>
  <si>
    <t>WOS:000344219100017</t>
  </si>
  <si>
    <t>Sochting, U; Garrido-Benavent, I; Seppelt, R; Castello, M; Pérez-Ortega, S; Murillo, AD; Sancho, LG; Frödén, P; Arup, U</t>
  </si>
  <si>
    <t>Sochting, Ulrik; Garrido-Benavent, Isaac; Seppelt, Rod; Castello, Miris; Perez-Ortega, Sergio; de los Rios Murillo, Asuncion; Garcia Sancho, Leopoldo; Froden, Patrik; Arup, Ulf</t>
  </si>
  <si>
    <t>Charcotiana and Amundsenia, two new genera in Teloschistaceae (lichenized Ascomycota, subfamily Xanthorioideae) hosting two new species from continental Antarctica, and Austroplaca frigida, a new name for a continental Antarctic species</t>
  </si>
  <si>
    <t>LICHENOLOGIST</t>
  </si>
  <si>
    <t>Amundsenia approximata; Amundsenia austrocontinentalis; bipolar distribution; Caloplaca approximata; Caloplaca frigida; Charcotiana antarctica; ITS; lichens; molecular phylogeny</t>
  </si>
  <si>
    <t>PCR PRIMERS; CALOPLACA; AMPLIFICATION; TAXONOMY; REGION; FLORA; GENUS; RDNA</t>
  </si>
  <si>
    <t>Based on a combined three locus analysis two new genera, Charcotiana and Amundsenia, are proposed in the lichen family Teloschistaceae, subfamily Xanthorioideae. Charcotiana includes the new species C. antarctica, which is known only from continental Antarctica. The bipolar genus Amundsenia includes the new species A. austrocontinentalis, which is also known only from continental Antarctica, and the Arctic species Caloplaca approximata which is here combined into the new genus. The two new genera are phylogenetically distinct, but poor in morphological characters; the new species consist mainly of minute apothecia in cracks of rocks located in the climatically harshest regions of the Antarctic. They are somewhat similar to another continental Antarctic species, Austroplaca frigida, which is described as a new name based on the illegitimate name Caloplaca frigida Sochting. The distribution of the four species is mapped.</t>
  </si>
  <si>
    <t>[Sochting, Ulrik] Univ Copenhagen, Dept Biol, Sect Ecol &amp; Evolut, DK-2100 Copenhagen, Denmark; [Garrido-Benavent, Isaac; Perez-Ortega, Sergio; de los Rios Murillo, Asuncion] Museo Nacl Ciencias Nat CSIC, Dept Biogeoquim &amp; Ecol Microbiana, Madrid, Spain; [Seppelt, Rod] UTAS LPO, Tasmanian Herbarium, Sandy Bay, Tasmania 7005, Australia; [Castello, Miris] Univ Trieste, Dept Life Sci, I-34127 Trieste, Italy; [Garcia Sancho, Leopoldo] Univ Complutense Madrid, Dept Biol Vegetal 2, Madrid 28040, Spain; [Froden, Patrik; Arup, Ulf] Lund Univ, Bot Museum, SE-22100 Lund, Sweden</t>
  </si>
  <si>
    <t>University of Copenhagen; Consejo Superior de Investigaciones Cientificas (CSIC); CSIC - Museo Nacional de Ciencias Naturales (MNCN); University of Tasmania; University of Trieste; Complutense University of Madrid; Lund University</t>
  </si>
  <si>
    <t>Sochting, U (corresponding author), Univ Copenhagen, Dept Biol, Sect Ecol &amp; Evolut, Univ Pk 15, DK-2100 Copenhagen, Denmark.</t>
  </si>
  <si>
    <t>ulriks@bio.ku.dk</t>
  </si>
  <si>
    <t>Garrido-Benavent, Isaac/AAA-1982-2020; de los Rios, Asuncion/L-3694-2014; Sochting, Ulrik/M-2886-2014; SANCHO, LEOPOLDO/G-9120-2015; Perez-Ortega, Sergio/G-1257-2016</t>
  </si>
  <si>
    <t>Garrido-Benavent, Isaac/0000-0002-5230-225X; de los Rios, Asuncion/0000-0002-0266-3516; Sochting, Ulrik/0000-0001-7122-9425; CASTELLO, Miris/0000-0002-5081-0365; SANCHO, LEOPOLDO/0000-0002-4751-7475; Perez-Ortega, Sergio/0000-0002-5411-3698</t>
  </si>
  <si>
    <t>Carlsberg Foundation [2008_01_0645]; SYNTHESYS scholarship [DK-TAF-3064]; European Community Research Infrastructure Action; Spanish Economy and Competitiveness Ministry [CTM2012-38222-C02-01/02, FPU AP2012-3556]; New Zealand Foundation for Research, Science and Technology (FRST); University of Waikato Vice Chancellor's Fund; Department of Biological Sciences, University of Waikato</t>
  </si>
  <si>
    <t>Carlsberg Foundation(Carlsberg Foundation); SYNTHESYS scholarship; European Community Research Infrastructure Action; Spanish Economy and Competitiveness Ministry(Spanish Government); New Zealand Foundation for Research, Science and Technology (FRST)(New Zealand Foundation for Research, Science and Technology); University of Waikato Vice Chancellor's Fund; Department of Biological Sciences, University of Waikato</t>
  </si>
  <si>
    <t>Lisbeth Knudsen is thanked for skilled assistance in the molecular and HPLC laboratories and Bjorn Hermansen for production of the distribution maps. Helen Peat, British Antarctic Survey, Cambridge, is thanked for the loan of specimens and Teuvo Ahti, Helsinki, for nomenclatural advice. This work was made possible due to a Carlsberg Foundation grant (2008_01_0645) to the first author and a SYNTHESYS scholarship to the second author (DK-TAF-3064), which is financed by the European Community Research Infrastructure Action (Project http://www.synthesys.info/). The project was also supported by the Spanish Economy and Competitiveness Ministry grants CTM2012-38222-C02-01/02 and FPU AP2012-3556. We are also grateful to the New Zealand Antarctic Program and the University of Waikato Antarctic Research Program, and to the Italian Antarctic Research Programme (PNRA) and the National Antarctic Museum (MNA). The New Zealand Foundation for Research, Science and Technology (FRST), the University of Waikato Vice Chancellor's Fund, and the Department of Biological Sciences, University of Waikato also provided financial support.</t>
  </si>
  <si>
    <t>0024-2829</t>
  </si>
  <si>
    <t>1096-1135</t>
  </si>
  <si>
    <t>Lichenologist</t>
  </si>
  <si>
    <t>10.1017/S0024282914000395</t>
  </si>
  <si>
    <t>Plant Sciences; Mycology</t>
  </si>
  <si>
    <t>AS5MO</t>
  </si>
  <si>
    <t>WOS:000344315100004</t>
  </si>
  <si>
    <t>Aran, M; Smal, C; Pellizza, L; Gallo, M; Otero, LH; Klinke, S; Goldbaum, FA; Ithurralde, ER; Bercovich, A; Mac Cormack, WP; Turjanski, AG; Cicero, DO</t>
  </si>
  <si>
    <t>Aran, Martin; Smal, Clara; Pellizza, Leonardo; Gallo, Mariana; Otero, Lisandro H.; Klinke, Sebastian; Goldbaum, Fernando A.; Ithurralde, Esteban R.; Bercovich, Andres; Mac Cormack, Walter P.; Turjanski, Adrian G.; Cicero, Daniel O.</t>
  </si>
  <si>
    <t>Solution and crystal structure of BA42, a protein from the Antarctic bacterium Bizionia argentinensis comprised of a stand-alone TPM domain</t>
  </si>
  <si>
    <t>PROTEINS-STRUCTURE FUNCTION AND BIOINFORMATICS</t>
  </si>
  <si>
    <t>structural genomics; Antarctic bacteria; Bizionia argentinensis; BA42; protein structure; nuclear magnetic resonance; X-ray crystallography</t>
  </si>
  <si>
    <t>PSYCHROPHILIC BACTERIA; BACKBONE DYNAMICS; GLOBULAR-PROTEINS; DIPOLAR COUPLINGS; NMR-SPECTROSCOPY; THYLAKOID LUMEN; LIGAND-BINDING; ACTIVE-SITE; SP-NOV.; N-15</t>
  </si>
  <si>
    <t>The structure of the BA42 protein belonging to the Antarctic flavobacterium Bizionia argentinensis was determined by nuclear magnetic resonance and X-ray crystallography. This is the first structure of a member of the PF04536 family comprised of a stand-alone TPM domain. The structure reveals a new topological variant of the four -strands constituting the central -sheet of the architecture and a double metal binding site stabilizing a pair of crossing loops, not observed in previous structures of proteins belonging to this family. BA42 shows differences in structure and dynamics in the presence or absence of bound metals. The affinity for divalent metal ions is close to that observed in proteins that modulate their activity as a function of metal concentration, anticipating a possible role for BA42. Proteins 2014; 82:3062-3078. (c) 2014 Wiley Periodicals, Inc.</t>
  </si>
  <si>
    <t>[Aran, Martin; Smal, Clara; Pellizza, Leonardo; Gallo, Mariana; Otero, Lisandro H.; Klinke, Sebastian; Goldbaum, Fernando A.] Fdn Inst Leloir, IIBBA CONICET, Buenos Aires, DF, Argentina; [Otero, Lisandro H.; Klinke, Sebastian; Goldbaum, Fernando A.] Plataforma Argentina Biol Estructural &amp; Metab PLA, Buenos Aires, DF, Argentina; [Ithurralde, Esteban R.; Turjanski, Adrian G.] Univ Buenos Aires, Fac Ciencias Exactas &amp; Nat, Dept Quim Biol, Buenos Aires, DF, Argentina; [Bercovich, Andres] Biosidus SA, Buenos Aires, DF, Argentina; [Mac Cormack, Walter P.] Inst Antartico Argentino, Buenos Aires, DF, Argentina; [Cicero, Daniel O.] Univ Roma Tor Vergata, Dipartimento Sci &amp; Tecnol Chim, Rome, Italy</t>
  </si>
  <si>
    <t>Leloir Institute; Consejo Nacional de Investigaciones Cientificas y Tecnicas (CONICET); University of Buenos Aires; Instituto Antartico Argentino; University of Rome Tor Vergata</t>
  </si>
  <si>
    <t>Cicero, DO (corresponding author), Via Ric Sci SNC, I-00133 Rome, Italy.</t>
  </si>
  <si>
    <t>cicero@scienze.uniroma2.it</t>
  </si>
  <si>
    <t>Ithuralde, Raul/AAU-5092-2020; Cicero, Daniel/AAV-5203-2021; Aran, Martin/N-2095-2019; Filho, Fernando C/Q-8021-2018; Gallo, Mariana/HKO-1193-2023; Klinke, Sebastian/N-6174-2018</t>
  </si>
  <si>
    <t>Ithuralde, Raul/0000-0002-9757-0530; Gallo, Mariana/0000-0002-0022-4499; Klinke, Sebastian/0000-0002-8777-0870; Turjanski, Adrian/0000-0003-2190-137X; Goldbaum, Fernando/0000-0001-6235-3002; Otero, Lisandro/0000-0002-5448-5483; Mac Cormack, Walter/0000-0002-5280-5463</t>
  </si>
  <si>
    <t>Argentinian Research Council (CONICET); Agencia Nacional de Promocion de la Ciencia y la Tecnologia [0006]</t>
  </si>
  <si>
    <t>Argentinian Research Council (CONICET)(Consejo Nacional de Investigaciones Cientificas y Tecnicas (CONICET)); Agencia Nacional de Promocion de la Ciencia y la Tecnologia(ANPCyT)</t>
  </si>
  <si>
    <t>Grant sponsor: Argentinian Research Council (CONICET); Grant sponsor: Agencia Nacional de Promocion de la Ciencia y la Tecnologia; Grant number: PID-2010 No 0006.</t>
  </si>
  <si>
    <t>0887-3585</t>
  </si>
  <si>
    <t>1097-0134</t>
  </si>
  <si>
    <t>PROTEINS</t>
  </si>
  <si>
    <t>Proteins</t>
  </si>
  <si>
    <t>10.1002/prot.24667</t>
  </si>
  <si>
    <t>AS6MT</t>
  </si>
  <si>
    <t>WOS:000344378300017</t>
  </si>
  <si>
    <t>Kim, MK; An, YJ; Song, JM; Jeong, CS; Kang, MH; Kwon, KK; Lee, YH; Cha, SS</t>
  </si>
  <si>
    <t>Kim, Min-Kyu; An, Young Jun; Song, Jung Min; Jeong, Chang-Sook; Kang, Mee Hye; Kwon, Kae Kyoung; Lee, Youn-Ho; Cha, Sun-Shin</t>
  </si>
  <si>
    <t>Structure-based investigation into the functional roles of the extended loop and substrate-recognition sites in an endo-β-1,4-D-mannanase from the Antarctic springtail, Cryptopygus antarcticus</t>
  </si>
  <si>
    <t>beta-mannanase; CaMan; GH5; mannan; cold-adaptation; Cryptopygus antarcticus</t>
  </si>
  <si>
    <t>COLD-ACTIVE BETA-1,4-D-MANNANASE; CRYSTAL-STRUCTURE; BETA-MANNANASE; ALPHA-AMYLASE; DOMAIN-C; SPECIFICITY; PROTEINS; RESIDUES; COMPLEX; BINDING</t>
  </si>
  <si>
    <t>Endo-beta-1,4-d-mannanase from the Antarctic springtail, Cryptopygus antarcticus (CaMan), is a cold-adapted -mannanase that has the lowest optimum temperature (30 degrees C) of all known -mannanases. Here, we report the apo- and mannopentaose (M5) complex structures of CaMan. Structural comparison of CaMan with other -mannanases from the multicellular animals reveals that CaMan has an extended loop that alters topography of the active site. Structural and mutational analyses suggest that this extended loop is linked to the cold-adapted enzymatic activity. From the CaMan-M5 complex structure, we defined the mannose-recognition subsites and observed unreported M5 binding site on the surface of CaMan. Proteins 2014; 82:3217-3223. (c) 2014 Wiley Periodicals, Inc.</t>
  </si>
  <si>
    <t>[Kim, Min-Kyu; An, Young Jun; Jeong, Chang-Sook; Kwon, Kae Kyoung; Cha, Sun-Shin] Korea Inst Ocean Sci &amp; Technol, Marine Biotechnol Res Div, Ansan 426744, South Korea; [Song, Jung Min; Kang, Mee Hye; Lee, Youn-Ho] Korea Inst Ocean Sci &amp; Technol, Marine Ecosyst Res Div, Ansan 426744, South Korea; [Cha, Sun-Shin] Korea Maritime &amp; Ocean Univ, Ocean Sci &amp; Technol Sch, Dept Convergence Study Ocean Sci &amp; Technol, Pusan 606791, South Korea; [Cha, Sun-Shin] Univ Sci &amp; Technol, Dept Marine Biotechnol, Taejon 305333, South Korea</t>
  </si>
  <si>
    <t>Korea Institute of Ocean Science &amp; Technology (KIOST); Korea Institute of Ocean Science &amp; Technology (KIOST); Korea Maritime &amp; Ocean University</t>
  </si>
  <si>
    <t>Cha, SS (corresponding author), Korea Inst Ocean Sci &amp; Technol, Ansan 426744, South Korea.</t>
  </si>
  <si>
    <t>chajung@kiost.ac</t>
  </si>
  <si>
    <t>Kim, Min-Kyu/I-7360-2013; Shin, Sun/B-7370-2009</t>
  </si>
  <si>
    <t>Kim, Min-Kyu/0000-0001-9594-1396; Cha, Sun-Shin/0000-0002-0913-8706</t>
  </si>
  <si>
    <t>National Research Foundation of Korea [NRF-2012R1A2A2A02005978]; CAP through KRCF; KIST; KIOST [PE99272]; Development of Biohydrogen Producing Technology Using Hyperthermophilic Archaea program of MLTM; KIOST in-house programs [PE98933, PE99212]</t>
  </si>
  <si>
    <t>National Research Foundation of Korea(National Research Foundation of Korea); CAP through KRCF; KIST(Korea Institute of Science &amp; Technology Information (KISTI)); KIOST; Development of Biohydrogen Producing Technology Using Hyperthermophilic Archaea program of MLTM; KIOST in-house programs</t>
  </si>
  <si>
    <t>Grant sponsor: National Research Foundation of Korea; Grant number: NRF-2012R1A2A2A02005978; Grant sponsor: CAP through KRCF, KIST, and KIOST; Grant number: PE99272; Grant sponsor: Development of Biohydrogen Producing Technology Using Hyperthermophilic Archaea program of MLTM; Grant sponsor: KIOST in-house programs; Grant number: PE98933, PE99212.</t>
  </si>
  <si>
    <t>10.1002/prot.24655</t>
  </si>
  <si>
    <t>WOS:000344378300031</t>
  </si>
  <si>
    <t>Briggs, RD; Pollard, D; Tarasov, L</t>
  </si>
  <si>
    <t>Briggs, Robert D.; Pollard, David; Tarasov, Lev</t>
  </si>
  <si>
    <t>A data-constrained large ensemble analysis of Antarctic evolution since the Eemian</t>
  </si>
  <si>
    <t>Model evaluation; Observational data; Ice sheet model; Antarctica; Deglaciation</t>
  </si>
  <si>
    <t>LAST GLACIAL MAXIMUM; WEDDELL SEA EMBAYMENT; CONTINENTAL-MARGIN SEDIMENTS; ICE-SHEET COLLAPSE; DEGLACIAL HISTORY; PLEISTOCENE COLLAPSE; EAST ANTARCTICA; RETREAT HISTORY; LEVEL RECORD; ROSS SEA</t>
  </si>
  <si>
    <t>Reconstructing the historical behaviour of the Antarctic Ice Sheet is essential for understanding and predicting climatic interactions, ice sheet sensitivities, and sea level contributions. Furthermore, to interpret such reconstructions with any degree of confidence, meaningful uncertainty estimates are required. Working toward this goal, this article presents results from a large-ensemble data-constrained study of Antarctic evolution over the Last Glacial cycle. Ice sheet chronologies have been generated using a 3-D glacial systems model that includes sheet/stream/shelf flow; a parametrized basal drag coefficient (accounting for sub-grid topographic roughness, sediment likelihood, and systematic model-to-observation thickness misfits); a sub-grid grounding-line flux parametrization; a visco-elastic bedrock response component; parametrized climate forcing; separate shelf and tidewater calving treatments; and a physically-motivated, empirically derived, subshelf melt component. There are 31 ensemble parameters to capture uncertainties in the glacial cycle climate, mass-balance processes, and ice dynamics. Once generated, the ensemble of model runs is constrained using a suite of observational data (including constraints on relative sea level, past ice thickness and grounding line retreat data-points, as well as present-day ice volumes and configuration) and an evaluation methodology that produces a misfit-to-observations score for each run. Assuming variants of a Gaussian error model, the scores are used to generate probability distributions for the past evolution of the ice sheet. In our ensemble-based analysis the Last Glacial Maximum (LGM) of Antarctic ice volume occurs at similar to 25-24 ka. The LGM ice volume excess relative to present-day is likely between 5.6 and 14.3 m equivalent sea level (mESL), and with less confidence &gt;10 mESL. There is little change in the grounded ice volume from 24 ka until 17-16 ka at which time widespread deglaciation commences. The Ross and Weddell Sea sectors are the largest sources of ice mass loss. The major period of grounding line retreat in the Weddell Sea sector, resulting in the present-day Ronne-Filchner shelf system, occurs after 10 ka; the grounding line in the Ross Sea sector start its major retreat phase after 12 ka. There is no significant contribution (&lt;1.8 mESL) to meltwater pulse 1a. During the Eemian, the modelled Antarctic Ice Sheet has a minimal ice volume at 114 ka contributing similar to 2 mESL relative to present-day. The mass loss is principally due to a major retreat of the grounding line in the Siple Coast sector of the Ross Sea. We present standard deviation plots of the ensemble results for present day and at the LGM. These plots highlight geographic areas that would most benefit from additional constraint and therefore offer priorities and guidance for future field campaigns. (C) 2014 Elsevier Ltd. All rights reserved.</t>
  </si>
  <si>
    <t>[Briggs, Robert D.; Tarasov, Lev] Mem Univ Newfoundland, Dept Phys &amp; Phys Oceanog, St John, NF A1B 3X7, Canada; [Pollard, David] Penn State Univ, Earth &amp; Environm Syst Inst, University Pk, PA 16802 USA</t>
  </si>
  <si>
    <t>Memorial University Newfoundland; Pennsylvania Commonwealth System of Higher Education (PCSHE); Pennsylvania State University; Pennsylvania State University - University Park</t>
  </si>
  <si>
    <t>Tarasov, L (corresponding author), Mem Univ Newfoundland, Dept Phys &amp; Phys Oceanog, St John, NF A1B 3X7, Canada.</t>
  </si>
  <si>
    <t>lev@mun.ca</t>
  </si>
  <si>
    <t>Briggs, Robert/0009-0006-3808-5750</t>
  </si>
  <si>
    <t>Canadian Foundation for Innovation [203402]; National Science and Engineering Research Council [341699-07]; ACEnet</t>
  </si>
  <si>
    <t>Canadian Foundation for Innovation(Canada Foundation for Innovation); National Science and Engineering Research Council(Natural Sciences and Engineering Research Council of Canada (NSERC)); ACEnet</t>
  </si>
  <si>
    <t>Support provided by Canadian Foundation for Innovation (203402), the National Science and Engineering Research Council (341699-07), and ACEnet. Tarasov holds a Canada Research Chair. This paper is a contribution to the Meltwater Ocean Cryosphere Atmospheric response network (MOCA) and has benefited from discussions within network workshops.</t>
  </si>
  <si>
    <t>10.1016/j.quascirev.2014.09.003</t>
  </si>
  <si>
    <t>AS3YM</t>
  </si>
  <si>
    <t>WOS:000344211000008</t>
  </si>
  <si>
    <t>Nuntiyakul, W; Evenson, P; Ruffolo, D; Sáiz, A; Bieber, JW; Clem, J; Pyle, R; Duldig, ML; Humble, JE</t>
  </si>
  <si>
    <t>Nuntiyakul, W.; Evenson, P.; Ruffolo, D.; Saiz, A.; Bieber, J. W.; Clem, J.; Pyle, R.; Duldig, M. L.; Humble, J. E.</t>
  </si>
  <si>
    <t>LATITUDE SURVEY INVESTIGATION OF GALACTIC COSMIC RAY SOLAR MODULATION DURING 1994-2007</t>
  </si>
  <si>
    <t>ASTROPHYSICAL JOURNAL</t>
  </si>
  <si>
    <t>cosmic rays; solar-terrestrial relations</t>
  </si>
  <si>
    <t>DEPENDENCE; DRIFT; TRANSPORT; RIGIDITY; CYCLES; FIELD; SIGN</t>
  </si>
  <si>
    <t>The Galactic cosmic ray spectrum exhibits subtle variations over the 22 yr solar magnetic cycle in addition to the more dramatic variations over the 11 yr sunspot cycle. Neutron monitors are large ground-based detectors that provide accurate measurements of variations in the cosmic ray flux at the top of the atmosphere above the detector. At any given location the magnetic field of the Earth excludes particles below a well-defined rigidity (momentum per unit charge) known as the cutoff rigidity, which can be accurately calculated using detailed models of the geomagnetic field. By carrying a neutron monitor to different locations, e.g., on a ship, the Earth itself serves as a magnet spectrometer. By repeating such latitude surveys with identical equipment, a sensitive measurement of changes in the spectrum can be made. In this work, we analyze data from the 1994 through 2007 series of latitude surveys conducted by the Bartol Research Institute, the University of Tasmania, and the Australian Antarctic Division. We confirm the curious crossover in spectra measured near solar minima during epochs of opposite solar magnetic polarity, and show that it is directly related to a sudden change in the spectral behavior of solar modulation at the time of the polarity reversal, as revealed from contemporaneous variations in the survey data and a fixed station. We suggest that the spectral change and crossover result from the interaction of effects due to gradient/curvature drifts with a systematic change in the interplanetary diffusion coefficient caused by turbulent magnetic helicity.</t>
  </si>
  <si>
    <t>[Nuntiyakul, W.; Ruffolo, D.; Saiz, A.] Mahidol Univ, Fac Sci, Dept Phys, Bangkok 10400, Thailand; [Nuntiyakul, W.; Ruffolo, D.; Saiz, A.] Minist Educ, CHE, Thailand Ctr Excellence Phys, Bangkok 10400, Thailand; [Nuntiyakul, W.] Chandrakasem Rajabhat Univ, Fac Sci, Bangkok 10900, Thailand; [Evenson, P.; Bieber, J. W.; Clem, J.; Pyle, R.] Univ Delaware, Bartol Res Inst, Newark, DE 19716 USA; [Evenson, P.; Bieber, J. W.; Clem, J.; Pyle, R.] Univ Delaware, Dept Phys &amp; Astron, Newark, DE 19716 USA; [Duldig, M. L.; Humble, J. E.] Univ Tasmania, Sch Phys Sci, Hobart, Tas 7001, Australia</t>
  </si>
  <si>
    <t>Mahidol University; Chandrakasem Rajabhat University; University of Delaware; University of Delaware; University of Tasmania</t>
  </si>
  <si>
    <t>Nuntiyakul, W (corresponding author), Mahidol Univ, Fac Sci, Dept Phys, Bangkok 10400, Thailand.</t>
  </si>
  <si>
    <t>w.nuntiyakul@gmail.com; evenson@udel.edu; david.ruf@mahidol.ac.th; alejandro.sai@mahidol.ac.th; jwbieber@bartol.udel.edu; clem@bartol.udel.edu; pyle@bartol.udel.edu; Marc.Duldig@utas.edu.au; John.Humble@utas.edu.au</t>
  </si>
  <si>
    <t>Sáiz, Alejandro/F-7367-2010</t>
  </si>
  <si>
    <t>Sáiz, Alejandro/0000-0001-7771-4341; Humble, John/0000-0002-4698-1671; Duldig, Marcus/0000-0001-7463-8267; Ruffolo, David/0000-0003-3414-9666; Nuntiyakul, Waraporn/0000-0002-1664-5845</t>
  </si>
  <si>
    <t>Thailand Research Fund [PHD/0136/2552, BRG5580001]; United States National Science Foundation [OPP-0838839, PLR-1245939]; Australian Antarctic Division; Office of Polar Programs (OPP); Directorate For Geosciences [1245939, 0838839] Funding Source: National Science Foundation</t>
  </si>
  <si>
    <t>Thailand Research Fund(Thailand Research Fund (TRF)); United States National Science Foundation(National Science Foundation (NSF)); Australian Antarctic Division; Office of Polar Programs (OPP); Directorate For Geosciences(National Science Foundation (NSF)NSF - Directorate for Geosciences (GEO))</t>
  </si>
  <si>
    <t>Supported in part by the Thailand Research Fund via Royal Golden Jubilee fellowship PHD/0136/2552 and Basic Research Grant BRG5580001, by the United States National Science Foundation via awards OPP-0838839, PLR-1245939 and their predecessors, and by the Australian Antarctic Division. We thank the officers and crew of the USCG icebreakers Polar Star and Polar Sea for their assistance in conducting the surveys. We also thank Leonard Shulman, James Roth and Keith Bolton for their technical assistance in preparing and maintaining the TasVan. We are grateful to the anonymous referee for thoughtful comments that helped us to develop a clearer presentation of the results.</t>
  </si>
  <si>
    <t>0004-637X</t>
  </si>
  <si>
    <t>1538-4357</t>
  </si>
  <si>
    <t>ASTROPHYS J</t>
  </si>
  <si>
    <t>Astrophys. J.</t>
  </si>
  <si>
    <t>10.1088/0004-637X/795/1/11</t>
  </si>
  <si>
    <t>AR8YN</t>
  </si>
  <si>
    <t>WOS:000343857300011</t>
  </si>
  <si>
    <t>Ciesielski, S; Górniak, D; Mozejko, J; Swiatecki, A; Grzesiak, J; Zdanowski, M</t>
  </si>
  <si>
    <t>Ciesielski, Slawomir; Gorniak, Dorota; Mozejko, Justyna; Swiatecki, Aleksander; Grzesiak, Jakub; Zdanowski, Marek</t>
  </si>
  <si>
    <t>The Diversity of Bacteria Isolated from Antarctic Freshwater Reservoirs Possessing the Ability to Produce Polyhydroxyalkanoates</t>
  </si>
  <si>
    <t>CURRENT MICROBIOLOGY</t>
  </si>
  <si>
    <t>LOW-TEMPERATURE; SYNTHASES; IDENTIFICATION; DNA</t>
  </si>
  <si>
    <t>The diversity of polyhydroxyalkanoates-producing bacteria in freshwater reservoirs in the Ecology Glacier foreland, Antarctica, was examined by a cultivation-dependent method. Isolated strains were analyzed phylogenetically by 16S rRNA gene sequencing, and classified as members of Alpha-, Beta-, or Gammaproteobacteria classes. Polymerase chain reaction was used to detect PHA synthase genes. Potential polyhydroxyalkanoates (PHAs) producers belonging mainly to Pseudomonas sp., and Janthinobacterium sp. were isolated from all five sampling sites, suggesting that PHA synthesis is a common bacterial feature at pioneer sites. All Pseudomonas strains had the genetic potential to synthesize medium-chain-length PHAs, whereas some isolated Janthinobacterium strains might produce short-chain-length PHAs or medium-chain-length PHAs. It is the first report revealing that Janthinobacterium species could have the potential to produce medium-chain-length PHAs.</t>
  </si>
  <si>
    <t>[Ciesielski, Slawomir] Univ Warmia &amp; Mazury, Dept Environm Biotechnol, PL-10718 Olsztyn, Poland; [Gorniak, Dorota; Mozejko, Justyna; Swiatecki, Aleksander] Univ Warmia &amp; Mazury, Dept Microbiol, PL-10719 Olsztyn, Poland; [Grzesiak, Jakub; Zdanowski, Marek] Polish Acad Sci, Inst Biochem &amp; Biophys, Dept Antarct Biol, PL-02141 Warsaw, Poland</t>
  </si>
  <si>
    <t>University of Warmia &amp; Mazury; University of Warmia &amp; Mazury; Polish Academy of Sciences; Institute of Biochemistry &amp; Biophysics - Polish Academy of Sciences</t>
  </si>
  <si>
    <t>Ciesielski, S (corresponding author), Univ Warmia &amp; Mazury, Dept Environm Biotechnol, Ul Sloneczna 45G, PL-10718 Olsztyn, Poland.</t>
  </si>
  <si>
    <t>slavcm@uwm.edu.pl</t>
  </si>
  <si>
    <t>Ciesielski, Slawomir/HJI-2080-2023; Grzesiak, Jakub/ABD-5209-2020; Ciesielski, Slawomir/B-4569-2013; Gorniak, Dorota/X-8468-2018</t>
  </si>
  <si>
    <t>Swiatecki, Aleksander/0000-0002-5219-7795; Grzesiak, Jakub/0000-0001-5972-2356; Ciesielski, Slawomir/0000-0002-9084-9782; Gorniak, Dorota/0000-0001-6567-1057; Mozejko-Ciesielska, Justyna/0000-0002-1002-1214</t>
  </si>
  <si>
    <t>Polish National Center for Science [N N304106940]</t>
  </si>
  <si>
    <t>Polish National Center for Science</t>
  </si>
  <si>
    <t>The study was financed under project no. N N304106940 of the Polish National Center for Science.</t>
  </si>
  <si>
    <t>0343-8651</t>
  </si>
  <si>
    <t>1432-0991</t>
  </si>
  <si>
    <t>CURR MICROBIOL</t>
  </si>
  <si>
    <t>Curr. Microbiol.</t>
  </si>
  <si>
    <t>10.1007/s00284-014-0629-1</t>
  </si>
  <si>
    <t>AR9RQ</t>
  </si>
  <si>
    <t>WOS:000343913500002</t>
  </si>
  <si>
    <t>Grigorov, I; Rigual-Hernandez, AS; Honjo, S; Kemp, AES; Armand, LK</t>
  </si>
  <si>
    <t>Grigorov, Ivo; Rigual-Hernandez, Andres S.; Honjo, Susumu; Kemp, Alan E. S.; Armand, Leanne K.</t>
  </si>
  <si>
    <t>Settling fluxes of diatoms to the interior of the Antarctic circumpolar current along 170 °W</t>
  </si>
  <si>
    <t>Diatom flux; Particulate flux; Sediment traps; Marine snow; Ross sea; Southwest Pacific</t>
  </si>
  <si>
    <t>PARTICULATE ORGANIC-CARBON; LARGE OCEANIC DIATOMS; POLAR FRONT REGION; SEASONAL ICE-ZONE; SOUTHERN-OCEAN; PACIFIC SECTOR; BIOGENIC SILICA; SEDIMENT TRAPS; PARTICLE-FLUX; BIOLOGICAL PUMP</t>
  </si>
  <si>
    <t>An array of four sediment trap moorings recorded the particulate flux across the Antarctic Circumpolar Current (ACC) at 170 degrees W. between November 1996 and January 1998, as part of the US JGOFS-Antarctic Environment and Southern Ocean Process Study (AESOPS) program. The trap locations represent sampling within the Polar Frontal Zone, the Antarctic Polar Front, the Antarctic Zone and the Southern Antarctic Zone. Here we report observations from 1000 m below the sea-surface compared to seafloor and surface water distributions. Sub-sample splits from each trap were obtained and total diatom flux and species composition were determined. The diatom fluxes were quantified using both a dilution and a 'spike' method to allow for the rapid repeatability of measurements. Diatom flux was found to be highly seasonal across the ACC particularly at higher latitudes. Marine snow aggregates of intact diatom cells and chains were the major components of the biogenic flux. Siliceous particle size was noted to decrease with increasing latitude, which could be aligned with a shift of the diatom assemblage to small-size species/sea-ice affiliated species. A 'double-structured' diatom flux was recorded at the location of the Antarctic Polar Front trap, with a shift in the diatom assemblage from larger to smaller diatoms in the second flux episode. The sediment trap assemblage shows deviations from the surface water assemblage, while surface sediment samples indicate that significant dissolution occurs after 1000 m and at the sediment-water interface. Estimation of diatom biovolumes across the ACC shows that large diatoms have the potential to greatly impact biogenic fluxes to the ocean interior despite their low fluxes. Small species of the genus Fragilanopsis could potentially export as much C, as Fragilariopsis keiguelensis near the retreating ice edge. However, their low abundance in the surface sediments also suggests that these diatoms are a shallow export species. (C) 2014 Elsevier Ltd. All rights reserved.</t>
  </si>
  <si>
    <t>[Grigorov, Ivo; Kemp, Alan E. S.] Univ Southampton, Natl Oceanog Ctr, Southampton SO14 3ZH, Hants, England; [Rigual-Hernandez, Andres S.; Armand, Leanne K.] Macquarie Univ, Dept Biol Sci, N Ryde, NSW 2109, Australia; [Honjo, Susumu] Woods Hole Oceanog Inst, Woods Hole, MA 02543 USA</t>
  </si>
  <si>
    <t>University of Southampton; NERC National Oceanography Centre; Macquarie University; Woods Hole Oceanographic Institution</t>
  </si>
  <si>
    <t>Grigorov, I (corresponding author), Univ Southampton, Natl Oceanog Ctr, Southampton SO14 3ZH, Hants, England.</t>
  </si>
  <si>
    <t>andres.rigualhernandez@mq.edu.au</t>
  </si>
  <si>
    <t>Grigorov, Ivo/H-4472-2019; Armand, Leanne K/C-9004-2009; Rigual-Hernández, Andrés/E-2041-2018; Kemp, Alan/AAU-9882-2021</t>
  </si>
  <si>
    <t>Grigorov, Ivo/0000-0001-6264-802X; Rigual-Hernández, Andrés/0000-0003-1521-3896; Armand, Leanne/0000-0003-3995-308X</t>
  </si>
  <si>
    <t>NERC [GST 022545]; Australian Government's Australian Antarctic Science; National Science Foundation [OPP-9530300]</t>
  </si>
  <si>
    <t>NERC(UK Research &amp; Innovation (UKRI)Natural Environment Research Council (NERC)); Australian Government's Australian Antarctic Science(Australian Government); National Science Foundation(National Science Foundation (NSF))</t>
  </si>
  <si>
    <t>The authors would like to thank the crew of the Ice-breaker Research Vessel N.B. Palmer, National Science Foundation. We thank Steve Manganini, WHOI, and Bob Anderson, LDEO, for their help with acquiring the sample aliquots from the USJGOFS-AESOPS array. Thanks are also due to Patricia White, WHOI, for logistic support and Paula McLeod, SOC. Thanks to Bob Collier and colleagues for providing information of the mooring design and current meters. This work was made possible by the SOC-WHOI exchange program (IG), NERC Grant GST 022545 (AK) and the Australian Government's Australian Antarctic Science Grant Program (ARH and LA). Sample collection was supported by National Science Foundation Grant OPP-9530300. Anne-Marie Ballegeer is greatly acknowledged for her comments during the preparation of the manuscript. Constructive reviews from two anonymous reviewers greatly improved the paper.</t>
  </si>
  <si>
    <t>10.1016/j.dsr.2014.07.008</t>
  </si>
  <si>
    <t>AR8WX</t>
  </si>
  <si>
    <t>WOS:000343853200001</t>
  </si>
  <si>
    <t>Cass, CJ; Daly, KL; Wakeham, SG</t>
  </si>
  <si>
    <t>Cass, Christine J.; Daly, Kendra L.; Wakeham, Stuart G.</t>
  </si>
  <si>
    <t>Assessment of storage lipid accumulation patterns in eucalanoid copepods from the eastern tropical Pacific Ocean</t>
  </si>
  <si>
    <t>Copepods; Tropical Pacific Ocean; Eucalanidae; Wax esters; Triacylglycerols; Oxygen minimum zone</t>
  </si>
  <si>
    <t>OXYGEN MINIMUM ZONE; FATTY-ACID-COMPOSITION; WAX ESTERS; ANTARCTIC COPEPODS; MARINE COPEPODS; CALANOID COPEPODS; VERTICAL-DISTRIBUTION; HERBIVOROUS COPEPODS; ZOOPLANKTON ECOLOGY; COMMUNITY STRUCTURE</t>
  </si>
  <si>
    <t>Members of the copepod family Eucalanidae are widely distributed throughout the world's oceans and have been noted for their accumulation of storage lipids in high- and low-latitude environments. However, little is known about the lipid composition of eucalanoid copepods in low-latitude environments. The purpose of this study was to examine fatty acid and alcohol profiles in the storage lipids (wax esters and triacylglycerols) of Eucalanus inermis, Rhincalanus rosmfrons, R. nasutus, Pareucalanus attenuatus, and Subeucalanus subtenuis, collected primarily in the eastern tropical north Pacific near the Tehuantepec Bowl and Costa Rica Dome regions, noted for its oxygen minimum zone, during fall 2007 and winter 2008/2009. Adult copepods and particulate material were collected in the upper 50 m and from 200 to 300 m in the upper oxycline. Lipid profiles of particulate matter were generated to help ascertain information on ecological strategies of these species and on differential accumulation of dietary and modified fatty acids in the wax ester and triacylglycerol storage lipid components of these copepods in relation to their vertical distributions around the oxygen minimum zone. Additional data on phospholipid fatty acid and sterol/fatty alcohol fractions were also generated to obtain a comprehensive lipid data set for each sample. Rhincalanus spp. accumulated relatively large amounts of storage lipids (31-80% of dry mass (DM)), while E. inermis had moderate amounts (2-9% DM), and P. attenuatus and S. subtenuis had low quantities of storage lipid (0-1% DM). E. inermis and S. subtenuis primarily accumulated triacylglycerols (&gt;90% of storage lipids), while P. attenuatus and Rhincalanus spp. primarily accumulated wax esters (&gt;84% of storage lipids). Based on previously generated molecular phylogenies of the Eucalanidae family, these results appear to support genetic predisposition as a major factor explaining why a given species accumulates primarily triacylglycerols or wax esters, and also potentially dictating major fatty-acid and alcohol accumulation patterns within the More highly modified wax ester fraction. Comparisons of fatty acid profiles between triacylglycerol and wax ester components in copepods with that in available prey suggested that copepod triacylglycerols were more reflective of dietary fatty acids, while wax esters contained a higher proportion of modified or de nova synthesized forms. Sterols and phospholipid fatty acids were similar between species, confirming high levels of regulation within these components. Similarities between triacylglycerol fatty acid profiles of E. inermis collected in surface waters and at &gt;200 m depth indicate little to no feeding during their ontogenetic migration to deeper, low-oxygen waters. (C) 2014 Elsevier Ltd. All rights reserved.</t>
  </si>
  <si>
    <t>[Cass, Christine J.; Daly, Kendra L.] Univ S Florida, Coll Marine Sci, St Petersburg, FL 33701 USA; [Wakeham, Stuart G.] Skidaway Inst Oceanog, Savannah, GA 31411 USA</t>
  </si>
  <si>
    <t>State University System of Florida; University of South Florida; University System of Georgia; University of Georgia; Skidaway Institute of Oceanography</t>
  </si>
  <si>
    <t>Cass, CJ (corresponding author), Humboldt State Univ, Dept Oceanog, 1 Harpst St, Arcata, CA 95521 USA.</t>
  </si>
  <si>
    <t>christine.cass@humboldt.edu</t>
  </si>
  <si>
    <t>NSF-OCE [0526545, 0550654]; Division Of Ocean Sciences; Directorate For Geosciences [0550654] Funding Source: National Science Foundation; Division Of Ocean Sciences; Directorate For Geosciences [0526545] Funding Source: National Science Foundation</t>
  </si>
  <si>
    <t>NSF-OCE(National Science Foundation (NSF)NSF - Directorate for Geosciences (GEO)); Division Of Ocean Sciences; Directorate For Geosciences(National Science Foundation (NSF)NSF - Directorate for Geosciences (GEO)); Division Of Ocean Sciences; Directorate For Geosciences(National Science Foundation (NSF)NSF - Directorate for Geosciences (GEO))</t>
  </si>
  <si>
    <t>Scientific funding for this project was provided by NSF-OCE #0526545 to K. Daly and NSF-OCE #0550654 to S. Wakeham. The authors would like to thank the Captains and crews of the R/V Knorr, and R/V Seward Johnson. We also would like to acknowledge the assistance of K. Wishner, B. Seibel, B. Olson, A. Maas, S. Habtes, M. Dietz, L Elder, R. Williams, and D. Outram in collection of the copepods used for this study, and H. Close for assistance in PM sampling in 2008. K. Wishner provided unpublished data on copepod distributions (collection under NSF-OCE #0526502 to K. Wishner and B. Seibel). E. Van Vleet assisted in aspects of lipid analyses. We would also like to thank our four anonymous reviewers and D. Steinberg, whose comments substantially improved the manuscript.</t>
  </si>
  <si>
    <t>10.1016/j.dsr.2014.08.001</t>
  </si>
  <si>
    <t>WOS:000343853200011</t>
  </si>
  <si>
    <t>González, MEP; Rodríguez, MPG</t>
  </si>
  <si>
    <t>Perez Gonzalez, Ma E.; Garcia Rodriguez, Ma P.</t>
  </si>
  <si>
    <t>Evolution in sea ice from 1978 to 2012</t>
  </si>
  <si>
    <t>Sea ice; Arctic; Antarctic; 1979-2012</t>
  </si>
  <si>
    <t>TEMPERATURE; VARIABILITY; EXTENTS; TRENDS</t>
  </si>
  <si>
    <t>In this paper, the intra-annual and interannual variability of the sea ice is analysed over the period 1979-2012 from the data and images facilitated by the National Snow and Ice dates Center''. These data are related to the annual average temperature. The annual average of the marine ice surface area (1979-2012) is very similar in both poles, although its temporary evolution is opposed in both hemispheres. In the Arctic Ocean there is an abrupt reduction of the surface area of the ice during this period. As opposed to it, the marine seas surrounding the Antarctic show an increase of the extension of the ice, especially in the last 15 years, with a maximum value in 2012. With respect to the total of the marine ice over the period 1979-2012, there is an overall deficit balance, because the reduction of the Arctic ice is greater than the increase of the Antarctic ice.</t>
  </si>
  <si>
    <t>[Perez Gonzalez, Ma E.; Garcia Rodriguez, Ma P.] Univ Complutense Madrid, Dept Anal Geog Reg &amp; Geog Fis, E-28040 Madrid, Spain</t>
  </si>
  <si>
    <t>Complutense University of Madrid</t>
  </si>
  <si>
    <t>González, MEP (corresponding author), Univ Complutense Madrid, Dept Anal Geog Reg &amp; Geog Fis, C Prof Aranguren S-N, E-28040 Madrid, Spain.</t>
  </si>
  <si>
    <t>meperez@ghis.ucm.es; meperez@ucm.es</t>
  </si>
  <si>
    <t>González, Eugenia Pérez/G-5614-2015</t>
  </si>
  <si>
    <t>González, Eugenia Pérez/0000-0002-9416-5003</t>
  </si>
  <si>
    <t>10.1007/s12665-014-3254-1</t>
  </si>
  <si>
    <t>AR9MR</t>
  </si>
  <si>
    <t>WOS:000343899900019</t>
  </si>
  <si>
    <t>Di Vincenzo, G; Grande, A; Rossetti, F</t>
  </si>
  <si>
    <t>Di Vincenzo, Gianfranco; Grande, Antonietta; Rossetti, Federico</t>
  </si>
  <si>
    <t>Paleozoic siliciclastic rocks from northern Victoria Land (Antarctica): Provenance, timing of deformation, and implications for the Antarctica-Australia connection</t>
  </si>
  <si>
    <t>LACHLAN FOLD BELT; CENTRAL TRANSANTARCTIC MOUNTAINS; LANTERMAN RANGE ANTARCTICA; HIGH-PRESSURE METAMORPHISM; CAMBRIAN KANMANTOO GROUP; ROSS OROGEN; TECTONIC EVOLUTION; PACIFIC MARGIN; ACTIVE-MARGIN; GLACIER AREA</t>
  </si>
  <si>
    <t>Paleozoic sequences exposed along the Transantarctic Mountains in Antarctica and in southeastern Australia are segments of a formerly contiguous accretionary orogen that developed along the eastern margin of Gondwana. The margin underwent amalgamation and eastward accretion in the early Cambrian to Early Ordovician Ross-Delamerian orogen and in the Ordovician to Carboniferous Lachlan orogen. Northern Victoria Land plays a key role in many geodynamic reconstructions because it has long been considered the along-strike continuation of Australia in Antarctica; however, the correlation between lithotectonic units in Antarctica (Wilson, Bowers, and Robertson Bay terranes) and those in southeastern Australia (Glenelg, Grampians-Stavely, and Stawell zones), as well as the presence of Lachlan-aged tectono-metamorphic events in northern Victoria Land, are still uncertain. 40Ar-39Ar laser experiments on detrital and syndeformational white micas from low-grade siliciclastic rocks of northern Victoria Land, in conjunction with mineral-textural analysis and whole-rock geochemical and Nd isotope data, are used to constrain provenance and the timing of deformation, and to assess analogies with correlative structural zones in southeastern Australia. Detrital white micas of the western lithotectonic unit (Wilson terrane) yielded an age pattern dominated by late Cryo genian to Ediacaran ages (650-550 Ma), closely matching those of turbidites from the Australian Kanmantoo Group. Detrital white micas from the easternmost lithotectonic units (Bowers terrane and Robertson Bay terrane) yield indistinguishable age patterns, strikingly in agreement with those available for the western subprovince of the Lachlan orogen in Australia, which are dominated instead by younger ages with a dominant Ross orogen fingerprint (550-480 Ma). Deposition of siliciclastic detritus in the three lithotectonic units most likely occurred synchronously in the early-middle Cambrian, and the different signatures suggest that detritus was supplied from different source areas, with sediment supply from the west-southwest (East African orogen or ice-covered regions of East Antarctica) in the Wilson terrane and from the south (Ross orogen) in the Bowers and Robertson Bay terranes. Results also provide evidence for post-Ross orogen (ca. 462 Ma) contractional tectonics at the boundary between the Bowers and the Robertson Bay terranes, suggesting that available Ar data from the literature are variably affected by the presence of detrital micas. This finding establishes a cause-effect relationship between compressional tectonics at the plate margin and Middle-Late Ordovician intraplate reactivation processes in the western Wilson terrane. The accretion of northern Victoria Land was polyphase; it began with the amalgamation of the Bowers and Wilson terranes in the middle-late Cambrian and was followed by the docking of the Robertson Bay and Bowers terranes in the Middle-Late Ordovician. Results further support the link between northern Victoria Land and southeastern Australia. Together with a careful examination of data from the literature, they also suggest that the Bowers terrane and the across-strike contiguous Robertson Bay terrane are correlatives of the whole Stawell zone.</t>
  </si>
  <si>
    <t>[Di Vincenzo, Gianfranco; Grande, Antonietta] CNR, Ist Geosci &amp; Georisorse, I-56124 Pisa, Italy; [Rossetti, Federico] Univ Roma Tre, Dipartimento Sci, Sez Sci Geol, I-00146 Rome, Italy</t>
  </si>
  <si>
    <t>Consiglio Nazionale delle Ricerche (CNR); Istituto di Geoscienze e Georisorse (IGG-CNR); Roma Tre University</t>
  </si>
  <si>
    <t>Di Vincenzo, G (corresponding author), CNR, Ist Geosci &amp; Georisorse, Via Moruzzi 1, I-56124 Pisa, Italy.</t>
  </si>
  <si>
    <t>g.divincenzo@igg.cnr.it</t>
  </si>
  <si>
    <t>DI VINCENZO, GIANFRANCO/0000-0002-9669-9789; ROSSETTI, Federico/0000-0001-8071-7252</t>
  </si>
  <si>
    <t>PNRA</t>
  </si>
  <si>
    <t>We are grateful to G. Giorgetti (Dipartimento di Scienze della Terra, Siena) and A. Risplendente (Dipartimento di Scienze della Terra, Milano) for support during scanning electron microscope investigation and electron microprobe analyses, respectively. Thoughtful and constructive reviews by R. Glen, F. Jourdan, and an anonymous reviewer are very much appreciated. Rock samples investigated in this study were selected from collections available at the PNRA (Programma Nazionale Ricerche in Antartide) rock repository located at the Museo Nazionale dell'Antartide (Siena, Italy). Geologists involved in the fieldwork during Antarctic expeditions from 1989 to 2002 are warmly thanked. The research was realized with the financial support by PNRA and coordination by CNR.</t>
  </si>
  <si>
    <t>10.1130/B31034.1</t>
  </si>
  <si>
    <t>AR7KY</t>
  </si>
  <si>
    <t>WOS:000343759600002</t>
  </si>
  <si>
    <t>Leonardi, MS; Poljak, S; Carlini, P; Galliari, J; Bobinac, M; Santos, M; Márquez, ME; Negrete, J</t>
  </si>
  <si>
    <t>Soledad Leonardi, Maria; Poljak, Sebastian; Carlini, Pedro; Galliari, Juan; Bobinac, Magali; Santos, Mercedes; Marquez, Maria E.; Negrete, Javier</t>
  </si>
  <si>
    <t>Antarctophthirus carlinii (Anoplura: Echinophthiriidae), a new species from the Weddell seal Leptonychotes weddelli</t>
  </si>
  <si>
    <t>PARASITOLOGY RESEARCH</t>
  </si>
  <si>
    <t>Antarctica; Pack-ice seals; Sucking lice; Taxonomy</t>
  </si>
  <si>
    <t>As a part of an ongoing long-term study on the biology of pack-ice seals in Antarctica, we had the opportunity to collect lice from Weddell seals (Leptonychotes weddelli). We did not find the original description of this host-parasite association. Antarctophthirus ogmorhini had previously been reported as a parasite for the Weddell seal, but the information is, to a certain extent, confusing. During the development of the present study, we had access to literature concerning the presence of A. ogmorhini on this host, which, to our knowledge, was not determined in any of the previous works on this species. We compared lice collected from Weddell seals with A. ogmorhini obtained from the type host, the leopard seal (Hydrurga leptonyx), and we found that both species can be distinguished. The main differences are the characteristic pattern of chaetotaxy in the dorsal side of the head in lice from Weddell seals, the size and form of the pseudopenis, and the distribution and size of the fringe of setae surrounding the genital opening. Considering the conservative morphology, and ecological and evolutionary features of sucking lice, we proposed that lice from Weddell seals constitute a new species. In the present work, we described and illustrated adults of this new species collected from Weddell seals during the austral summer of 2014 at the Danco Coast, Antarctic Peninsula.</t>
  </si>
  <si>
    <t>[Soledad Leonardi, Maria] CENPAT CONICET, Ctr Nacl Patag, RA-9120 Puerto Madryn, Argentina; [Poljak, Sebastian] Univ Nacl Cordoba, CONICET, Inst Diversidad &amp; Ecol Anim, RA-5000 Cordoba, Argentina; [Carlini, Pedro; Galliari, Juan; Negrete, Javier] Univ Nacl La Plata, Fac Ciencias Nat &amp; Museo, RA-1900 La Plata, Buenos Aires, Argentina; [Bobinac, Magali] Museo Argentino Ciencias Nat Bernardino Rivadavia, RA-1045 Buenos Aires, DF, Argentina; [Santos, Mercedes; Marquez, Maria E.; Negrete, Javier] Inst Antartico Argentino, Dept Biol Predadores Tope, RA-1010 Buenos Aires, DF, Argentina</t>
  </si>
  <si>
    <t>Consejo Nacional de Investigaciones Cientificas y Tecnicas (CONICET); Centro Nacional Patagonico (CENPAT); National University of Cordoba; Consejo Nacional de Investigaciones Cientificas y Tecnicas (CONICET); National University of La Plata; Museo La Plata; Museo Argentino de Ciencias Naturales Bernardino Rivadavia (MACN); Instituto Antartico Argentino</t>
  </si>
  <si>
    <t>Leonardi, MS (corresponding author), CENPAT CONICET, Ctr Nacl Patag, Bvd Brown 2915, RA-9120 Puerto Madryn, Argentina.</t>
  </si>
  <si>
    <t>leonardi@cenpat.edu.ar</t>
  </si>
  <si>
    <t>Leonardi, Maria Soledad/0000-0002-1736-7031; Negrete, Javier/0000-0001-6853-8307; Bobinac, Magali Andrea/0000-0002-1974-3395</t>
  </si>
  <si>
    <t>Direccion Nacional del Antartico, Instituto Antartico Argentino</t>
  </si>
  <si>
    <t>The study was financially and logistically supported by the Direccion Nacional del Antartico, Instituto Antartico Argentino. The permit for this work was granted by the Direccion Nacional del Antartico (environmental office). Special thanks to A. Moyano, L. Cataldo, G. Arce, C. Alvarez, J. Villalba, R. Moyano, M. Echazarreta, E. de los Santos, and M. S. Cosenza. Thanks are given to the Ministerio de Ciencia, Tecnologia e Innovacion Productiva and Ministerio de Educacion de la Nacion for the promotion of the scientific Argentinean program and the support to public education.</t>
  </si>
  <si>
    <t>0932-0113</t>
  </si>
  <si>
    <t>1432-1955</t>
  </si>
  <si>
    <t>PARASITOL RES</t>
  </si>
  <si>
    <t>Parasitol. Res.</t>
  </si>
  <si>
    <t>10.1007/s00436-014-4058-7</t>
  </si>
  <si>
    <t>Parasitology</t>
  </si>
  <si>
    <t>AR9RX</t>
  </si>
  <si>
    <t>WOS:000343914500004</t>
  </si>
  <si>
    <t>Kleinertz, S; Christmann, S; Silva, LMR; Hirzmann, J; Hermosilla, C; Taubert, A</t>
  </si>
  <si>
    <t>Kleinertz, S.; Christmann, S.; Silva, L. M. R.; Hirzmann, J.; Hermosilla, C.; Taubert, A.</t>
  </si>
  <si>
    <t>Gastrointestinal parasite fauna of Emperor Penguins (Aptenodytes forsteri) at the Atka Bay, Antarctica</t>
  </si>
  <si>
    <t>Emperor Penguin; Aptenodytes forsteri; Endoparasites; Antarctica</t>
  </si>
  <si>
    <t>SPECIES RICHNESS; PYGOSCELIS-PAPUA; DIVING BEHAVIOR; INDICATORS; NEMATODES; QUALITY; ORIGINS; INDEXES; ISLAND; SEA</t>
  </si>
  <si>
    <t>In general, the knowledge on parasites infecting Antarctic birds is scarce. The present study intends to extend the knowledge on gastrointestinal parasites of Emperor Penguins (Aptenodytes forsteri) at the Atka Bay, Antarctica. Fecal samples of 50 individual Emperor Penguins were collected at the Atka Bay and analyzed using the sodium-acetate-formaldehyde (SAF) method for the identification of intestinal helminth eggs and/or protozoan parasite stages. In addition, coproantigen ELISAs were performed to detect Cryptosporidium and Giardia infections. Overall, 13 out of 50 penguins proved parasitized (26 %). The following stages of gastrointestinal parasites were identified: One Capillaria sp. egg, Tetrabothrius spp. eggs, Diphyllobothrium spp. eggs, and proglottids of the cestode Parorchites zederi. The recorded Capillaria infection represents a new host record for Emperor Penguins. All coproantigen ELISAs for the detection of Cryptosporidium spp. and Giardia spp. were negative. This paper provides current data on parasites of the Emperor Penguin, a protected endemic species of the Antarctica.</t>
  </si>
  <si>
    <t>[Kleinertz, S.; Silva, L. M. R.; Hirzmann, J.; Hermosilla, C.; Taubert, A.] Univ Giessen, Biomed Res Ctr Seltersberg, Inst Parasitol, D-35392 Giessen, Germany; [Kleinertz, S.] Univ Rostock, Fac Agr &amp; Environm Sci, Chair Aquaculture &amp; Sea Ranching, D-18059 Rostock, Germany; [Christmann, S.] Alfred Wegener Inst Polar &amp; Marine Res, Bremerhaven, Germany; [Silva, L. M. R.] Univ Evora, ICAAM, Evora, Portugal</t>
  </si>
  <si>
    <t>Justus Liebig University Giessen; University of Rostock; Helmholtz Association; Alfred Wegener Institute, Helmholtz Centre for Polar &amp; Marine Research; University of Evora</t>
  </si>
  <si>
    <t>Kleinertz, S (corresponding author), Univ Giessen, Biomed Res Ctr Seltersberg, Inst Parasitol, Schubertstr 81, D-35392 Giessen, Germany.</t>
  </si>
  <si>
    <t>sonja.kleinertz@uni-rostock.de</t>
  </si>
  <si>
    <t>Silva, Liliana M. R./0000-0002-2217-9983; Taubert, Anja/0000-0001-8649-1020</t>
  </si>
  <si>
    <t>10.1007/s00436-014-4085-4</t>
  </si>
  <si>
    <t>WOS:000343914500026</t>
  </si>
  <si>
    <t>Jiang, Y; Yang, EJ; Kim, SY; Kim, YN; Lee, S</t>
  </si>
  <si>
    <t>Jiang, Yong; Yang, Eun Jin; Kim, Sun Yong; Kim, Young-Nam; Lee, SangHoon</t>
  </si>
  <si>
    <t>Spatial patterns in pelagic ciliate community responses to various habitats in the Amundsen Sea (Antarctica)</t>
  </si>
  <si>
    <t>MARINE WATER-QUALITY; JIAOZHOU BAY; ENVIRONMENTAL-CONDITIONS; ANNUAL CYCLE; MICROZOOPLANKTON; DISTRIBUTIONS; DIVERSITY; ABUNDANCE; CARBON; PROTOZOOPLANKTON</t>
  </si>
  <si>
    <t>To investigate the impacts of climate change on environmental conditions and pelagic biodiversity, spatial patterns in pelagic ciliate communities were studied at 18 stations from five habitats in the Amundsen Sea (western Antarctic) during austral summer from December 2010 to January 2011. Clear spatial patterns were observed in community structure, and significant differences were found among the various habitats. The species number, abundance, biomass and biodiversity indices (Shannon diversity H', Pielou's evenness J', and Margalef richness D) also showed clear spatial trends. Pelagic ciliate community structure accurately reflected environmental variability. Alone or in combination, several primary environmental variables were found to affect community spatial patterns in specific habitats. Shannon H' and Margalef D showed strong relationships with spatial changes in chlorophyll a and might be better predictors in future Antarctic studies. This study presents the first detailed description of spatial patterns in pelagic ciliate communities and their correlations with environmental variability in habitats in the Amundsen Sea during early austral summer. Our findings provide detailed and basic data on the composition, distribution, and variation of ciliate communities in the Amundsen Sea, and will help answer important questions about polar ecosystems. (C) 2014 Elsevier Ltd. All rights reserved.</t>
  </si>
  <si>
    <t>[Jiang, Yong] Ocean Univ China, Coll Marine Life Sci, Qingdao 266003, Peoples R China; [Jiang, Yong; Yang, Eun Jin; Lee, SangHoon] Korea Polar Res Inst, Div Polar Ocean Environm, Inchon 406840, South Korea; [Kim, Sun Yong] Marine Biodivers Inst Korea, Chungcheongnam Do 325902, South Korea; [Kim, Young-Nam] Korea Marine Environm Management Corp, Seoul 135870, South Korea</t>
  </si>
  <si>
    <t>Ocean University of China; Korea Institute of Ocean Science &amp; Technology (KIOST); Korea Polar Research Institute (KOPRI); Marine Biodiversity Institute of Korea (MABIK)</t>
  </si>
  <si>
    <t>Yang, EJ (corresponding author), Korea Polar Res Inst, Div Polar Ocean Environm, 213-3 Songdo Dong, Inchon 406840, South Korea.</t>
  </si>
  <si>
    <t>ejyang@kopri.re.kr</t>
  </si>
  <si>
    <t>Jiang, Yong/AGK-3016-2022</t>
  </si>
  <si>
    <t>Jiang, Yong/0000-0002-4072-1668; Yang, Eun Jin/0000-0002-8639-5968; Jiang, Yong/0000-0001-6055-488X</t>
  </si>
  <si>
    <t>Korea Polar Research Institute Project (KOPRI) [PP 14020]; K-PORT Program (KOPRI) - Ministry of Oceans and Fisheries, Korea [PM13020]</t>
  </si>
  <si>
    <t>Korea Polar Research Institute Project (KOPRI); K-PORT Program (KOPRI) - Ministry of Oceans and Fisheries, Korea</t>
  </si>
  <si>
    <t>This work was supported by the Korea Polar Research Institute Project (KOPRI; PP 14020). Partial support was provided by grants from the K-PORT Program (KOPRI; PM13020) funded by the Ministry of Oceans and Fisheries, Korea. We thank the captain and crew of the Korean Research Icebreaker, Araon, for their outstanding assistance during the cruise; Dong-Jin Lee, for his great help with sampling, sample processing and data collection. We greatly appreciate the constructive comments by three anonymous reviewers, which dramatically improve the quality of the manuscript.</t>
  </si>
  <si>
    <t>10.1016/j.pocean.2014.08.006</t>
  </si>
  <si>
    <t>AR7ZP</t>
  </si>
  <si>
    <t>WOS:000343795800004</t>
  </si>
  <si>
    <t>Kelley, SE; Kaplan, MR; Schaefer, JM; Andersen, BG; Barrell, DJA; Putnam, AE; Denton, GH; Schwartz, R; Finkel, RC; Doughty, AM</t>
  </si>
  <si>
    <t>Kelley, Samuel E.; Kaplan, Michael R.; Schaefer, Joerg M.; Andersen, Bjorn G.; Barrell, David J. A.; Putnam, Aaron E.; Denton, George H.; Schwartz, Roseanne; Finkel, Robert C.; Doughty, Alice M.</t>
  </si>
  <si>
    <t>High-precision 10Be chronology of moraines in the Southern Alps indicates synchronous cooling in Antarctica and New Zealand 42,000 years ago</t>
  </si>
  <si>
    <t>Be-10 surface-exposure dating; LGM; MIS 3; Southern Hemisphere; westerly wind field; New Zealand</t>
  </si>
  <si>
    <t>LAST GLACIAL MAXIMUM; PRODUCTION-RATE CALIBRATION; SEA-SURFACE TEMPERATURES; CLIMATE SENSITIVITY; NORTH-ATLANTIC; RAKAIA VALLEY; DEGLACIATION; EVENTS; ISLAND; STRATIGRAPHY</t>
  </si>
  <si>
    <t>Millennial-scale temperature variations in Antarctica during the period 80,000 to 18,000 years ago are known to anti-correlate broadly with winter-centric cold-warm episodes revealed in Greenland ice cores. However, the extent to which climate fluctuations in the Southern Hemisphere beat in time with Antarctica, rather than with the Northern Hemisphere, has proved a controversial question. In this study we determine the ages of a prominent sequence of glacial moraines in New Zealand and use the results to assess the phasing of millennial climate change. Forty-four Be-10 cosmogenic surface-exposure ages of boulders deposited by the Pukaki glacier in the Southern Alps document four moraine-building events from Marine Isotope Stage 3 (MIS 3) through to the end of the Last Glacial Maximum (similar to 18,000 years ago; LGM). The earliest moraine-building event is defined by the ages of nine boulders on a belt of moraine that documents the culmination of a glacier advance 42,000 years ago. At the Pukaki locality this advance was of comparable scale to subsequent advances that, from the remaining exposure ages, occurred between 28,000 and 25,000, at 21,000, and at 18,000 years ago. Collectively, all four moraine-building events represent the LGM. The glacier advance 42,000 years ago in the Southern Alps coincides in Antarctica with a cold episode, shown by the isotopic record from the EPICA Dome C ice core, between the prominent A1 and A2 warming events. Therefore, the implication of the Pukaki glacier record is that as early as 42,000 years ago an episode of glacial cold similar to that of the LGM extended in the atmosphere from high on the East Antarctic plateau to at least as far north as the Southern Alps (similar to 44 degrees S). Such a cold episode is thought to reflect the translation through the atmosphere and/or the ocean of the anti-phased effects of Northern Hemisphere interstadial conditions to the southern half of the Southern Hemisphere. Regardless of the mechanism, any explanation for the cold episode at 42,000 years ago must account for its widespread atmospheric footprint not only in Antarctica but also within the westerly wind belt in southern mid-latitudes. (C) 2014 Elsevier B.V. All rights reserved.</t>
  </si>
  <si>
    <t>[Kelley, Samuel E.; Denton, George H.] Univ Maine, Dept Earth Sci, Orono, ME 04469 USA; [Kelley, Samuel E.; Denton, George H.] Univ Maine, Climate Change Inst, Orono, ME 04469 USA; [Kaplan, Michael R.; Schaefer, Joerg M.; Putnam, Aaron E.; Schwartz, Roseanne] Lamont Doherty Earth Observ, Palisades, NY 10964 USA; [Andersen, Bjorn G.] Univ Oslo, Dept Geosci, Oslo, Norway; [Barrell, David J. A.] GNS Sci, Dunedin, New Zealand; [Finkel, Robert C.] Lawrence Livermore Natl Lab, Livermore, CA 94550 USA; [Doughty, Alice M.] Dartmouth Coll, Dept Earth Sci, Hanover, NH 03750 USA</t>
  </si>
  <si>
    <t>University of Maine System; University of Maine Orono; University of Maine System; University of Maine Orono; Columbia University; University of Oslo; GNS Science - New Zealand; United States Department of Energy (DOE); Lawrence Livermore National Laboratory; Dartmouth College</t>
  </si>
  <si>
    <t>Kelley, SE (corresponding author), SUNY Buffalo, Dept Geol, 411 Cooke Hall, Buffalo, NY 14260 USA.</t>
  </si>
  <si>
    <t>Samuelke@buffalo.edu</t>
  </si>
  <si>
    <t>Kelley, Samuel/AAT-7445-2020; Kaplan, Michael R/D-4720-2011</t>
  </si>
  <si>
    <t>Putnam, Aaron/0000-0002-5358-1473; Kelley, Samuel/0000-0001-9214-0577</t>
  </si>
  <si>
    <t>Corner Science and Education Foundation (CSEF); National Oceanic and Atmospheric Administration (NOAA); National Science Foundation [EAR-110278, EAR-0745781]; New Zealand Government through the GNS Science 'Global Change through Time' research programme; University of Maine, Climate Change Institute Fellowship [7821]; Division Of Earth Sciences; Directorate For Geosciences [1102782] Funding Source: National Science Foundation</t>
  </si>
  <si>
    <t>Corner Science and Education Foundation (CSEF); National Oceanic and Atmospheric Administration (NOAA)(National Oceanic Atmospheric Admin (NOAA) - USA); National Science Foundation(National Science Foundation (NSF)); New Zealand Government through the GNS Science 'Global Change through Time' research programme; University of Maine, Climate Change Institute Fellowship; Division Of Earth Sciences; Directorate For Geosciences(National Science Foundation (NSF)NSF - Directorate for Geosciences (GEO))</t>
  </si>
  <si>
    <t>This work was supported by funding from the Corner Science and Education Foundation (CSEF), the National Oceanic and Atmospheric Administration (NOAA), and by National Science Foundation grants EAR-110278 and EAR-0745781. D. Barrell was supported by funding from the New Zealand Government through the GNS Science 'Global Change through Time' research programme. We are grateful to J. Frisch and D. Sprecher for assistance with laboratory work and to T. and K. Ritchie of Lake Ruataniwha Holiday Park for a home away from home during long field seasons. We thank the owners and caretakers of Braemar Station, Mt. Cook Station, Irishman Creek Station, Balmoral Station, Tasman Downs Station, and the New Zealand Defence Force for granting access to their land. S.E.K. was supported by a University of Maine, Climate Change Institute Fellowship. This paper is LDEO contribution no. 7821.</t>
  </si>
  <si>
    <t>10.1016/j.epsl.2014.07.031</t>
  </si>
  <si>
    <t>AR5LF</t>
  </si>
  <si>
    <t>WOS:000343625500017</t>
  </si>
  <si>
    <t>Selvans, MM; Stock, JM; Clayton, RW; Cande, S; Granot, R</t>
  </si>
  <si>
    <t>Selvans, M. M.; Stock, J. M.; Clayton, R. W.; Cande, S.; Granot, R.</t>
  </si>
  <si>
    <t>Deep crustal structure of the Adare and Northern Basins, Ross Sea, Antarctica, from sonobuoy data</t>
  </si>
  <si>
    <t>West Antarctic Rift System; marine seismic data; crustal structure; sonobuoy; Adare Basin; Northern Basin</t>
  </si>
  <si>
    <t>SOUTHWEST INDIAN RIDGE; MARIE-BYRD-LAND; MOTION; PACIFIC; WEST; TRANSECT; SVALBARD; VELOCITY; EAST</t>
  </si>
  <si>
    <t>Extension associated with ultraslow seafloor spreading within the Adare Basin, in oceanic crust just north of the continental shelf in the Ross Sea, Antarctica, extended south into the Northern Basin. Magnetic and gravity anomaly data suggest continuity of crustal structure across the continental shelf break that separates the Adare and Northern Basins. We use sonobuoy refraction data and multi-channel seismic (MCS) reflection data collected during research cruise NBP0701, including 71 new sonobuoy records, to provide constraints on crustal structure in the Adare and Northern Basins. Adjacent 1D sonobuoy profiles along several MCS lines reveal deep crustal structure in the vicinity of the continental shelf break, and agree with additional sonobuoy data that document fast crustal velocities (6000-8000 m/s) at shallow depths (1-6 km below sea level) from the Adare Basin to the continental shelf, a structure consistent with that of other ultraslow-spread crust. Our determination of crustal structure in the Northern Basin only extends through sedimentary rock to the basement rock, and so cannot help to distinguish between different hypotheses for formation of the basin. (C) 2014 Elsevier B.V. All rights reserved.</t>
  </si>
  <si>
    <t>[Selvans, M. M.; Stock, J. M.; Clayton, R. W.] CALTECH, Seismol Lab, Pasadena, CA 91125 USA; [Selvans, M. M.] Smithsonian Inst, Natl Air &amp; Space Museum, Ctr Earth &amp; Planetary Studies, Washington, DC 20024 USA; [Cande, S.] Scripps Inst Oceanog, La Jolla, CA 92093 USA; [Granot, R.] Ben Gurion Univ Negev, Dept Geol &amp; Environm Sci, IL-84105 Beer Sheva, Israel</t>
  </si>
  <si>
    <t>California Institute of Technology; Smithsonian Institution; University of California System; University of California San Diego; Scripps Institution of Oceanography; Ben Gurion University</t>
  </si>
  <si>
    <t>Selvans, MM (corresponding author), Smithsonian Inst, Natl Air &amp; Space Museum, Ctr Earth &amp; Planetary Studies, 4th St &amp; Independence Ave SW,MRC 315, Washington, DC 20024 USA.</t>
  </si>
  <si>
    <t>selvansm@si.edu</t>
  </si>
  <si>
    <t>Granot, Roi/F-4555-2012; Stock, Joann Miriam/AAN-1526-2021</t>
  </si>
  <si>
    <t>Stock, Joann Miriam/0000-0003-4816-7865; Granot, Roi/0000-0001-5366-188X</t>
  </si>
  <si>
    <t>National Science Foundation [OPP04-40959, OPP-0440923, OPP-0944711]</t>
  </si>
  <si>
    <t>We thank F. Davey for helpful discussions of sonobuoy data analysis and interpretation, and K.S. Panter and an anonymous reviewer for suggestions that improved the figures in this manuscript. We also thank Captain Mike Watson, the crew, and the Raytheon Polar Services Corporation technical staff on board the Nathaniel B. Palmer. This study was supported by National Science Foundation grants OPP04-40959 (S. Cande) and OPP-0440923 and OPP-0944711 U. Stock and R. Clayton).</t>
  </si>
  <si>
    <t>10.1016/j.epsl.2014.08.029</t>
  </si>
  <si>
    <t>WOS:000343625500019</t>
  </si>
  <si>
    <t>Stürmer, GD; de Freitas, TC; Heberle, MD; de Assis, DR; Vinadé, L; Pereira, AB; Franco, JL; Dal Belo, CA</t>
  </si>
  <si>
    <t>Stuermer, Graziele Daiane; de Freitas, Thiago Carrazoni; Heberle, Marines de Avila; de Assis, Denis Reis; Vinade, Lucia; Pereira, Antonio Batista; Franco, Jeferson Luis; Dal Belo, Chariston Andre</t>
  </si>
  <si>
    <t>Modulation of dopaminergic neurotransmission induced by sublethal Doses of the organophosphate trichlorfon in cockroaches</t>
  </si>
  <si>
    <t>ECOTOXICOLOGY AND ENVIRONMENTAL SAFETY</t>
  </si>
  <si>
    <t>Trichlorfon; Phoetalia pallida; Acetylcholinesterase; Neurotoxicity; Dopaminergic signaling</t>
  </si>
  <si>
    <t>PRESYNAPTIC MUSCARINIC RECEPTORS; CENTRAL-NERVOUS-SYSTEM; TRANSMITTER RELEASE; PHARMACOLOGICAL-PROPERTIES; CHOLINERGIC INTERNEURONS; INSECTICIDE RESISTANCE; ACETYLCHOLINE-RELEASE; BEHAVIOR; LOCUST; PESTICIDES</t>
  </si>
  <si>
    <t>Organophosphate (OP) insecticides have been used indiscriminately, based on their high dissipation rates and low residual levels in the environment. Despite the toxicity of OPs to beneficial insects is principally devoted to the acetylcholinesterase (AChE) inhibition, the physiological mechanisms underlying this activity remain poorly understood. Here we showed the pharmacological pathways that might be involved in severe alterations in the insect locomotion and grooming behaviors following sublethal administration of the OP Trichlorfon (Tn) (0.25, 0.5 and 1 mu M) in Phoetalia pallida. Tn inhibited the acetylcholinesterase activity (46 +/- 6, 38 +/- 3 and 24 +/- 6 nmol NADPH/min/mg protein, n = 3, p &lt; 0.05), respectively. Tn (1 mu M) also increased the walking maintenance of animals (46 +/- 5 s; n = 27: p &lt; 0.05). Tn caused a high increase in the time spent for this behavior (344 +/- 18 s/30 min, 388 +/- 18 s/30 min and 228 +/- 12 s/30 min, n = 29-30. p &lt; 0.05. respectively). The previous treatment of the animals with different cholinergic modulators showed that pirenzepine &gt; atropine &gt; oxotremorine &gt; d-tubocurarine &gt; tropicamide &gt; methoctramine induced a decrease on Tn (0.5 mu M)-induced grooming increase, respectively in order of potency. Metoclopramide (0.4 mu M), a DA-D-2 selective inhibitor decreased the Tn-induced grooming activity (158 +/- 12 s/30 mm; n = 29; p &lt; 0.05). Nevertheless, the effect of the selective DA-D-1 receptor blocker SCH 23390 (1.85 mu M) on the Tn (0.5 mu M)-induced grooming increase was significative and more intense than that of metoclopramide (54 +/- 6 s/30 min; n = 30; p &lt; 0.05). Taken together the results suggest that a cross-talking between cholinergic M1/M3 and dopaminergic D1 receptors at the insect nervous system may play a role in the OP-mediated behavioral alterations. (C) 2014 Elsevier Inc. All rights reserved.</t>
  </si>
  <si>
    <t>[Stuermer, Graziele Daiane; de Freitas, Thiago Carrazoni; Heberle, Marines de Avila; Vinade, Lucia; Pereira, Antonio Batista; Franco, Jeferson Luis; Dal Belo, Chariston Andre] Univ Fed Pampa, UNIPAMPA, CIPBiotec, BR-97300000 Sao Gabriel, RS, Brazil; [de Assis, Denis Reis] Pontificia Univ, Inst Cerebro Rio Grande Sul, PUCRS, Porto Alegre, RS, Brazil</t>
  </si>
  <si>
    <t>Universidade Federal do Pampa; Pontificia Universidade Catolica Do Rio Grande Do Sul</t>
  </si>
  <si>
    <t>Dal Belo, CA (corresponding author), Fed Univ Pampa UNIPAMPA, Av Antonio Trilha,1847 Ctr, BR-97300000 Sao Gabriel, RS, Brazil.</t>
  </si>
  <si>
    <t>charistonbelo@unipampa.edu.br</t>
  </si>
  <si>
    <t>de Assis, Denis R/C-4538-2015; Pereira, Antonio B/I-8201-2014; Pereira, Antonio/AAD-5703-2019; Franco, Jeferson Luis/F-7797-2012; Vinade, Lucia/JXX-9487-2024</t>
  </si>
  <si>
    <t>Pereira, Antonio B/0000-0003-0368-4594; Franco, Jeferson Luis/0000-0002-3874-8618; Vinade, Lucia/0000-0001-5373-6351; Reis de Assis, Denis/0000-0002-2984-0279</t>
  </si>
  <si>
    <t>Brazilian Antarctic Program through CNPq [574018/2008]; FAPERJ [E-26/170.023/2008]; Ministry of science and Technology - MCT; Ministry of Environment - MMA; CIRM through INCT-APA; Edital Toxinologia CAPES [063/2010]; Coordenacao de Aperfeicoamento de Pessoal de Nivel Superior-CAPES; Programa de Bolsas de Desenvolvimento Academico-PBDA (UNIPAMPA); Fundacao de Amparo a Pesquisa do Estado do Rio Grande do Sul (FAPERGS)</t>
  </si>
  <si>
    <t>Brazilian Antarctic Program through CNPq; FAPERJ(Fundacao Carlos Chagas Filho de Amparo a Pesquisa do Estado do Rio De Janeiro (FAPERJ)); Ministry of science and Technology - MCT; Ministry of Environment - MMA; CIRM through INCT-APA; Edital Toxinologia CAPES; Coordenacao de Aperfeicoamento de Pessoal de Nivel Superior-CAPES(Coordenacao de Aperfeicoamento de Pessoal de Nivel Superior (CAPES)); Programa de Bolsas de Desenvolvimento Academico-PBDA (UNIPAMPA); Fundacao de Amparo a Pesquisa do Estado do Rio Grande do Sul (FAPERGS)(Fundacao de Amparo a Ciencia e Tecnologia do Estado do Rio Grande do Sul (FAPERGS))</t>
  </si>
  <si>
    <t>The authors thank Dr. Thais Posser and Magali Cristina Hartmann for the technical assistance with biochemistry protocols. The authors also thank the Brazilian Antarctic Program through CNPq (process no. 574018/2008, FAPERJ (process no. E-26/170.023/2008) Ministry of science and Technology - MCT, Ministry of Environment - MMA and CIRM through INCT-APA and Edital 063/2010 Toxinologia CAPES, for financial support. G.D Sturmer was granted by the Coordenacao de Aperfeicoamento de Pessoal de Nivel Superior-CAPES and Programa de Bolsas de Desenvolvimento Academico-PBDA (UNIPAMPA). Dr. Denis Reis de Assis was granted by the Fundacao de Amparo a Pesquisa do Estado do Rio Grande do Sul (FAPERGS).</t>
  </si>
  <si>
    <t>0147-6513</t>
  </si>
  <si>
    <t>1090-2414</t>
  </si>
  <si>
    <t>ECOTOX ENVIRON SAFE</t>
  </si>
  <si>
    <t>Ecotox. Environ. Safe.</t>
  </si>
  <si>
    <t>10.1016/j.ecoenv.2014.08.006</t>
  </si>
  <si>
    <t>Environmental Sciences; Toxicology</t>
  </si>
  <si>
    <t>Environmental Sciences &amp; Ecology; Toxicology</t>
  </si>
  <si>
    <t>AR3XZ</t>
  </si>
  <si>
    <t>WOS:000343523900009</t>
  </si>
  <si>
    <t>Zhou, JL; Siddiqui, E; Ngo, HH; Guo, W</t>
  </si>
  <si>
    <t>Zhou, John L.; Siddiqui, Ertan; Ngo, Huu Hao; Guo, Wenshan</t>
  </si>
  <si>
    <t>Estimation of uncertainty in the sampling and analysis of polychlorinated biphenyls and polycyclic aromatic hydrocarbons from contaminated soil in Brighton, UK</t>
  </si>
  <si>
    <t>Uncertainty; Balanced sampling design; Polychlorinated biphenyls; Polycyclic aromatic hydrocarbons; Contaminated soil; Soil guideline values</t>
  </si>
  <si>
    <t>PERSISTENT ORGANIC POLLUTANTS; ANTARCTIC FISH; SEDIMENTS; MICROPOLLUTANTS; CONGENERS; TRANSPORT; PROFILES; TOXICITY; ESTUARY; WATER</t>
  </si>
  <si>
    <t>The heterogeneity of environmental samples is increasingly recognised, yet rarely examined in organic contamination investigations. In this study soil samples from an ex-landfill site in Brighton, UK were analysed for polychlorinated biphenyl (PCB) and polycyclic aromatic hydrocarbon (PAH) contamination by using a balanced sampling protocol. The analytical technique of gas chromatography-mass spectrometry was found to be fit for purpose by the use of duplicate samples and the statistical analysis of variances, as well as of certified reference materials. The sampling uncertainty was found to significantly overweigh the analytical uncertainty, by a factor of 3 and 6 for PCBs and PAHs, respectively. The soil samples showed a general trend of PCB concentration that was under the recommended target level of 20 ng/g dry weight. It is possible that one site alongside the main road may exceed the 20 ng/g target level, after taking into consideration the overall measurement uncertainty (70.8%). The PAH contamination was more severe, with seven sites potentially exceeding the effect-range medium concentrations. The soil samples with relatively high PCB and PAH concentrations were all taken from the grass verge, which also had the highest soil organic carbon content. The measurement uncertainty which was largely due to sampling can be reduced by sampling at a high resolution spacing of 17 m, which is recommended in future field investigations of soil organic contamination. (C) 2014 Elsevier B.V. All rights reserved.</t>
  </si>
  <si>
    <t>[Zhou, John L.; Ngo, Huu Hao; Guo, Wenshan] Univ Technol Sydney, Ctr Technol Water &amp; Wastewater, Sch Civil &amp; Environm Engn, Broadway, NSW 2007, Australia; [Siddiqui, Ertan] S Bank Univ, Dept Appl Sci, London SE1 0AA, England</t>
  </si>
  <si>
    <t>University of Technology Sydney; London South Bank University</t>
  </si>
  <si>
    <t>Zhou, JL (corresponding author), Univ Technol Sydney, Ctr Technol Water &amp; Wastewater, Sch Civil &amp; Environm Engn, Broadway, NSW 2007, Australia.</t>
  </si>
  <si>
    <t>junliang.zhou@uts.edu.au</t>
  </si>
  <si>
    <t>Zhou, John L./E-7610-2011; Guo, Wenshan/B-8485-2017; Ngo, Hao H/B-8488-2017</t>
  </si>
  <si>
    <t>Zhou, John L./0000-0003-1393-1608; Guo, Wenshan/0000-0001-5542-2858; Ngo, Huu Hao/0000-0002-0296-2866</t>
  </si>
  <si>
    <t>South East England Development Agency [PO2023727]</t>
  </si>
  <si>
    <t>South East England Development Agency</t>
  </si>
  <si>
    <t>This research was funded by a research grant from the South East England Development Agency (Grant No. PO2023727).</t>
  </si>
  <si>
    <t>10.1016/j.scitotenv.2014.07.097</t>
  </si>
  <si>
    <t>AR5GM</t>
  </si>
  <si>
    <t>WOS:000343613100018</t>
  </si>
  <si>
    <t>Kotani, K; Tanaka, K; Managi, S</t>
  </si>
  <si>
    <t>Kotani, Koji; Tanaka, Kenta; Managi, Shunsuke</t>
  </si>
  <si>
    <t>Cooperative choice and its framing effect under threshold uncertainty in a provision point mechanism</t>
  </si>
  <si>
    <t>ECONOMICS OF GOVERNANCE</t>
  </si>
  <si>
    <t>Cooperative choice; Framing effects; Threshold uncertainty; Provision point mechanism</t>
  </si>
  <si>
    <t>PUBLIC GOOD PROVISION; ANTARCTIC ICE-SHEET; COLD-PRICKLE; GOOD GAMES; WARM-GLOW; GOODS</t>
  </si>
  <si>
    <t>This paper explores how threshold uncertainty affects cooperative behaviors in the provision of public goods and the prevention of public bads. The following facts motivate our study. First, environmental (resource) problems are either framed as public bads prevention or public goods provision. Second, the occurrence of these problems is characterized by thresholds that are interchangeably represented as nonconvexity, bifurcation, bi-stability, or catastrophes. Third, the threshold location is mostly unknown. We employ a provision point mechanism with threshold uncertainty and analyze the responses of cooperative behaviors to uncertainty and to the framing for each type of social preferences categorized by a value orientation test. We find that aggregate framing effects are negligible, although the response to the frame is the opposite depending on the type of social preferences. Cooperative subjects become more cooperative in negative frames than in positive frames, whereas individualistic subjects are less cooperative in negative frames than in positive ones. This finding implies that the insignificance of aggregate framing effects arises from behavioral asymmetry. We also find that the percentage of cooperative choices non-monotonically varies with the degree of threshold uncertainty, irrespective of framing and value orientation. Specifically, the degree of cooperation is highest at intermediate levels of threshold uncertainty and decreases as the uncertainty becomes sufficiently large.</t>
  </si>
  <si>
    <t>[Kotani, Koji] Kochi Univ Technol, Dept Management, Kami, Kochi 7828502, Japan; [Tanaka, Kenta] Musashi Univ, Fac Econ, Nerima Ku, Tokyo 1768534, Japan; [Managi, Shunsuke] Tohoku Univ, Grad Sch Environm Studies, Aoba Ku, Sendai, Miyagi 9808579, Japan</t>
  </si>
  <si>
    <t>Kochi University Technology; Tohoku University</t>
  </si>
  <si>
    <t>Kotani, K (corresponding author), Kochi Univ Technol, Dept Management, 185 Miyanokuchi, Kami, Kochi 7828502, Japan.</t>
  </si>
  <si>
    <t>kojikotani757@gmail.com; tanaka58.tin@gmail.com; managi.s@gmail.com</t>
  </si>
  <si>
    <t>Kotani, Koji/C-6896-2011; Managi, Shunsuke/G-1740-2013; Kotani, Koji/X-7947-2019</t>
  </si>
  <si>
    <t>Kotani, Koji/0000-0003-0667-1895; Managi, Shunsuke/0000-0001-7883-1427; Kotani, Koji/0000-0003-0667-1895</t>
  </si>
  <si>
    <t>Grants-in-Aid for Scientific Research [24530276] Funding Source: KAKEN</t>
  </si>
  <si>
    <t>Grants-in-Aid for Scientific Research(Ministry of Education, Culture, Sports, Science and Technology, Japan (MEXT)Japan Society for the Promotion of ScienceGrants-in-Aid for Scientific Research (KAKENHI))</t>
  </si>
  <si>
    <t>1435-6104</t>
  </si>
  <si>
    <t>ECON GOV</t>
  </si>
  <si>
    <t>Econ. Gov.</t>
  </si>
  <si>
    <t>10.1007/s10101-014-0147-4</t>
  </si>
  <si>
    <t>Economics</t>
  </si>
  <si>
    <t>Business &amp; Economics</t>
  </si>
  <si>
    <t>AQ9YK</t>
  </si>
  <si>
    <t>WOS:000343215400002</t>
  </si>
  <si>
    <t>Jones, MGW; Dilley, BJ; Hagens, QA; Louw, H; Mertz, EM; Visser, P; Ryan, PG</t>
  </si>
  <si>
    <t>Jones, M. Genevieve W.; Dilley, Ben J.; Hagens, Quentin A.; Louw, Henk; Mertz, Edith M.; Visser, Paul; Ryan, Peter G.</t>
  </si>
  <si>
    <t>The effect of parental age, experience and historical reproductive success on wandering albatross (Diomedea exulans) chick growth and survival</t>
  </si>
  <si>
    <t>Body condition; Breeding experience; Chick brooding; Growth; Historical reproductive success; Parental investment</t>
  </si>
  <si>
    <t>BODY CONDITION; PATTERNS; PETRELS; RESIDUALS; QUALITY; BIRDS; SIZE; CARE; SEX</t>
  </si>
  <si>
    <t>Growth and survival of altricial young are influenced by their parents' abilities to invest in a breeding attempt. As a result, chick growth and survival in one breeding season may be indicative of their parents' long-term reproductive potential. To determine whether variation in long-term reproductive success is driven by differential breeding investment, parental care and chick growth in wandering albatrosses (Diomedea exulans) were correlated with parental historical reproductive success. Effects of age and breeding experience (determined from past breeding attempts) and pre-laying body condition (mass-size indices) on chick growth and survival also were tested. Longer brooding of chicks increased their survival, but length of chick brooding did not differ between historically unproductive and successful breeders. Past reproductive success also was not correlated with chick growth rates or fledging mass or size. Chick brooding period, chick growth rates, final mass and size were independent of parental body condition. Older and more experienced parents brooded chicks for longer and their chicks grew faster, supporting previous findings that breeding competence is a learnt skill. Chick care and growth characteristics differed more between than within pairs, suggesting that differences in these characteristics are driven by variation among pairs.</t>
  </si>
  <si>
    <t>[Jones, M. Genevieve W.; Dilley, Ben J.; Hagens, Quentin A.; Louw, Henk; Mertz, Edith M.; Visser, Paul; Ryan, Peter G.] Univ Cape Town, Percy Fitzpatrick Inst African Ornithol, DST NRF Ctr Excellence, ZA-7701 Rondebosch, South Africa</t>
  </si>
  <si>
    <t>Jones, MGW (corresponding author), Univ Cape Town, Percy Fitzpatrick Inst African Ornithol, DST NRF Ctr Excellence, Private Bag X3, ZA-7701 Rondebosch, South Africa.</t>
  </si>
  <si>
    <t>mgenevievewjones@gmail.com; dilleyben@gmail.com; hagensq@gmail.com; henk.louw12@gmail.com; mertz.em@gmail.com; paulvisser1984@yahoo.com; pryan31@gmail.com</t>
  </si>
  <si>
    <t>Ryan, Peter/0000-0002-3356-2056</t>
  </si>
  <si>
    <t>DST/NRF Centre of Excellence (CoE) at the Percy FitzPatrick Institute of African Ornithology; South African National Antarctic Programme (through the National Research Foundation)</t>
  </si>
  <si>
    <t>Thanks to members of four Marion Expeditions (M63-M66) for assistance with weighing chicks. Long-term monitoring of wandering albatrosses at Marion Island was initiated by John Cooper. Genetic sexing was performed by Mareile Techow and the DNA Sequencing Unit, Central Analytical Facility, Stellenbosch University. We also thank two anonymous reviewers for their constructive comments on the manuscript. Financial and logistical support was provided by the DST/NRF Centre of Excellence (CoE) at the Percy FitzPatrick Institute of African Ornithology and the South African National Antarctic Programme (through the National Research Foundation).</t>
  </si>
  <si>
    <t>10.1007/s00300-014-1550-6</t>
  </si>
  <si>
    <t>AQ9DA</t>
  </si>
  <si>
    <t>WOS:000343141300007</t>
  </si>
  <si>
    <t>Joiris, CR; Falck, E; D'Hert, D; Jungblut, S; Boos, K</t>
  </si>
  <si>
    <t>Joiris, Claude R.; Falck, Eva; D'Hert, Diederik; Jungblut, Simon; Boos, Karin</t>
  </si>
  <si>
    <t>An important late summer aggregation of fin whales Balaenoptera physalus, little auks Alle alle and Brunnich's guillemots Uria lomvia in the eastern Greenland Sea and Fram Strait: influence of hydrographic structures</t>
  </si>
  <si>
    <t>Eastern Greenland Sea and Fram Strait; Seabirds and marine mammals at sea; Aggregations; Water masses and oceanic fronts; Pack ice and ice edge</t>
  </si>
  <si>
    <t>MARINE MAMMALS; EUPHAUSIA-SUPERBA; ANTARCTIC KRILL; ECOLOGICAL ROLE; MINKE WHALES; SEABIRDS; DISTRIBUTIONS; ICE; INDICATORS; PREDATORS</t>
  </si>
  <si>
    <t>The distribution at sea of upper trophic levels-seabirds and marine mammals-is depending on their food availability: high concentrations reflect high prey abundance and thus high biological production. Polar marine ecosystems are characterized by low biodiversity and high biological patchiness. The distribution of predators, as a consequence, shows a similar patchiness. During two expeditions of icebreaking RV Polarstern in June-July 2011, biodiversity in the arctic marine zone north of 70A degrees N was very low, with low numbers of species: 20 seabirds, eight cetaceans, five pinnipeds and polar bear. Moreover, a few species accounted for the majority in numbers: four bird species for 95 % of the total of 23,000 seabirds recorded during 700 transect counts: fulmar Fulmarus glacialis, kittiwake Rissa tridactyla, Brunnich's guillemot Uria lomvia and little auk Alle alle. Among the marine mammals, 250 fin whales Balaenoptera physalus accounted for 80 % of the identified large cetaceans, 270 white-beaked dolphin Lagenorhynchus albirostris for 100 % of the small cetaceans and 180 harp seals Pagophilus groenlandica for 80 % of the identified pinnipeds. Their quantitative distribution was depending on water masses and oceanic fronts, large cetaceans-mainly fin whales-showing an important aggregation on the shelf slope off western Spitsbergen, as well as little auks and Brunnich's guillemots. So that this zone, shelf slope and front of mixed Arctic/Atlantic Waters, showed unusually high seabird and cetacean concentrations. Seasonal factors possibly influencing their distribution are addressed.</t>
  </si>
  <si>
    <t>[Joiris, Claude R.; D'Hert, Diederik; Jungblut, Simon] Lab Polar Ecol PolE, F-26130 St Restitut, France; [Falck, Eva] Univ Ctr Svalbard UNIS, Longyearbyen, Norway; [Jungblut, Simon; Boos, Karin] Univ Bremen, Bremen Marine Ecol BreMarE, D-28359 Bremen, Germany; [Boos, Karin] Ctr Marine Environm Sci MARUM, Bremen, Germany</t>
  </si>
  <si>
    <t>University Centre Svalbard (UNIS); University of Bremen; University of Bremen</t>
  </si>
  <si>
    <t>Joiris, CR (corresponding author), Lab Polar Ecol PolE, F-26130 St Restitut, France.</t>
  </si>
  <si>
    <t>crjoiris@gmail.com</t>
  </si>
  <si>
    <t>Jungblut, Simon/0000-0002-0056-7651</t>
  </si>
  <si>
    <t>King Leopold II Fund, Brussels, Belgium</t>
  </si>
  <si>
    <t>Invitation on board RV Polarstern (AWI, Bremerhaven, Germany) by late coordinator E. Fahrbach and chief scientists A. Beszczynska-Moller and M. Klages is greatly appreciated; both kindly allowed to adapt the route and to follow the shelf slope when possible. Observers were as follows: CJ, G. Driessens, G. Nijs, D. Verbelen and D. Monticelli (partim) in ARK-XXVI/1, R. M. Lafontaine and R. Beudels in ARK-XXVI/2. Travel costs to the ship and back were partially supported by the King Leopold II Fund, Brussels, Belgium (leg 1).</t>
  </si>
  <si>
    <t>10.1007/s00300-014-1551-5</t>
  </si>
  <si>
    <t>WOS:000343141300008</t>
  </si>
  <si>
    <t>Laybourn-Parry, J; Bell, EM</t>
  </si>
  <si>
    <t>Laybourn-Parry, Johanna; Bell, Elanor M.</t>
  </si>
  <si>
    <t>Ace Lake: three decades of research on a meromictic, Antarctic lake</t>
  </si>
  <si>
    <t>Antarctic; Saline lakes; Microbial dynamics; Mixolimnion; Monimolimnion; Ace Lake</t>
  </si>
  <si>
    <t>MCMURDO DRY VALLEYS; VESTFOLD HILLS; SALINE LAKES; MICROBIAL COMMUNITIES; OXIDIZING BACTERIA; PLANKTON DYNAMICS; MARINE-SALINITY; LOOP DYNAMICS; ANNUAL CYCLE; ICE-SHEET</t>
  </si>
  <si>
    <t>Ace Lake (Vestfold Hills, Antarctica) has been investigated since the 1970s. Its close proximity to Davis Station has allowed year-long, as well as summer only, investigations. Ace Lake is a saline meromictic (permanently stratified) lake with strong physical and chemical gradients. The lake is one of the most studied lakes in continental Antarctica. Here, we review the current knowledge of the history, the physical and chemical environment, community structure and functional dynamics of the mixolimnion, littoral benthic algal mats, the lower anoxic monimolimnion and the sediment within the monimolimnion. In common with other continental meromictic Antarctic lakes, Ace Lake possesses a truncated food web dominated by prokaryote and eukaryote microorganisms in the upper aerobic mixolimnion and an anaerobic prokaryote community in the monimolimnion, where methanogenic Archaea, sulphate-reducing and sulphur-oxidizing bacteria occur. These communities are functional in winter at subzero temperatures, when mixotrophy plays an important role in survival in dominant photosynthetic eukaryotic microorganisms in the mixolimnion. The productivity of Ace Lake is comparable to other saline lakes in the Vestfold Hills, but higher than that seen in the more southerly McMurdo Dry Valley lakes. Finally, we identify gaps in the current knowledge and avenues that demand further investigation, including comparisons with analogous lakes in the north polar region.</t>
  </si>
  <si>
    <t>[Laybourn-Parry, Johanna] Univ Bristol, Sch Geog Sci, Bristol Glaciol Ctr, Bristol BS8 1SS, Avon, England; [Bell, Elanor M.] Australian Antarctic Div, Kingston, Tas 7050, Australia</t>
  </si>
  <si>
    <t>University of Bristol; Australian Antarctic Division</t>
  </si>
  <si>
    <t>Laybourn-Parry, J (corresponding author), Univ Bristol, Sch Geog Sci, Bristol Glaciol Ctr, Bristol BS8 1SS, Avon, England.</t>
  </si>
  <si>
    <t>Jo.Laybourn-Parry@bristol.ac.uk</t>
  </si>
  <si>
    <t>UK Natural Environment Research Council; Leverhulme Trust; European Commission, Unilever; University of Nottingham; German Research Foundation (DFG); Australian Antarctic Research Assessment Committee</t>
  </si>
  <si>
    <t>UK Natural Environment Research Council(UK Research &amp; Innovation (UKRI)Natural Environment Research Council (NERC)); Leverhulme Trust(Leverhulme Trust); European Commission, Unilever(Unilever); University of Nottingham; German Research Foundation (DFG)(German Research Foundation (DFG)); Australian Antarctic Research Assessment Committee</t>
  </si>
  <si>
    <t>The research attributed to JL-P and EMB in this review was funded by the UK Natural Environment Research Council, the Leverhulme Trust, the European Commission, Unilever, the University of Nottingham, A SCAR Prince of Asturias Fellowship (2003/04; EMB) and the German Research Foundation (DFG). Logistic financial support was provided through the Australian Antarctic Research Assessment Committee. We are indebted to Simon Powell (Bristol University) for artwork. The authors are indebted to fellow expeditioners and colleagues, too numerous to mention, who assisted with fieldwork over many years.</t>
  </si>
  <si>
    <t>10.1007/s00300-014-1553-3</t>
  </si>
  <si>
    <t>WOS:000343141300011</t>
  </si>
  <si>
    <t>Bester, MN; Ryan, PG; Bester, WA; Glass, T</t>
  </si>
  <si>
    <t>Bester, M. N.; Ryan, P. G.; Bester, W. A.; Glass, T.</t>
  </si>
  <si>
    <t>Vagrant Antarctic fur seals at the Tristan da Cunha Islands</t>
  </si>
  <si>
    <t>Antarctic fur seals; Tristan da Cunha Islands; Subantarctic fur seals; Southern Ocean</t>
  </si>
  <si>
    <t>GOUGH ISLAND; ARCTOCEPHALUS; TROPICALIS; GAZELLA</t>
  </si>
  <si>
    <t>Antarctic fur seals Arctocephalus gazella mainly breed at islands south of the Antarctic Polar Front, but stragglers occasionally occur farther north, with records from Gough Island (40A degrees S, 10A degrees W) in the central South Atlantic Ocean in October/November 2005 and September/October 2009. We report the first record from Tristan da Cunha (37A degrees S, 12A degrees W) in September 2013, and another individual that was observed at Gough Island. Both individuals were lean, lethargic subadult males that were present before the onset of the breeding (pupping) season of the resident populations of subantarctic fur seals Arctocephalus tropicalis.</t>
  </si>
  <si>
    <t>[Bester, M. N.; Bester, W. A.] Univ Pretoria, Mammal Res Inst, Dept Zool &amp; Entomol, ZA-0028 Pretoria, South Africa; [Ryan, P. G.] Univ Cape Town, Percy FitzPatrick Inst, DST NRF Ctr Excellence, ZA-7701 Rondebosch, South Africa; [Glass, T.] Tristan da Cunha Conservat Dept, Tristan Da Cunha, South Atlantic, England</t>
  </si>
  <si>
    <t>University of Pretoria; University of Cape Town; National Research Foundation - South Africa</t>
  </si>
  <si>
    <t>Bester, MN (corresponding author), Univ Pretoria, Mammal Res Inst, Dept Zool &amp; Entomol, Private Bag X20, ZA-0028 Pretoria, South Africa.</t>
  </si>
  <si>
    <t>mnbester@zoology.up.ac.za</t>
  </si>
  <si>
    <t>Bester, Marthán N/E-5387-2010</t>
  </si>
  <si>
    <t>10.1007/s00300-014-1549-z</t>
  </si>
  <si>
    <t>WOS:000343141300012</t>
  </si>
  <si>
    <t>Xu, Sheng; Zhang, Bei-Chen; Liu, Rui-Yuan; Guo, Li-Xin; Wu, Ye-Wen</t>
  </si>
  <si>
    <t>Comparative studies on ionospheric climatological features of NmF2 among the Arctic and Antarctic stations</t>
  </si>
  <si>
    <t>Polar region; Ionosphere; NmF2</t>
  </si>
  <si>
    <t>ZHONGSHAN STATION; POLAR IONOSPHERE; ELECTRON-DENSITY; F-REGION; LATITUDE; F2-LAYER; LAYER</t>
  </si>
  <si>
    <t>Climatological features of the maximum electron density of the ionospheric F2 region (NmF2) are investigated and compared among the Arctic and Antarctic stations using long-term observations from the dynasonde measurements at Tromso, the EISCAT Svalbard Radar (ESR) measurements at Longyearbyen, and the digisonde DPS-4 measurements at Zhongshan, Antarctica. The NmF2 data are sorted as monthly medians of NmF2 for each hour, month, and solar activity. Results are presented as follows: (1) On the diurnal variability, the maximum value of NmF2 mainly occurs at local noon at the auroral latitude station Tromso, but at magnetic noon at the cusp latitude station Longyearbyen and between local noon and magnetic noon at Zhongshan, indicating the importance of soft particle precipitation and ionospheric convection in the cusp region. (2) In addition to the daytime peak, there is another peak just before magnetic midnight at Longyearbyen in winter during solar maximum years, which is attributed to the cross-polar transport of EUV ionization from day side to night side. (3) An enhancement of NmF2 is detected at magnetic midnight in winter at Tromso. It may be caused by the nighttime substorms. (4) On the seasonal variability, there are semi-annual anomaly at Tromso and normal variability at both Longyearbyen and Zhongshan during solar minimum years. (5) During solar maximum years there is always semi-annual anomaly for all three stations. The well-known winter anomaly is evident at both Tromso and Zhongshan, but does not exist at Longyearbyen. These anomalies are mainly due to the differences in photoionization and chemical compositions between the three stations. (C) 2014 Elsevier Ltd. All rights reserved.</t>
  </si>
  <si>
    <t>[Xu, Sheng; Guo, Li-Xin] Xidian Univ, Sch Sci, Xian 710071, Peoples R China; [Xu, Sheng; Zhang, Bei-Chen; Liu, Rui-Yuan] Polar Res Inst China, SOA Key Lab Polar Sci, Shanghai 200136, Peoples R China; [Wu, Ye-Wen] Nanjing Univ Informat Sci &amp; Technol, Inst Space Weather, Nanjing 210044, Jiangsu, Peoples R China</t>
  </si>
  <si>
    <t>Xu, S (corresponding author), Xidian Univ, Sch Sci, Xian 710071, Peoples R China.</t>
  </si>
  <si>
    <t>xusheng@pric.gov.cn</t>
  </si>
  <si>
    <t>National Basic Research Program of China [2012CB825603]; National Natural Science Foundation of China [41274148]; Polar Environment Comprehensive Investigation &amp; Assessment Programs (CHINARE)</t>
  </si>
  <si>
    <t>National Basic Research Program of China(National Basic Research Program of China); National Natural Science Foundation of China(National Natural Science Foundation of China (NSFC)); Polar Environment Comprehensive Investigation &amp; Assessment Programs (CHINARE)</t>
  </si>
  <si>
    <t>This work was supported by the National Basic Research Program of China (grant 2012CB825603), the National Natural Science Foundation of China (grant 41274148) and the Polar Environment Comprehensive Investigation &amp; Assessment Programs (CHINARE 2014-02-03). The F107 indices are downloaded from the SPIDR web site (http://spidr.ngdc.noaa.gov). We deeply thank Prof. Chris Hall and Prof. Asgeir Brekke for their help in providing the data of dynasonde at Tromso. The digisonde DPS-4 data at Zhongshan are issued by the Data-sharing Platform of Polar Science (http://www.chinare.org.cn) maintained by Polar Research Institute of China and Chinese National Antarctic &amp; Arctic Data Center. The ESR data are available on the public database (http:// www.eiscat.se/madrigal/cgi-bin/madInvent.cgi).</t>
  </si>
  <si>
    <t>10.1016/j.jastp.2014.06.016</t>
  </si>
  <si>
    <t>AQ6AQ</t>
  </si>
  <si>
    <t>WOS:000342890100007</t>
  </si>
  <si>
    <t>Reisin, ER; Scheer, J; Dyrland, ME; Sigernes, F; Deehr, CS; Schmidt, C; Höppner, K; Bittner, M; Ammosov, PP; Gavrilyeva, GA; Stegman, J; Perminov, VI; Semenov, AI; Knieling, P; Koppmann, R; Shiokawa, K; Lowe, RP; López-González, MJ; Rodríguez, E; Zhao, Y; Taylor, MJ; Buriti, RA; Espy, PJ; French, WJR; Eichmann, KU; Burrows, JP; von Savigny, C</t>
  </si>
  <si>
    <t>Reisin, E. R.; Scheer, J.; Dyrland, M. E.; Sigernes, F.; Deehr, C. S.; Schmidt, C.; Hoeppner, K.; Bittner, M.; Ammosov, P. P.; Gavrilyeva, G. A.; Stegman, J.; Perminov, V. I.; Semenov, A. I.; Knieling, P.; Koppmann, R.; Shiokawa, K.; Lowe, R. P.; Lopez-Gonzalez, M. J.; Rodriguez, E.; Zhao, Y.; Taylor, M. J.; Buriti, R. A.; Espy, P. J.; French, W. J. R.; Eichmann, K. -U.; Burrows, J. P.; von Savigny, C.</t>
  </si>
  <si>
    <t>Traveling planetary wave activity from mesopause region airglow temperatures determined by the Network for the Detection of Mesospheric Change (NDMC)</t>
  </si>
  <si>
    <t>Traveling planetary wave activity; Ground-based airglow observations; Rotational temperature; Network for the Detection of Mesospheric Change (NDMC)</t>
  </si>
  <si>
    <t>HYDROXYL ROTATIONAL TEMPERATURE; LOWER THERMOSPHERE; OH(6-2) AIRGLOW; STRATOSPHERE; OSCILLATIONS; ANTARCTICA; SIGNATURES; SCIAMACHY; PERIOD; DAVIS</t>
  </si>
  <si>
    <t>The global distribution of traveling planetary wave (PW) activity in the mesopause region is estimated for the first time from ground-based airglow measurements. Monthly and total mean climatologies of PW power are determined from rotational temperatures measured at 19 sites from 78 degrees N to 76 degrees S which contribute to the Network for the Detection of Mesospheric Change (NDMC). Wave power is expressed as the standard deviation of nocturnal mean temperature around the seasonal temperature variation. The results from 20 degrees N confirm the SABER traveling PW proxy by Offermann et al. (2009, J. Geophys. Res. 114, D06110) at two altitudes. Most sites between 69 degrees S and 69 degrees N show total mean traveling PW activity of about 6 K, and only some high latitude sites have considerably higher activity levels. At the two tropical sites, there is practically no seasonal variation of PW activity. At 70% of the midlatitude sites, the seasonal variation is moderate for most of the year, but it is quite appreciable at all high latitude sites. Results about traveling PW activity at 87 km and 95 km available from several sites signal similar behavior at both altitudes. The total mean climatological results here obtained have further been used to separate the traveling PW contribution from the superposition of wave types contained in OH rotational temperature fluctuations measured by the SCIAMACHY instrument on Envisat. A narrow equatorial wave activity maximum is probably caused by gravity waves, while a tendency towards greater activity at higher northern latitudes may be due to stationary planetary waves. (C) 2014 Elsevier Ltd. All rights reserved.</t>
  </si>
  <si>
    <t>[Reisin, E. R.; Scheer, J.] CONICET UBA, Inst Astron &amp; Fis Espacio, Buenos Aires, DF, Argentina; [Dyrland, M. E.; Sigernes, F.] Univ Ctr Svalbard, Birkeland Ctr Space Sci, Longyearbyen, Norway; [Deehr, C. S.] Univ Alaska Fairbanks, Inst Geophys, Fairbanks, AK USA; [Schmidt, C.; Hoeppner, K.; Bittner, M.] Deutsch Zentrum Luft &amp; Raumfahrt DLR, Oberpfaffenhofen, Germany; [Ammosov, P. P.; Gavrilyeva, G. A.] Inst Cosmophys Res &amp; Aeron SB RAS, Yakutsk, Russia; [Stegman, J.] Stockholm Univ, Meteorologiska Inst, Stockholm, Sweden; [Perminov, V. I.; Semenov, A. I.] Russian Acad Sci, Obukhov Inst Atmospher Phys, Moscow, Russia; [Knieling, P.; Koppmann, R.] Univ Wuppertal, Dept Phys, Wuppertal, Germany; [Shiokawa, K.] Nagoya Univ, Solar Terr Environm Lab, Nagoya, Aichi 4648601, Japan; [Lowe, R. P.] Univ Western Ontario, London, ON, Canada; [Lopez-Gonzalez, M. J.; Rodriguez, E.] CSIC, Inst Astrofis Andalucia, Granada, Spain; [Zhao, Y.; Taylor, M. J.] Utah State Univ, Ctr Atmospher &amp; Space Sci, Logan, UT 84322 USA; [Buriti, R. A.] Univ Fed Campina Grande, Unidade Acad Fis, Campina Grande, Paraiba, Brazil; [Espy, P. J.] Norges Teknisk Nat Vitenskapelige Univ, Trondheim, Norway; [Espy, P. J.] Birkeland Ctr Space Sci, Bergen, Norway; [French, W. J. R.] Australian Antarctic Div, Kingston, Tas, Australia; [Eichmann, K. -U.; Burrows, J. P.] Univ Bremen, Inst Umweltphys, D-28359 Bremen, Germany; [von Savigny, C.] Ernst Moritz Arndt Univ Greifswald, Inst Phys, Greifswald, Germany</t>
  </si>
  <si>
    <t>Instituto de Astronomia y Fisica del Espacio (IAFE); Consejo Nacional de Investigaciones Cientificas y Tecnicas (CONICET); University of Buenos Aires; University Centre Svalbard (UNIS); University of Alaska System; University of Alaska Fairbanks; Helmholtz Association; German Aerospace Centre (DLR); Russian Academy of Sciences; Shafer Institute of Cosmophysical Research &amp; Aeronomy, Siberian Branch of the Russian Academy of Sciences; Stockholm University; Russian Academy of Sciences; Obukhov Institute of Atmospheric Physics of Russian Academy of Sciences; University of Wuppertal; Nagoya University; Western University (University of Western Ontario); Consejo Superior de Investigaciones Cientificas (CSIC); CSIC - Instituto de Astrofisica de Andalucia (IAA); Utah System of Higher Education; Utah State University; Universidade Federal de Campina Grande; Australian Antarctic Division; University of Bremen; Universitat Greifswald</t>
  </si>
  <si>
    <t>Reisin, ER (corresponding author), CONICET UBA, Inst Astron &amp; Fis Espacio, Buenos Aires, DF, Argentina.</t>
  </si>
  <si>
    <t>ereisin@iafe.uba.ar</t>
  </si>
  <si>
    <t>Lopez-Gonzalez, Maria Jose/AAB-9217-2019; Buriti, Ricardo/U-8939-2019; von Savigny, Christian/B-3910-2014; Gavrilyeva, Galina/HMU-9584-2023; Gavrilyeva, Galina/AAF-4484-2019; Burrows, John Philip/AAF-8468-2019; Ammosov, Petr/T-3644-2018</t>
  </si>
  <si>
    <t>Lopez-Gonzalez, Maria Jose/0000-0001-8104-5128; Gavrilyeva, Galina/0000-0002-5968-5644; Burrows, John Philip/0000-0002-6821-5580; Schmidt, Carsten/0000-0002-9580-724X; French, John/0000-0001-9305-6190; Rodriguez, Eloy/0000-0001-6827-9077; Reisin, Esteban Rodolfo/0000-0003-3551-6819; von Savigny, Christian/0000-0001-7926-3986; Perminov, Vladimir/0000-0002-2293-1442</t>
  </si>
  <si>
    <t>CONICET, Argentina [PIP 112-200801-00287]; Research Council of Norway (RCN) [204993]; Norwegian and Russian Upper Atmosphere Cooperation On Svalbard part 2 (NORUSCA2) [196173/S30]; Atmospheric Sciences Division of the US National Science Foundation; RFBR; Spanish MICINN [AYA2011-23552]; Priority Area-764 of MEXT, Japan [13136201]; NSF [ATM-03-38425, ATM-0003218, ATM-1110215]; Australian Antarctic Science Advisory Committee (ASAC) [AAS701]; [11440145]; [13573006]</t>
  </si>
  <si>
    <t>CONICET, Argentina(Consejo Nacional de Investigaciones Cientificas y Tecnicas (CONICET)); Research Council of Norway (RCN)(Research Council of Norway); Norwegian and Russian Upper Atmosphere Cooperation On Svalbard part 2 (NORUSCA2); Atmospheric Sciences Division of the US National Science Foundation; RFBR(Russian Foundation for Basic Research (RFBR)); Spanish MICINN(Spanish Government); Priority Area-764 of MEXT, Japan; NSF(National Science Foundation (NSF)); Australian Antarctic Science Advisory Committee (ASAC); ;</t>
  </si>
  <si>
    <t>We thank Marianna Shepherd and Alok Taori for supplying data from Eureka and Gadanki, which regretably were still insufficient to pass the selection criteria and so yielded no usable results. Helpful comments by Dirk Offermann and by the anonymous reviewers of previous manuscript versions are gratefully acknowledged. E.R.R. and J.Sch. acknowledge funding by CONICET, Argentina Grant PIP 112-200801-00287. M.E.D and F.S. would like to acknowledge financial support from the Research Council of Norway (RCN) through the projects: High-Arctic Gravity waves and their impact on middle atmospheric circulation and temperature (#204993), and Norwegian and Russian Upper Atmosphere Cooperation On Svalbard part 2 # 196173/S30 (NORUSCA2). C.S.D. acknowledges support to the Geophysical Institute by Atmospheric Sciences Division of the US National Science Foundation. V.I.P. and A.I.S. are grateful to RFBR for support of the airglow observations at Zvenigorod station. M.J.L.G. and E.R. acknowledge funding by the Spanish MICINN under Project AYA2011-23552 and thank the staff of Sierra Nevada Observatory for assistance with the SATI instrument. K.S. thanks M. Satoh, Y. Katoh, Y. Hamaguchi, and Y. Yamamoto of STEL, Nagoya Univ., for their helpful support of the photometer operation at RIK and STA, and acknowledges support by Grant-in-Aid for Scientific Research (11440145, 13573006) and by Priority Area-764 (13136201) of MEXT, Japan. Financial support for the MTM observations and data analysis as part of the Maui-MALT program and Cerro Pachon Program was provided by NSF Grants ATM-03-38425, ATM-0003218 and ATM-1110215. Observations at Davis are supported by the Australian Antarctic Science Advisory Committee (ASAC) under AAS701 and we thank the Davis wintering science teams for their dedicated observatory support. SCIAMACHY is jointly funded by Germany, the Netherlands, and Belgium. The analysis of SCIAMACHY data is supported by the Universities of Bremen and Greifswald, and the SCIAMACHY Level 1 data were kindly provided by ESA.</t>
  </si>
  <si>
    <t>10.1016/j.jastp.2014.07.002</t>
  </si>
  <si>
    <t>WOS:000342890100008</t>
  </si>
  <si>
    <t>Zablocki, O; van Zyl, L; Adriaenssens, EM; Rubagotti, E; Tuffin, M; Cary, SC; Cowan, D</t>
  </si>
  <si>
    <t>Zablocki, Olivier; van Zyl, Lonnie; Adriaenssens, Evelien M.; Rubagotti, Enrico; Tuffin, Marla; Cary, Stephen Craig; Cowan, Don</t>
  </si>
  <si>
    <t>High-Level Diversity of Tailed Phages, Eukaryote-Associated Viruses, and Virophage-Like Elements in the Metaviromes of Antarctic Soils</t>
  </si>
  <si>
    <t>HYPOLITHIC MICROBIAL COMMUNITIES; MCMURDO DRY VALLEYS; GIANT VIRUSES; BACTERIOPHAGE; TEMPERATE; ROCKS; LIFE</t>
  </si>
  <si>
    <t>The metaviromes of two distinct Antarctic hyperarid desert soil communities have been characterized. Hypolithic communities, cyanobacterium-dominated assemblages situated on the ventral surfaces of quartz pebbles embedded in the desert pavement, showed higher virus diversity than surface soils, which correlated with previous bacterial community studies. Prokaryotic viruses (i.e., phages) represented the largest viral component (particularly Mycobacterium phages) in both habitats, with an identical hierarchical sequence abundance of families of tailed phages (Siphoviridae &gt; Myoviridae &gt; Podoviridae). No archaeal viruses were found. Unexpectedly, cyanophages were poorly represented in both metaviromes and were phylogenetically distant from currently characterized cyanophages. Putative phage genomes were assembled and showed a high level of unaffiliated genes, mostly from hypolithic viruses. Moreover, unusual gene arrangements in which eukaryotic and prokaryotic virus-derived genes were found within identical genome segments were observed. Phycodnaviridae and Mimiviridae viruses were the second-most-abundant taxa and more numerous within open soil. Novel virophage-like sequences (within the Sputnik clade) were identified. These findings highlight high-level virus diversity and novel species discovery potential within Antarctic hyperarid soils and may serve as a starting point for future studies targeting specific viral groups.</t>
  </si>
  <si>
    <t>[Zablocki, Olivier; Adriaenssens, Evelien M.; Cowan, Don] Univ Pretoria, Ctr Microbial Ecol &amp; Genom, ZA-0002 Pretoria, South Africa; [van Zyl, Lonnie; Tuffin, Marla] Univ Western Cape, Inst Microbial Biotechnol &amp; Metagenom, ZA-7535 Bellville, South Africa; [Cary, Stephen Craig] Univ Waikato, Int Ctr Terr Antarctic Res, Hamilton, New Zealand; [Zablocki, Olivier; Adriaenssens, Evelien M.; Rubagotti, Enrico; Cowan, Don] Univ Pretoria, Genom Res Inst, ZA-0002 Pretoria, South Africa</t>
  </si>
  <si>
    <t>University of Pretoria; University of the Western Cape; University of Waikato; University of Pretoria</t>
  </si>
  <si>
    <t>Cowan, D (corresponding author), Univ Pretoria, Ctr Microbial Ecol &amp; Genom, ZA-0002 Pretoria, South Africa.</t>
  </si>
  <si>
    <t>don.cowan@up.ac.za</t>
  </si>
  <si>
    <t>Trindade, Marla/AAU-9730-2020; Adriaenssens, Evelien/E-8004-2013; Zablocki, Olivier/I-3337-2015; Rubagotti, Enrico/AAL-1807-2020; Cowan, Donald A/E-3991-2012; van Zyl, Leonardo Joaquim/HKF-2186-2023</t>
  </si>
  <si>
    <t>Trindade, Marla/0000-0002-2478-0270; Adriaenssens, Evelien/0000-0003-4826-5406; Zablocki, Olivier/0000-0001-7561-1373; Cowan, Donald A/0000-0001-8059-861X; van Zyl, Leonardo Joaquim/0000-0001-9364-8671; Cary, Stephen/0000-0002-2876-2387; Rubagotti, Enrico/0000-0002-3741-5408</t>
  </si>
  <si>
    <t>National Research Foundation (NRF) (SANAP); University of Waikato's NZTABS program; Antarctica New Zealand; University of Pretoria Genomics Research Institute; Department of Science and Technology of South Africa; University of Pretoria; NRF-DST Doctoral Innovation Fund</t>
  </si>
  <si>
    <t>We gratefully acknowledge financial support from the National Research Foundation (NRF) (SANAP), the University of Waikato's NZTABS program, Antarctica New Zealand, and the University of Pretoria Genomics Research Institute. We also thank the Centre for High Performance Computing (CHPC), an initiative supported by the Department of Science and Technology of South Africa. E.M. Adriaenssens holds a Vice-Chancellor's Fellowship at the University of Pretoria, and O. Zablocki is supported by the NRF-DST Doctoral Innovation Fund.</t>
  </si>
  <si>
    <t>10.1128/AEM.01525-14</t>
  </si>
  <si>
    <t>WOS:000344161700005</t>
  </si>
  <si>
    <t>Juvik, J; Kueffer, C; Juvik, S; Nagata, S</t>
  </si>
  <si>
    <t>Juvik, James; Kueffer, Christoph; Juvik, Sonia; Nagata, Stephanie</t>
  </si>
  <si>
    <t>Introduction-Losing the high ground: rapid transformation of tropical island alpine and subalpine environments</t>
  </si>
  <si>
    <t>CLIMATE-CHANGE; KILIMANJARO; MOUNTAINS</t>
  </si>
  <si>
    <t>[Juvik, James; Juvik, Sonia] Univ Hawaii, Dept Geog &amp; Environm Studies, Hilo, HI 96720 USA; [Kueffer, Christoph] ETH, Inst Integrat Biol, CH-8092 Zurich, Switzerland; [Nagata, Stephanie] Univ Hawaii, Off Mauna Kea Management, Hilo, HI 96720 USA</t>
  </si>
  <si>
    <t>University of Hawaii System; University Hawaii Hilo; Swiss Federal Institutes of Technology Domain; ETH Zurich; University of Hawaii System; University Hawaii Hilo</t>
  </si>
  <si>
    <t>Juvik, J (corresponding author), Univ Hawaii, Dept Geog &amp; Environm Studies, Hilo, HI 96720 USA.</t>
  </si>
  <si>
    <t>jjuvik@hawaii.edu</t>
  </si>
  <si>
    <t>Kueffer, Christoph/H-6091-2013</t>
  </si>
  <si>
    <t>Kueffer, Christoph/0000-0001-6701-0703</t>
  </si>
  <si>
    <t>10.1657/1938-4246-46.4.705</t>
  </si>
  <si>
    <t>WOS:000346219500001</t>
  </si>
  <si>
    <t>Diaz, HF; Bradley, RS; Ning, L</t>
  </si>
  <si>
    <t>Diaz, Henry F.; Bradley, Raymond S.; Ning, Liang</t>
  </si>
  <si>
    <t>Climatic changes in mountain regions of the American Cordillera and the tropics: historical changes and future outlook</t>
  </si>
  <si>
    <t>HIGH-ELEVATION REGIONS; POTENTIAL IMPACTS; SNOW COVER; WESTERN; VARIABILITY; GLACIERS; DROUGHT; SURFACE; RUNOFF; SITES</t>
  </si>
  <si>
    <t>We review some recent work regarding climatic changes in selected mountain regions, with particular attention to the tropics and the American Cordillera. Key aspects of climatic variability and trends in these regions are the amplification of surface warming trends with height, and the strong modulation of temperature trends by tropical sea surface temperature, largely controlled by changes in El Nino-Southern Oscillation on multiple time scales. Corollary aspects of these climate trends include the increase in a critical plant growth temperature threshold, a rise in the freezing level surface, and the possibility of enhanced subtropical drying. Anthropogenic global warming projections indicate a strong likelihood for enhancement of these observed changes.</t>
  </si>
  <si>
    <t>[Diaz, Henry F.] Univ Colorado, NOAA Cooperat Inst Res Environm Sci, Boulder, CO 80305 USA; [Bradley, Raymond S.; Ning, Liang] Univ Massachusetts, Dept Geosci, Amherst, MA 01003 USA</t>
  </si>
  <si>
    <t>University of Colorado System; University of Colorado Boulder; National Oceanic Atmospheric Admin (NOAA) - USA; University of Massachusetts System; University of Massachusetts Amherst</t>
  </si>
  <si>
    <t>Diaz, HF (corresponding author), Univ Colorado, NOAA Cooperat Inst Res Environm Sci, 325 Broadway, Boulder, CO 80305 USA.</t>
  </si>
  <si>
    <t>henry.f.diaz@noaa.gov</t>
  </si>
  <si>
    <t>Bradley, Raymond S/P-9358-2015</t>
  </si>
  <si>
    <t>Bradley, Raymond S/0000-0002-4032-9519</t>
  </si>
  <si>
    <t>10.1657/1938-4246-46.4.735</t>
  </si>
  <si>
    <t>WOS:000346219500004</t>
  </si>
  <si>
    <t>Martin, PH; Fahey, TJ</t>
  </si>
  <si>
    <t>Martin, Patrick H.; Fahey, Timothy J.</t>
  </si>
  <si>
    <t>Mesoclimatic patterns shape the striking vegetation mosaic in the Cordillera Central, Dominican Republic</t>
  </si>
  <si>
    <t>TROPICAL MONTANE FOREST; RAIN-FOREST; COSTA-RICA; ALTITUDINAL GRADIENTS; TREE COMMUNITIES; ZONATION; CLIMATE; ELEVATION; KILIMANJARO; VARIABILITY</t>
  </si>
  <si>
    <t>A relationship between forest vegetation patterns and climate has been proposed for Caribbean mountains, but mesoscale temperature, precipitation (PPT), humidity, and cloud formation patterns are poorly documented. Half-hourly temperature and humidity observations were obtained from 2001 to 2011 from a network of 10 data-logging instruments ranging in elevation from 1500 to 2800 m on the windward slopes of the Cordillera Central, Dominican Republic. We report diurnal, seasonal, and annual patterns in temperature, PPT, humidity, and the trade wind inversion (TWI) along the elevation gradient. The elevational gradient in mean air temperature was non-linear during the dry season, with lapse rates decreasing to -0.5 degrees C km(-1) between 1500 and 1900 m and -0.8 degrees C km(-1) between 2100 and 2400 m. Relative humidity reached a maximum at 2100 m (mean of 91%), but remains above 85% over the entire gradient until 2600 m, above which it drops steeply. Relative humidity also showed marked seasonality but only at the highest elevations, dropping markedly above 2400 m and especially above 2600 m in the dry season, while remaining high at lower elevations throughout the year. PPT declined only slightly with elevation on windward slopes, but was markedly lower in leeward areas. Dry season PPT was lower on windward and leeward slopes at all elevations, except at similar to 2400 m on windward slopes where it remained nearly as high as the rest of the year. Sub-zero temperatures occurred at elevations &gt;= 2325 m and increased markedly in frequency 2600 m. These observations support the hypothesis that the discrete vegetation ecotone between the cloud forest and subalpine pine forest at similar to 2200 m on windward slopes results from climatic discontinuities, especially during the dry season. In particular, the TWI effect on mesoclimatic patterns (especially moisture) regulates the elevational maximum of cloud forest flora and likely will represent a strong barrier to the future migration of cloud forest flora to higher elevations in response to warmer temperatures. Together with increased moisture stress due to higher temperatures, climate change in the high elevations of tropical mountains is therefore likely to disrupt the dynamics and distributions of tropical montane forests.</t>
  </si>
  <si>
    <t>[Martin, Patrick H.] Colorado State Univ, Dept Hort &amp; Landscape Architecture, Ft Collins, CO 80523 USA; [Fahey, Timothy J.] Cornell Univ, Dept Nat Resources, Ithaca, NY 14853 USA</t>
  </si>
  <si>
    <t>Colorado State University; Cornell University</t>
  </si>
  <si>
    <t>Martin, PH (corresponding author), Colorado State Univ, Dept Hort &amp; Landscape Architecture, 1173 Campus Delivery, Ft Collins, CO 80523 USA.</t>
  </si>
  <si>
    <t>patrick.martin@colostate.edu</t>
  </si>
  <si>
    <t>National Science Foundation; Garden Club of America</t>
  </si>
  <si>
    <t>National Science Foundation(National Science Foundation (NSF)); Garden Club of America</t>
  </si>
  <si>
    <t>This research was supported by a research grant from the National Science Foundation and an Award in Tropical Botany from the Garden Club of America</t>
  </si>
  <si>
    <t>10.1657/1938-4246-46.4.755</t>
  </si>
  <si>
    <t>WOS:000346219500006</t>
  </si>
  <si>
    <t>Gannon, BM; Martin, PH</t>
  </si>
  <si>
    <t>Gannon, Benjamin M.; Martin, Patrick H.</t>
  </si>
  <si>
    <t>Reconstructing hurricane disturbance in a tropical montane forest landscape in the Cordillera Central, Dominican Republic: implications for vegetation patterns and dynamics</t>
  </si>
  <si>
    <t>LUQUILLO EXPERIMENTAL FOREST; CARIBBEAN HURRICANES; RAIN-FORESTS; DAMAGE; RECOVERY; HUGO; ECOSYSTEMS; IMPACTS; TREES; CLASSIFICATION</t>
  </si>
  <si>
    <t>Hurricanes are intense, frequent disturbances of Caribbean ecosystems and are important agents in structuring the region's ecological patterns and processes. The rugged topography and diverse vegetation of Caribbean tropical montane forests interact with hurricane forces to create complex disturbance patterns. In this study, we used a 158-yr historical database of hurricane tracks to calculate fine-scale hurricane return intervals across the Caribbean, and Landsat imagery and field inventory to reconstruct wind and rain disturbance from Hurricane Georges in the Cordillera Central, Dominican Republic. Spatial patterns of disturbance from Georges and the relationship of disturbance with hurricane meteorology, topography, and vegetation were analyzed for the landscape. The long-term hurricane return interval for the Cordillera Central was 14.4 yrs. Damage from hurricane Georges was distributed over a small portion of the study area (similar to 330 km(2) study area); only 11.3% of the study area was disturbed by wind and 4.3% by flooding. Multiple logistic regression showed that hurricane meteorology, topography, and vegetation were all significant predictors of patterns of wind disturbance. In particular, wind disturbance was concentrated in high-elevation forest types, with 12% of the total disturbed area in cloud forest and 82% in pine forest. Within the wind-disturbed areas, the degree of mortality varied markedly by forest type, with the proportion of dead basal area 9.8% higher in cloud forest, 11.4% higher in transitional pine, and 50.5% higher in pine forest compared to controls. Although much of the landscape was undisturbed by Georges, the regularity of hurricanes in the region and the magnitude of change in disturbed patches suggest that hurricanes are an important driver of forest dynamics and demonstrates the importance of sampling across gradients of disturbance severity.</t>
  </si>
  <si>
    <t>[Gannon, Benjamin M.; Martin, Patrick H.] Colorado State Univ, Grad Degree Program Ecol, Ft Collins, CO 80523 USA; [Gannon, Benjamin M.; Martin, Patrick H.] Colorado State Univ, Dept Hort &amp; Landscape Architecture, Ft Collins, CO 80523 USA</t>
  </si>
  <si>
    <t>Colorado State University; Colorado State University</t>
  </si>
  <si>
    <t>Gannon, BM (corresponding author), Colorado State Univ, Grad Degree Program Ecol, 1173 Campus Delivery, Ft Collins, CO 80523 USA.</t>
  </si>
  <si>
    <t>bgannon@rams.colostate.edu</t>
  </si>
  <si>
    <t>National Science Foundation [0921925]; Office Of Internatl Science &amp;Engineering; Office Of The Director [0921925] Funding Source: National Science Foundation</t>
  </si>
  <si>
    <t>National Science Foundation(National Science Foundation (NSF)); Office Of Internatl Science &amp;Engineering; Office Of The Director(National Science Foundation (NSF)NSF - Office of the Director (OD))</t>
  </si>
  <si>
    <t>This work was supported by the National Science Foundation Grant No. 0921925.</t>
  </si>
  <si>
    <t>10.1657/1938-4246-46.4.767</t>
  </si>
  <si>
    <t>WOS:000346219500007</t>
  </si>
  <si>
    <t>Anthelme, F; Jacobsen, D; Macek, P; Meneses, RI; Moret, P; Beck, S; Dangles, O</t>
  </si>
  <si>
    <t>Anthelme, Fabien; Jacobsen, Dean; Macek, Petr; Meneses, Rosa I.; Moret, Pierre; Beck, Stephan; Dangles, Olivier</t>
  </si>
  <si>
    <t>Biodiversity patterns and continental insularity in the tropical High Andes</t>
  </si>
  <si>
    <t>SPECIES DISTRIBUTION; COMMUNITY STRUCTURE; PLANT; DIVERSITY; GRADIENT; PARAMO; BIOGEOGRAPHY; RADIATION; ELEVATION; ENDEMISM</t>
  </si>
  <si>
    <t>Alpine areas of the tropical Andes constitute the largest of all tropical alpine regions worldwide. They experience a particularly harsh climate, and they are fragmented into tropical alpine islands at various spatial scales. These factors generate unique patterns of continental insularity, whose impacts on biodiversity remain to be examined precisely. By reviewing existing literature and by presenting unpublished data on beta-diversity and endemism for a wide array of taxonomic groups, we aimed at providing a clear, overall picture of the isolation-biodiversity relationship in the tropical alpine environments of the Andes. Our analyses showed that (1) taxa with better dispersal capacities and wider distributions (e.g., grasses and birds) were less restricted to alpine areas at local scale; (2) similarity among communities decreased with spatial distance between isolated alpine areas; and (3) endemism reached a peak in small alpine areas strongly isolated from main alpine islands. These results pinpoint continental insularity as a powerful driver of biodiversity in the tropical High Andes. A combination of human activities and warming is expected to increase the effects of continental insularity in the next decades, especially by amplifying the resistance of the lowland matrix that surrounds tropical alpine islands.</t>
  </si>
  <si>
    <t>[Anthelme, Fabien] IRD, UMR AMAP Bot &amp; Bioinformat Architecture Plantes, F-34398 Montpellier 5, France; [Anthelme, Fabien; Beck, Stephan; Dangles, Olivier] Univ Mayor San Andres, Inst Ecol, La Paz, Bolivia; [Jacobsen, Dean] Univ Copenhagen, Dept Biol, Freshwater Biol Sect, DK-3400 Hillerod, Denmark; [Macek, Petr] CSIC, Estn Expt Zonas Aridas, LINCGlobal, E-04120 La Canada De San Urbano, Almeria, Spain; [Macek, Petr] Univ South Bohemia, Fac Sci, Dept Bot, CZ-37005 Ceske Budejovice, Czech Republic; [Meneses, Rosa I.; Beck, Stephan] Herbario Nacl Bolivia, La Paz, Bolivia; [Moret, Pierre] Univ Toulouse 2, CNRS, UMR TRACES 5608, F-31058 Toulouse, France; [Dangles, Olivier] IRD, UR 072, Lab Evolut Genomes &amp; Speciat, UPR 9034,CNRS, F-91198 Gif Sur Yvette, France; [Dangles, Olivier] Univ Paris 11, F-91405 Orsay, France; [Meneses, Rosa I.] Museo Nacl Hist Nat, La Paz, Bolivia</t>
  </si>
  <si>
    <t>Institut de Recherche pour le Developpement (IRD); Universite de Montpellier; Universidad Mayor de San Andres; University of Copenhagen; Consejo Superior de Investigaciones Cientificas (CSIC); CSIC - Estacion Experimental de Zonas Aridas (EEZA); University of South Bohemia Ceske Budejovice; Centre National de la Recherche Scientifique (CNRS); Universite de Toulouse; Universite de Toulouse - Jean Jaures; Centre National de la Recherche Scientifique (CNRS); Institut de Recherche pour le Developpement (IRD); Universite Paris Saclay; Universite Paris Saclay</t>
  </si>
  <si>
    <t>Anthelme, F (corresponding author), IRD, UMR AMAP Bot &amp; Bioinformat Architecture Plantes, Blvd Lironde,TA A-51-PS2, F-34398 Montpellier 5, France.</t>
  </si>
  <si>
    <t>fabien.anthelme@ird.fr; olivier.dangles@ird.fr</t>
  </si>
  <si>
    <t>Dangles, Olivier/C-4924-2009; Macek, Petr/AAK-7805-2020; Jacobsen, Dean/K-4920-2014</t>
  </si>
  <si>
    <t>Dangles, Olivier/0000-0002-1987-8433; Macek, Petr/0000-0002-4792-9461; Anthelme, Fabien/0000-0001-6249-995X; Jacobsen, Dean/0000-0001-5137-297X; Meneses, Rosa Isela/0000-0001-8779-2757</t>
  </si>
  <si>
    <t>MSMT [LM2010009 CzechPolar]</t>
  </si>
  <si>
    <t>MSMT(Ministry of Education, Youth &amp; Sports - Czech Republic)</t>
  </si>
  <si>
    <t>We warmly thank Carlos Boada, Michael Kessler, Santiago Ron, the Herbario Nacional de Bolivia (LPB), and the Missouri Botanical Garden for providing us with unpublished information that consistently improved our database. We are also grateful to James Juvik for inviting Fabien Anthelme to the international conference Vulnerable Islands in the Sky: Science and Management of Tropical Island Alpine &amp; Sub-alpine Ecosystems held in Hawai'i in August 2012. Macek was supported by MSMT LM2010009 CzechPolar.</t>
  </si>
  <si>
    <t>10.1657/1938-4246-46.4.811</t>
  </si>
  <si>
    <t>WOS:000346219500011</t>
  </si>
  <si>
    <t>Greenwood, S; Jump, AS</t>
  </si>
  <si>
    <t>Greenwood, Sarah; Jump, Alistair S.</t>
  </si>
  <si>
    <t>Consequences of treeline shifts for the diversity and function of high altitude ecosystems</t>
  </si>
  <si>
    <t>FOREST-TUNDRA ECOTONE; SUB-ALPINE FOREST; GLACIER NATIONAL-PARK; CLIMATE-CHANGE; NITROGEN MINERALIZATION; CARBON SEQUESTRATION; PLANT COMMUNITY; HIGH-ELEVATION; SOIL CARBON; VEGETATION DYNAMICS</t>
  </si>
  <si>
    <t>Treeline expansion is reported as a widespread response to rising temperatures, yet few studies have considered the impact of treeline advance on the diversity and function of high altitude systems. Evidence suggests that climate change is already having a negative impact on alpine diversity and is modifying functions such as carbon sequestration and nutrient cycling. Treeline advance is likely to further affect diversity and function, yet our understanding of the processes involved is limited. Here we review and synthesize literature that assesses the impact of treeline advance into treeless ecosystems. Using published literature, we explore to what extent treeline advance will lead to the displacement of alpine species and the fragmentation of alpine habitats. While large changes will be observed in the ecosystems above the current treeline as trees migrate, it is likely that these newly forested areas will deviate substantially from the established forests from which they have developed. Consequently, at the forest community level we investigate the potential for differential response speeds of typical forest plant species, and the potential for treeline advance to lead to community disassembly. Given that changes in species presence and abundance can alter the functional composition of plant communities, we explore the potential for shifts in tree distribution to lead to changes in carbon storage, nutrient cycling, and hydrological properties of ecosystems. Despite typically being intensively studied regions, the likely impact of forest expansion above the current mountain treeline has received relatively little attention and so we identify key knowledge gaps that should act as priorities for future research in mountain systems.</t>
  </si>
  <si>
    <t>[Greenwood, Sarah; Jump, Alistair S.] Univ Stirling, Sch Nat Sci, Dept Biol &amp; Environm Sci, Stirling FK9 4LA, Scotland</t>
  </si>
  <si>
    <t>University of Stirling</t>
  </si>
  <si>
    <t>Jump, AS (corresponding author), Univ Stirling, Sch Nat Sci, Dept Biol &amp; Environm Sci, Stirling FK9 4LA, Scotland.</t>
  </si>
  <si>
    <t>a.s.jump@stir.ac.uk</t>
  </si>
  <si>
    <t>Jump, Alistair S/B-5746-2012</t>
  </si>
  <si>
    <t>Jump, Alistair/0000-0002-2167-6451; Greenwood, Sarah/0000-0001-9104-7936</t>
  </si>
  <si>
    <t>U.K. Natural Environment Research Council; National Science Council (Taiwan); Royal Society; Royal Society of Edinburgh</t>
  </si>
  <si>
    <t>U.K. Natural Environment Research Council(UK Research &amp; Innovation (UKRI)Natural Environment Research Council (NERC)); National Science Council (Taiwan)(Ministry of Science and Technology, Taiwan); Royal Society(Royal Society); Royal Society of Edinburgh</t>
  </si>
  <si>
    <t>Financial support for this work was provided by the U.K. Natural Environment Research Council, National Science Council (Taiwan), Royal Society, and Royal Society of Edinburgh. We thank James Juvik and the conference funders for supporting our participation in the international symposium on tropical alpine and sub-alpine ecosystems and the opportunity to contribute to this special issue.</t>
  </si>
  <si>
    <t>10.1657/1938-4246-46.4.829</t>
  </si>
  <si>
    <t>WOS:000346219500012</t>
  </si>
  <si>
    <t>Cronin, DT; Libalah, MB; Bergl, RA; Hearn, GW</t>
  </si>
  <si>
    <t>Cronin, Drew T.; Libalah, Moses B.; Bergl, Richard A.; Hearn, Gail W.</t>
  </si>
  <si>
    <t>Biodiversity and conservation of tropical montane ecosystems in the Gulf of Guinea, West Africa</t>
  </si>
  <si>
    <t>ELEVATIONAL RANGE SHIFTS; CLIMATE-CHANGE; LAW-ENFORCEMENT; PROTECTED AREAS; BIOKO ISLAND; SPECIES PROTECTION; GENETIC DIVERSITY; MOUNT CAMEROON; BUSHMEAT; FORESTS</t>
  </si>
  <si>
    <t>Mount Cameroon (4095 m), the highest peak and only active volcano in West Africa, is located in the center of the Gulf of Guinea Pleistocene refugium. The associated forests and highlands along the southern Nigerian-Cameroon border and on the island of Bioko, known as the Biafran forests and highlands, are important formations of the Cameroon Volcanic Line owing to their wide elevational range, and on Mount Cameroon, a continuous gradient of unbroken vegetation from sea level to over 4000 m. The montane zones in the region begin 800 m above sea level forming the critically endangered Mount Cameroon and Bioko Montane Forests ecoregion. The broad elevational gradient of the region has resulted in high habitat diversity, leading the region to be a center for species endemism and richness across many taxa. Some of the densest human populations in Africa also occur in this region, putting intense pressure on the forests and highlands mostly due to overexploitation and habitat loss. The governments of Nigeria, Cameroon, and Equatorial Guinea have designated protected areas in the region, but coverage is inadequate, especially for the rare montane ecosystems and endemic taxa. More importantly, protected areas are often not accompanied by effective management and regulatory enforcement. We recommend improved law enforcement and an expansion of the protected area network, as well as stronger commitments of institutional, financial, and technical support from governments and non-governmental organizations, in order to move conservation in the region in a positive direction. Without significant and immediate conservation progress, increasing anthropogenic pressure and systemic ineffectiveness of protected area management represent major concerns for the future of this important area.</t>
  </si>
  <si>
    <t>[Cronin, Drew T.; Hearn, Gail W.] Univ Penn, Dept Biol, Philadelphia, PA 19104 USA; [Cronin, Drew T.; Hearn, Gail W.] Bioko Biodivers Protect Program, Malabo, Bioko Norte, Equat Guinea; [Libalah, Moses B.] Univ Yaounde I, Higher Teachers Training Coll, Lab Plant Systemat &amp; Ecol, Yaounde, Cameroon; [Bergl, Richard A.] North Carolina Zool Pk, Asheboro, NC 27205 USA</t>
  </si>
  <si>
    <t>University of Pennsylvania; University of Yaounde I</t>
  </si>
  <si>
    <t>Cronin, DT (corresponding author), Univ Penn, Dept Biol, 3245 Chestnut St,PISB 503, Philadelphia, PA 19104 USA.</t>
  </si>
  <si>
    <t>dtc33@drexel.edu</t>
  </si>
  <si>
    <t>Libalah, Moses B./HNP-8731-2023</t>
  </si>
  <si>
    <t>Libalah, Moses B./0000-0001-8848-8001</t>
  </si>
  <si>
    <t>10.1657/1938-4246-46.4.891</t>
  </si>
  <si>
    <t>WOS:000346219500017</t>
  </si>
  <si>
    <t>Pepin, NC; Duane, WJ; Schaefer, M; Pike, G; Hardy, DR</t>
  </si>
  <si>
    <t>Pepin, N. C.; Duane, W. J.; Schaefer, M.; Pike, G.; Hardy, D. R.</t>
  </si>
  <si>
    <t>Measuring and modeling the retreat of the summit ice fields on Kilimanjaro, East Africa</t>
  </si>
  <si>
    <t>CLIMATE-CHANGE; PRECIPITATION VARIABILITY; NORTHERN TANZANIA; MT. KILIMANJARO; MASS-BALANCE; GLACIER LOSS; SLOPES; TEMPERATURE; CIRCULATION; REANALYSIS</t>
  </si>
  <si>
    <t>Terrestrial laser-scanning surveys of the south-facing cliff of the northern Ice Field on the summit crater of Kilimanjaro were taken on three occasions, in September 2004, January 2006, and August 2008. By comparing the three scans, the rates of lateral cliff retreat and surface lowering can be assessed. During 2004-2006, the mean lateral retreat was 1.39 m yr(-1), falling to 0.89 m yr(-1) during 2006-2008. These rates are broadly comparable with previous work using ablation stakes. Surface lowering is much less rapid, at 0.65 and 0.25 m yr(-1), respectively. Analysis of seasonal forcings (radiation on a south-facing cliff, radiation on a flat surface, surface vapor pressure, and relative humidity) shows that most of the lateral retreat occurs during the austral summer, when direct radiative input is considerably higher on the south-facing ice cliff. On the ice surface, however, high-sun periods around the equinoxes dominate the surface lowering. Lowering is more during the wet than the dry seasons, which suggests that the current moisture availability on Kilimanjaro is not frequent enough to prevent lowering year round.</t>
  </si>
  <si>
    <t>[Pepin, N. C.; Schaefer, M.; Pike, G.] Univ Portsmouth, Dept Geog, Portsmouth PO1 3HE, Hants, England; [Duane, W. J.] Univ Brunei Darussalam, Dept Geog, BE-1410 Negara Brunei, Darussalam, Brunei; [Hardy, D. R.] Univ Massachusetts, Dept Geosci, Amherst, MA 01003 USA</t>
  </si>
  <si>
    <t>University of Portsmouth; University Brunei Darussalam; University of Massachusetts System; University of Massachusetts Amherst</t>
  </si>
  <si>
    <t>Pepin, NC (corresponding author), Univ Portsmouth, Dept Geog, Buckingham Bldg,Lion Terrace, Portsmouth PO1 3HE, Hants, England.</t>
  </si>
  <si>
    <t>nicholas.pepin@port.ac.uk</t>
  </si>
  <si>
    <t>Pike, Gary/AAC-7099-2020; Schaefer, Martin/AAC-7819-2020</t>
  </si>
  <si>
    <t>Pike, Gary/0000-0003-1928-6515; Schaefer, Martin/0000-0003-4905-1354; Pepin, Nicholas/0000-0001-6200-4937</t>
  </si>
  <si>
    <t>U.S. National Science Foundation; U.K. Royal Geographical Society</t>
  </si>
  <si>
    <t>U.S. National Science Foundation(National Science Foundation (NSF)); U.K. Royal Geographical Society</t>
  </si>
  <si>
    <t>We acknowledge the help of staff at TAWIRI (Tanzania Wildlife Research Institute) in granting permission for this research and, along with TANAPA (Tanzania National Parks), providing access to the Kilimanjaro National Park. We thank Tharsis Hyera, our contact at the Environmental Protection and Management Services (EPMS) for his research collaboration and help with paperwork and permits. We thank Simon Mtuy, Tim Leinbach, Francis Moshi, Emmanuel F. Mtui, and other guides and porters of Summit Expeditions and Nomadic Experience (SENE) for logistical support on the mountain. Field instrumentation was provided by the Department of Geography, University of Portsmouth. Funding was provided by the U.S. National Science Foundation, and the U.K. Royal Geographical Society Geographical Fieldwork Grant Scheme. We dedicate this paper to Emmanuel, our wonderful guide on the mountain.</t>
  </si>
  <si>
    <t>10.1657/1938-4246-46.4.905</t>
  </si>
  <si>
    <t>WOS:000346219500018</t>
  </si>
  <si>
    <t>Fischer, M; Huss, M; Barboux, C; Hoelzle, M</t>
  </si>
  <si>
    <t>Fischer, Mauro; Huss, Matthias; Barboux, Chloe; Hoelzle, Martin</t>
  </si>
  <si>
    <t>The new Swiss Glacier Inventory SGI2010: relevance of using high-resolution source data in areas dominated by very small glaciers</t>
  </si>
  <si>
    <t>LAND ICE MEASUREMENTS; EUROPEAN ALPS; CHALLENGES; SOUTH; RECOMMENDATIONS; COMPILATION; SATELLITE; ALTITUDE; MASS</t>
  </si>
  <si>
    <t>In view of the rapid and accelerating glacier retreat observed in the European Alps during the last decades, the repeated creation of glacier inventories is important to understand the spatio-temporal variability of glacier changes and to support modeling studies. This article presents the latest glacier inventory for the entire Swiss Alps (SGI2010) derived by manual digitization from high-resolution (25 cm) aerial orthophotographs acquired between 2008 and 2011. Its accuracy is assessed by comparing the extents of clean, snow-and/or debris-covered glaciers derived from multiple digitization by several experts. The potential of more precise mapping of debris-covered glaciers is pointed out through the combination of aerial orthophotos with Differential Synthetic Aperture Radar Interferometry (DInSAR) techniques. In order to investigate the accuracy of glacier outlines obtained from medium-resolution satellite remote sensing imagery, a Landsat derived 2003 inventory is directly compared to all glaciers of the eastern Swiss Alps mapped with 2003 aerial orthoimagery. For the Swiss Alps, the total glacierized area mapped for 2010 is 944.3 +/- 24.1 km(2). Resulting area changes are -362.6 km(2) (-27.7%, or -0.75% a(-1)) between 1973 and 2010. It is shown that satellite remote sensing techniques using medium-resolution source data misclassified more than 25% in area of very small glaciers (&lt;0.5 km(2)). Therefore, use of high-resolution satellite or airborne imagery for future inventory creation in areas dominated by very small glaciers is recommended.</t>
  </si>
  <si>
    <t>[Fischer, Mauro; Huss, Matthias; Barboux, Chloe; Hoelzle, Martin] Univ Fribourg, Dept Geosci, CH-1700 Fribourg, Switzerland</t>
  </si>
  <si>
    <t>University of Fribourg</t>
  </si>
  <si>
    <t>Fischer, M (corresponding author), Univ Fribourg, Dept Geosci, Chemin Musee 4, CH-1700 Fribourg, Switzerland.</t>
  </si>
  <si>
    <t>mauro.fischer@unifr.ch</t>
  </si>
  <si>
    <t>Huss, Matthias/JLL-6340-2023; Huss, Matthias/O-1399-2019</t>
  </si>
  <si>
    <t>Huss, Matthias/0000-0002-2377-6923; Hoelzle, Martin/0000-0002-3591-4377</t>
  </si>
  <si>
    <t>Swiss National Science Foundation (SNSF) [200021_137586]; Swiss National Science Foundation (SNF) [200021_137586] Funding Source: Swiss National Science Foundation (SNF)</t>
  </si>
  <si>
    <t>Swiss National Science Foundation (SNSF)(Swiss National Science Foundation (SNSF)); Swiss National Science Foundation (SNF)(Swiss National Science Foundation (SNSF))</t>
  </si>
  <si>
    <t>This study is supported by the Swiss National Science Foundation (SNSF), grant 200021_137586. The SWISSIMAGE and swissALTP data sets were purchased from the Swiss Federal Office of Topography (swisstopo), license no. 5704003629. The Deutsches Zentrum fiir Luft- und Raumfahrt (DLR) provided us with the TerraSAR-X (TSX) DInSAR pairs (projects LAN 411 and LAN 1145) and the University of Zurich (UZH) with the 1973 and 2003 glacier inventories in digital format. Special thanks to all the different experts for providing us with individual glacier outlines for the accuracy assessment, and to B. H. Raup for transferring the data set into the GLIMS database. Comments by F. Paul, a second anonymous reviewer, and the scientific editor H. Jiskoot were helpful to finalize the paper.</t>
  </si>
  <si>
    <t>10.1657/1938-4246-46.4.933</t>
  </si>
  <si>
    <t>WOS:000346219500020</t>
  </si>
  <si>
    <t>Gill, HK; Lantz, TC; O'Neill, B; Kokelj, SV</t>
  </si>
  <si>
    <t>Gill, Harneet K.; Lantz, Trevor C.; O'Neill, Brendan; Kokelj, Steven V.</t>
  </si>
  <si>
    <t>Cumulative impacts and feedbacks of a gravel road on shrub tundra ecosystems in the Peel Plateau, Northwest Territories, Canada</t>
  </si>
  <si>
    <t>PATCH DYNAMICS; CLIMATE-CHANGE; ARCTIC TUNDRA; PERMAFROST; EXPANSION; DUST; DISTURBANCE; VEGETATION; TEMPERATURE; INTERIOR</t>
  </si>
  <si>
    <t>Gravel highways in the continuous permafrost zone provide critical transportation links that are increasingly vulnerable to the impacts of climate warming and permafrost thaw. To examine if the physical effects associated with the construction, maintenance, and use of gravel roads alter vegetation and permafrost conditions, we measured vegetation, soils, and near-surface ground temperatures at tall and dwarf shrub tundra sites adjacent to and distant from the Dempster Highway in the Northwest Territories of Canada. We found that alder growth and recruitment were significantly enhanced adjacent to the highway. Where alder shrubs had formed closed canopies, we observed dramatic alterations to plant community composition, soil properties, and ground temperatures. Tall shrub sites adjacent to the road exhibited less understory vegetation, greater litter and organic layer thickness, higher nutrient availability, and thicker snowpack than all other site types. Our results show that in shrub tundra ecosystems the conditions generated by the maintenance and use of a gravel road can drive ecological feedbacks that magnify changes to vegetation communities and soils. We found that where the road facilitated shrub dominance, feedbacks were initiated that enhanced snow accumulation and altered ground temperatures and soil chemistry. In turn, these changes likely promoted enhanced shrub recruitment and growth. Shrub proliferation adjacent to highways is an important consideration for the planning and maintenance of this form of infrastructure. To improve our understanding of the spatial heterogeneity of shrub proliferation, research exploring the relationships between biophysical landscape features and shrub development is also needed.</t>
  </si>
  <si>
    <t>[Gill, Harneet K.; Lantz, Trevor C.] Univ Victoria, Sch Environm Studies, STN CSC, Victoria, BC V8W 2Y2, Canada; [O'Neill, Brendan] Carleton Univ, Dept Geog &amp; Environm Studies, Ottawa, ON K1S 5B6, Canada; [Kokelj, Steven V.] Govt Northwest Terr, Northwest Terr Geosci Off, Yellowknife, NT X1A 2L9, Canada</t>
  </si>
  <si>
    <t>University of Victoria; Carleton University</t>
  </si>
  <si>
    <t>Lantz, TC (corresponding author), Univ Victoria, Sch Environm Studies, STN CSC, POB 1700, Victoria, BC V8W 2Y2, Canada.</t>
  </si>
  <si>
    <t>tlantz@uvic.ca</t>
  </si>
  <si>
    <t>O'Neill, Brendan/0000-0002-5290-3389</t>
  </si>
  <si>
    <t>NWT Cumulative Impact Monitoring Program; Natural Sciences and Engineering Research Council of Canada; Canada Foundation for Innovation; Northern Scientific Training Program; Aurora Research Institute; Association of Canadian Universities for Northern Studies; W. Garfield Weston Foundation</t>
  </si>
  <si>
    <t>NWT Cumulative Impact Monitoring Program; Natural Sciences and Engineering Research Council of Canada(Natural Sciences and Engineering Research Council of Canada (NSERC)CGIAR); Canada Foundation for Innovation(Canada Foundation for InnovationCGIARSpanish Government); Northern Scientific Training Program; Aurora Research Institute; Association of Canadian Universities for Northern Studies; W. Garfield Weston Foundation</t>
  </si>
  <si>
    <t>We would like to acknowledge the following individuals and organizations for assistance with fieldwork and logistical support: Dorothy Alexie, Krista Chin, Emily Cameron, Christine Firth, Wilbert Firth, Kaylah Lewis, Claire Marchildon, Annie-Jane Modeste, Charlie Snowshoe, Herbie Snowshoe, Sharon Snowshoe, Audrey Steedman, Gina Vaneltsi-Neyando, the Aurora Research Institute, the Teetl'it Gwich'in Council, and the Teetl'it Gwich'in Renewable Resource Council. Funding for this research was provided by the NWT Cumulative Impact Monitoring Program, the Natural Sciences and Engineering Research Council of Canada, the Canada Foundation for Innovation, the Northern Scientific Training Program, the Aurora Research Institute, the Association of Canadian Universities for Northern Studies, and the W. Garfield Weston Foundation. We would also like to thank Eric Higgs, Luise Hermanutz, and two anonymous reviewers for comments that improved the manuscript.</t>
  </si>
  <si>
    <t>10.1657/1938-4246-46.4.947</t>
  </si>
  <si>
    <t>WOS:000346219500021</t>
  </si>
  <si>
    <t>Bockheim, JG; Munroe, JS</t>
  </si>
  <si>
    <t>Bockheim, James G.; Munroe, Jeffrey S.</t>
  </si>
  <si>
    <t>Organic carbon pools and genesis of alpine soils with permafrost: a review</t>
  </si>
  <si>
    <t>MONITORING CALM SITES; CONTIGUOUS UNITED-STATES; CLAY MINERAL FORMATION; QINGHAI-TIBET PLATEAU; MOUNTAIN PERMAFROST; SUB-ALPINE; UINTA MOUNTAINS; NEW-ZEALAND; FORMING PROCESSES; WEATHERING RATES</t>
  </si>
  <si>
    <t>Soils with mountain permafrost occupy 3.5 million km(2) worldwide, with 70% in central Asia. High-mountain environments have warm permafrost, with surface permafrost temperatures of -0.5 to -2 degrees C and deep active layers (2 to 8 m). From a global database of 41 sites and 312 pedons, alpine soils with permafrost are strongly acid (pH = 5.0 to 5.5), have intermediate cation-exchange capacities (20 to 25 cmol(c)/kg) and base saturation (44% to 85%), and commonly have an isotic mineral class. Soil organic carbon is concentrated in the upper 30 to 40 cm, with profile density averaging 15.2 +/- 1.3 kg m(-2) (range = &lt; 1.0 to 88.3 kg m(-2)), which is comparable to temperate grasslands (13 kg m(-2)) but substantially less than moist arctic tundra (32 kg m(-2)). Mountain soils with permafrost contain 66.3 Pg of soil organic carbon (SOC), which constitutes 4.5% of the global pool. In contrast, the SOC pool in the Arctic is 496 Pg (33% of the global pool). Alpine soils with deep active layers contrast strongly with high-latitude soils in areas of continuous permafrost. Permafrost in the upper 2 m induces cryoturbation in the profile, acts as a barrier to water movement, and generates cooler temperatures resulting in greater SOC levels. High-elevation and high-latitude soils are experiencing warming of air temperature and permafrost and a thickening of the active layer.</t>
  </si>
  <si>
    <t>[Bockheim, James G.] Univ Wisconsin, Dept Soil Sci, Madison, WI 53706 USA; [Munroe, Jeffrey S.] Middlebury Coll, Dept Geol, Middlebury, VT 05753 USA</t>
  </si>
  <si>
    <t>Bockheim, JG (corresponding author), Univ Wisconsin, Dept Soil Sci, 1525 Observ Dr, Madison, WI 53706 USA.</t>
  </si>
  <si>
    <t>bockheim@wisc.edu</t>
  </si>
  <si>
    <t>10.1657/1938-4246-46.4.987</t>
  </si>
  <si>
    <t>WOS:000346219500024</t>
  </si>
  <si>
    <t>Sakerin, SM; Andreev, SY; Kabanov, DM; Nikolashkin, SV; Prakhov, AN; Radionov, VF; Turchinovich, YS; Chernov, DG; Holben, BN; Smirnov, A; Sorokin, MG</t>
  </si>
  <si>
    <t>Sakerin, S. M.; Andreev, S. Yu.; Kabanov, D. M.; Nikolashkin, S. V.; Prakhov, A. N.; Radionov, V. F.; Turchinovich, Yu. S.; Chernov, D. G.; Holben, B. N.; Smirnov, A.; Sorokin, M. G.</t>
  </si>
  <si>
    <t>On Results of Studies of Atmospheric Aerosol Optical Depth in Arctic Regions</t>
  </si>
  <si>
    <t>ATMOSPHERIC AND OCEANIC OPTICS</t>
  </si>
  <si>
    <t>Arctic; aerosol optical depth; annual behavior; spatial distribution</t>
  </si>
  <si>
    <t>AERONET; SUN; TURBIDITY; NETWORK; OCEAN</t>
  </si>
  <si>
    <t>We discuss the characteristics of the spectral aerosol optical depth (AOD) of the atmosphere measured using sun photometers in high-latitude regions (Spitsbergen, Tiksi, Yakutsk). The seasonal variations are characterized by a decrease in AOD from spring to fall by approximately a factor of 2 in Yakutia and by a factor of 1.5 in the region of Spitsbergen. It is shown that the high selectivity of the spectral AOD dependence in warm period (with Angstrom parameters varying from 1.3 to 1.8) was caused by low content of coarsely dispersed aerosol. Multiyear data of MODIS satellite observations are used to estimate the spatial distribution of turbidity; it is shown that satellite observations systematically overestimate AOD over Arctic seas.</t>
  </si>
  <si>
    <t>[Sakerin, S. M.; Andreev, S. Yu.; Kabanov, D. M.; Turchinovich, Yu. S.; Chernov, D. G.] Russian Acad Sci, VE Zuev Inst Atmospher Opt, Siberian Branch, Pl Akad Zueva 1, Tomsk 634021, Russia; [Nikolashkin, S. V.] Russian Acad Sci, Yu G Shafer Inst Cosmophys Res &amp; Aeron, Siberian Branch, Yakutsk 677980, Russia; [Prakhov, A. N.; Radionov, V. F.] Arctic &amp; Antarctic Res Inst, St Petersburg 199397, Russia; [Holben, B. N.; Smirnov, A.; Sorokin, M. G.] NASA, Goddard Space Flight Ctr, Greenbelt, MD 20771 USA</t>
  </si>
  <si>
    <t>Russian Academy of Sciences; Zuev Institute of Atmospheric Optics, Siberian Branch of the Russian Academy of Sciences; Russian Academy of Sciences; Shafer Institute of Cosmophysical Research &amp; Aeronomy, Siberian Branch of the Russian Academy of Sciences; Arctic &amp; Antarctic Research Institute; National Aeronautics &amp; Space Administration (NASA); NASA Goddard Space Flight Center</t>
  </si>
  <si>
    <t>Sakerin, SM (corresponding author), Russian Acad Sci, VE Zuev Inst Atmospher Opt, Siberian Branch, Pl Akad Zueva 1, Tomsk 634021, Russia.</t>
  </si>
  <si>
    <t>sms@iao.ru</t>
  </si>
  <si>
    <t>Nikolashkin, Semen V/I-4632-2012; Smirnov, Alexander/C-2121-2009; Kabanov, Dmitry/A-4871-2014; Sakerin, Sergey/A-6508-2014; Kabanov, Dmitry M./A-5805-2014</t>
  </si>
  <si>
    <t>Chernov, Dmitriy/0000-0003-1877-6678</t>
  </si>
  <si>
    <t>Program of Basic Research, Presidium of the Russian Academy of Sciences [23.1]</t>
  </si>
  <si>
    <t>Program of Basic Research, Presidium of the Russian Academy of Sciences</t>
  </si>
  <si>
    <t>The authors would like to thank A. P. Makshtas, V. Yu. Kustov, L. M. Savatyugin, and I. Yu. Solovyanova of Arctic and Antarctic Research Institute, as well as the personnel of hydrometeorological observatory in Tiksi for their help in organizing and carrying out the observations in Tiksi, and in the Russian scientific center on the Spitsbergen archipelago (Barentsburg). This work was supported by the Program of Basic Research, Presidium of the Russian Academy of Sciences (project no. 23.1).</t>
  </si>
  <si>
    <t>PLEIADES HOUSE, 7 W 54 ST, NEW YORK, NY, UNITED STATES</t>
  </si>
  <si>
    <t>1024-8560</t>
  </si>
  <si>
    <t>2070-0393</t>
  </si>
  <si>
    <t>ATMOS OCEAN OPT</t>
  </si>
  <si>
    <t>Atmos. Ocean. Opt.</t>
  </si>
  <si>
    <t>10.1134/S1024856014060165</t>
  </si>
  <si>
    <t>Optics</t>
  </si>
  <si>
    <t>VC7UL</t>
  </si>
  <si>
    <t>WOS:000434602000009</t>
  </si>
  <si>
    <t>Huang, T; Sun, LG; Wang, YH; Emslie, SD</t>
  </si>
  <si>
    <t>Huang, Tao; Sun, Liguang; Wang, Yuhong; Emslie, Steven D.</t>
  </si>
  <si>
    <t>Paleodietary changes by penguins and seals in association with Antarctic climate and sea ice extent</t>
  </si>
  <si>
    <t>CHINESE SCIENCE BULLETIN</t>
  </si>
  <si>
    <t>Pygoscelis adeliae; Arctocephalus gazella; Dietary change; Stable isotope analysis; Krill surplus hypothesis</t>
  </si>
  <si>
    <t>SOUTH SHETLAND ISLANDS; STABLE-ISOTOPE ANALYSIS; ADELIE PENGUINS; ROSS SEA; EAST-ANTARCTICA; ARCTOCEPHALUS-GAZELLA; FUR SEALS; FOOD-WEB; TEMPORAL VARIATION; LATE-HOLOCENE</t>
  </si>
  <si>
    <t>Positioned near the top of the food web, the dietary composition of Antarctic penguins and seals can be an excellent indicator of the regional food web and thus the status of the marine ecosystem. The dietary composition of modern penguins and seals has been well investigated; a long-term time series of data on penguin and seal diets, however, are rare. Such data, especially any predating the initiation of human harvesting of fish, whales and seals in Antarctica, are crucial for understanding and predicting responses of regional marine food webs to natural climate changes. Here we review recent progress on research of paleodietary change in Antarctic penguins and seals, specifically the Ad,lie penguin (Pygoscelis adeliae) and Antarctic fur seal (Arctocephalus gazella). These studies indicate that the dietary changes of penguins correspond quite well with fluctuations in climate and sea ice extent during the Holocene. The depleted delta N-15 ratios found in modern Ad,lie penguins support the krill surplus hypothesis in relation to historic human depletion of krill-eating fish, seals and whales.</t>
  </si>
  <si>
    <t>[Huang, Tao; Sun, Liguang; Wang, Yuhong] Univ Sci &amp; Technol China, Inst Polar Environm, Sch Earth &amp; Space Sci, Hefei 230026, Peoples R China; [Emslie, Steven D.] Univ N Carolina, Dept Biol &amp; Marine Biol, Wilmington, NC 28403 USA</t>
  </si>
  <si>
    <t>Chinese Academy of Sciences; University of Science &amp; Technology of China, CAS; University of North Carolina; University of North Carolina Wilmington</t>
  </si>
  <si>
    <t>Sun, LG (corresponding author), Univ Sci &amp; Technol China, Inst Polar Environm, Sch Earth &amp; Space Sci, Hefei 230026, Peoples R China.</t>
  </si>
  <si>
    <t>slg@ustc.edu.cn</t>
  </si>
  <si>
    <t>Huang, Tao/AAD-8866-2022</t>
  </si>
  <si>
    <t>Huang, Tao/0000-0001-5035-1632</t>
  </si>
  <si>
    <t>National Natural Science Foundation of China [41106162, 40730107]; Chinese Polar Environment Comprehensive Investigation and Assessment Programmes (CHINARE2014-04-01 and CHINARE2014-02-01); Open Research Fund from SOA Key Laboratory for Polar Science in China [KP201207]; Directorate For Geosciences; Office of Polar Programs (OPP) [0739575] Funding Source: National Science Foundation</t>
  </si>
  <si>
    <t>National Natural Science Foundation of China(National Natural Science Foundation of China (NSFC)); Chinese Polar Environment Comprehensive Investigation and Assessment Programmes (CHINARE2014-04-01 and CHINARE2014-02-01); Open Research Fund from SOA Key Laboratory for Polar Science in China; Directorate For Geosciences; Office of Polar Programs (OPP)(National Science Foundation (NSF)NSF - Directorate for Geosciences (GEO))</t>
  </si>
  <si>
    <t>This work was supported by National Natural Science Foundation of China (41106162 and 40730107), the Chinese Polar Environment Comprehensive Investigation and Assessment Programmes (CHINARE2014-04-01 and CHINARE2014-02-01) and the Open Research Fund from SOA Key Laboratory for Polar Science in China (KP201207).</t>
  </si>
  <si>
    <t>1001-6538</t>
  </si>
  <si>
    <t>1861-9541</t>
  </si>
  <si>
    <t>CHINESE SCI BULL</t>
  </si>
  <si>
    <t>Chin. Sci. Bull.</t>
  </si>
  <si>
    <t>10.1007/s11434-014-0300-z</t>
  </si>
  <si>
    <t>AS5PD</t>
  </si>
  <si>
    <t>WOS:000344321500010</t>
  </si>
  <si>
    <t>Graham, FS; Brown, JN; Langlais, C; Marsland, SJ; Wittenberg, AT; Holbrook, NJ</t>
  </si>
  <si>
    <t>Graham, Felicity S.; Brown, Jaclyn N.; langlais, Clothilde; Marsland, Simon J.; Wittenberg, Andrew T.; Holbrook, Neil J.</t>
  </si>
  <si>
    <t>Effectiveness of the Bjerknes stability index in representing ocean dynamics</t>
  </si>
  <si>
    <t>ENSO dynamics; Bjerknes stability index</t>
  </si>
  <si>
    <t>EQUATORIAL PACIFIC-OCEAN; LAYER HEAT-BALANCE; ZONAL ADVECTIVE FEEDBACKS; EL-NINO; TROPICAL PACIFIC; RECHARGE PARADIGM; WARM POOL; MODEL; ENSO; THERMOCLINE</t>
  </si>
  <si>
    <t>The El Nino-Southern Oscillation (ENSO) is a naturally occurring coupled phenomenon originating in the tropical Pacific Ocean that relies on ocean-atmosphere feedbacks. The Bjerknes stability index (BJ index), derived from the mixed-layer heat budget, aims to quantify the ENSO feedback process in order to explore the linear stability properties of ENSO. More recently, the BJ index has been used for model intercomparisons, particularly for the CMIP3 and CMIP5 models. This study investigates the effectiveness of the BJ index in representing the key ENSO ocean feedbacks-namely the thermocline, zonal advective, and Ekman feedbacks-by evaluating the amplitudes and phases of the BJ index terms against the corresponding heat budget terms from which they were derived. The output from Australian Community Climate and Earth System Simulator Ocean Model (a global ocean/sea ice flux-forced model) is used to calculate the heat budget in the equatorial Pacific. Through the model evaluation process, the robustness of the BJ index terms are tested. We find that the BJ index overestimates the relative importance of the thermocline feedback to the zonal advective feedback when compared with the corresponding terms from the heat budget equation. The assumption of linearity between variables in the BJ index formulation is the primary reason for these differences. Our results imply that a model intercomparison relying on the BJ index to explain ENSO behavior is not necessarily an accurate quantification of dynamical differences between models that are inherently nonlinear. For these reasons, the BJ index may not fully explain underpinning changes in ENSO under global warming scenarios.</t>
  </si>
  <si>
    <t>[Graham, Felicity S.; Holbrook, Neil J.] Univ Tasmania, Inst Marine &amp; Antarctic Studies, Hobart, Tas 7001, Australia; [Brown, Jaclyn N.; langlais, Clothilde] CSIRO Marine &amp; Atmospher Res, Wealth Oceans Natl Res Flagship, Hobart, Tas, Australia; [Marsland, Simon J.] CSIRO Marine &amp; Atmospher Res, Aspendale, Vic, Australia; [Wittenberg, Andrew T.] Natl Oceanog &amp; Atmospher Adm, Geophys Fluid Dynam Lab, Princeton, NJ USA; [Holbrook, Neil J.] Univ Tasmania, Inst Marine &amp; Antarctic Studies, ARC Ctr Excellence Climate Syst Sci, Hobart, Tas 7001, Australia</t>
  </si>
  <si>
    <t>University of Tasmania; Commonwealth Scientific &amp; Industrial Research Organisation (CSIRO); Commonwealth Scientific &amp; Industrial Research Organisation (CSIRO); National Oceanic Atmospheric Admin (NOAA) - USA; ARC Centre of Excellence for Climate System Science; University of Tasmania</t>
  </si>
  <si>
    <t>Graham, FS (corresponding author), Univ Tasmania, Inst Marine &amp; Antarctic Studies, GPO Box 1538, Hobart, Tas 7001, Australia.</t>
  </si>
  <si>
    <t>fsm@utas.edu.au</t>
  </si>
  <si>
    <t>Wittenberg, Andrew T/G-9619-2013; Langlais, Clothilde/AAI-9859-2021; Marsland, Simon J/A-1453-2012; Brown, Jaclyn N/A-1121-2013; Holbrook, Neil/M-7544-2013; McCormack, Felicity/B-9218-2015</t>
  </si>
  <si>
    <t>Wittenberg, Andrew T/0000-0003-1680-8963; Langlais, Clothilde/0000-0002-6423-7678; Marsland, Simon J/0000-0002-5664-5276; Brown, Jaclyn N/0000-0002-2503-9337; Holbrook, Neil/0000-0002-3523-6254; McCormack, Felicity/0000-0002-2324-2120</t>
  </si>
  <si>
    <t>Australian Government Department of the Environment; Bureau of Meteorology; CSIRO through the Australian Climate Change Science Program; NCI National Facility at the ANU; Australian Postgraduate Award; CSIRO Wealth from Oceans scholarship</t>
  </si>
  <si>
    <t>Australian Government Department of the Environment(Australian Government); Bureau of Meteorology(Bureau of Meteorology - Australia); CSIRO through the Australian Climate Change Science Program; NCI National Facility at the ANU; Australian Postgraduate Award(Australian Government); CSIRO Wealth from Oceans scholarship</t>
  </si>
  <si>
    <t>We would like to thank Dietmar Dommenget and Simon Wotherspoon for helpful discussions on this work, and SeonTae Kim, Agus Santoso and two anonymous reviewers for providing useful feedback to improve the manuscript. The ACCESS-OM model is supported by the Australian Government Department of the Environment, the Bureau of Meteorology and CSIRO through the Australian Climate Change Science Program, and the NCI National Facility at the ANU. The CARS MLD product was derived from the CSIRO Atlas of Regional Seas from CSIRO Marine and Atmospheric Research. This research is supported by an Australian Postgraduate Award and a CSIRO Wealth from Oceans scholarship and makes a contribution to the ARC Centre of Excellence for Climate System Science.</t>
  </si>
  <si>
    <t>9-10</t>
  </si>
  <si>
    <t>10.1007/s00382-014-2062-3</t>
  </si>
  <si>
    <t>AS8DJ</t>
  </si>
  <si>
    <t>WOS:000344480100005</t>
  </si>
  <si>
    <t>Guemas, V; Doblas-Reyes, FJ; Mogensen, K; Keeley, S; Tang, YM</t>
  </si>
  <si>
    <t>Guemas, Virginie; Doblas-Reyes, Francisco J.; Mogensen, Kristian; Keeley, Sarah; Tang, Yongming</t>
  </si>
  <si>
    <t>Ensemble of sea ice initial conditions for interannual climate predictions</t>
  </si>
  <si>
    <t>Sea ice; Arctic; Antarctic; Climate prediction; Initialization</t>
  </si>
  <si>
    <t>MERIDIONAL OVERTURNING CIRCULATION; SEASONAL PREDICTION; DECADAL VARIABILITY; OCEAN CIRCULATION; TEMPERATURE; MODEL; ASSIMILATION; SYSTEM; IMPACT; EXTENT</t>
  </si>
  <si>
    <t>Polar climate studies are severely hampered by the sparseness of the sea ice observations. We aim at filling this critical gap by producing two 5-member sea ice historical simulations strongly constrained by ocean and atmosphere observational data and covering the 1958-2006 and 1979-2012 periods. This is the first multi-member sea ice reconstruction covering more than 50 years. The obtained sea ice conditions are in reasonable agreement with the few available observations. These best estimates of sea ice conditions serve subsequently as initial sea ice conditions for a set of 28 3-year-long retrospective climate predictions. We compare it to a set in which the sea ice initial conditions are taken from a single-member sea ice historical simulation constrained by atmosphere observations only. We find an improved skill in predicting the Arctic sea ice area and Arctic near surface temperature but a slightly degraded skill in predicting the Antarctic sea ice area. We also obtain a larger spread between the members for the sea ice variables, thus more representative of the forecast error.</t>
  </si>
  <si>
    <t>[Guemas, Virginie; Doblas-Reyes, Francisco J.] Inst Catala Ciencies Clima, Barcelona 08005, Spain; [Guemas, Virginie] CNRS, Meteo France, Ctr Natl Rech Meteorol, Grp Etud Atmosphere Meteorol,UMR3589, F-31057 Toulouse, France; [Doblas-Reyes, Francisco J.] Inst Catalana Recerca &amp; Estudis Avancat, Barcelona, Spain; [Mogensen, Kristian; Keeley, Sarah; Tang, Yongming] European Ctr Medium Range Weather Forecasts, Reading RG2 9AX, Berks, England</t>
  </si>
  <si>
    <t>Institut Catala de Ciencies del Clima (IC3); Meteo France; Centre National de la Recherche Scientifique (CNRS); CNRS - National Institute for Earth Sciences &amp; Astronomy (INSU); ICREA; European Centre for Medium-Range Weather Forecasts (ECMWF)</t>
  </si>
  <si>
    <t>Guemas, V (corresponding author), CNRS, Meteo France, Ctr Natl Rech Meteorol, Grp Etud Atmosphere Meteorol,UMR3589, F-31057 Toulouse, France.</t>
  </si>
  <si>
    <t>virginie.guemas@ic3.cat</t>
  </si>
  <si>
    <t>Keeley, Sarah P E/G-3352-2016; Guemas, Virginie/B-9090-2016; Doblas-Reyes, Francisco/C-1228-2016</t>
  </si>
  <si>
    <t>Keeley, Sarah P E/0000-0002-8046-765X; Guemas, Virginie/0000-0002-6340-3558; Doblas-Reyes, Francisco/0000-0002-6622-4280</t>
  </si>
  <si>
    <t>EU [FP7-ENV-2009-1-243964, FP7-ENV-2010-1-265-192, FP7-ENV-2012-308378]; MINECO [CGL2012-31987]; Catalan Government; ICREA Funding Source: Custom</t>
  </si>
  <si>
    <t>EU(European Union (EU)); MINECO(Spanish Government); Catalan Government; ICREA(ICREA)</t>
  </si>
  <si>
    <t>The three anonymous reviewers are greatly acknowledged for their contribution to improving the initial manuscript. This work was supported by the EU-funded QWeCI (FP7-ENV-2009-1-243964), CLIM-RUN (FP7-ENV-2010-1-265-192), SPECS (FP7-ENV-2012-308378), the MINECO-funded PICA-ICE (CGL2012-31987) projects and the Catalan Government. Oriol Mula-Valls, Domingo Manubens-Gil and Muhammad Asif are thoroughly acknowledged for the invaluable technical support. The authors thankfully acknowledge the computer resources, technical expertise and assistance provided by the Red Espanola de Supercomputacion (RES).</t>
  </si>
  <si>
    <t>10.1007/s00382-014-2095-7</t>
  </si>
  <si>
    <t>WOS:000344480100027</t>
  </si>
  <si>
    <t>Pierce, EL; Hemming, SR; Williams, T; van de Flierdt, T; Thomson, SN; Reiners, PW; Gehrels, GE; Brachfeld, SA; Goldstein, SL</t>
  </si>
  <si>
    <t>Pierce, E. L.; Hemming, S. R.; Williams, T.; van de Flierdt, T.; Thomson, S. N.; Reiners, P. W.; Gehrels, G. E.; Brachfeld, S. A.; Goldstein, S. L.</t>
  </si>
  <si>
    <t>A comparison of detrital U-Pb zircon, 40Ar/39Ar hornblende, 40Ar/39Ar biotite ages in marine sediments off East Antarctica: Implications for the geology of subglacial terrains and provenance studies</t>
  </si>
  <si>
    <t>Thermochronology; Geochronology; Ice-rafted debris; Glacial diamict; Detrital zircon</t>
  </si>
  <si>
    <t>DRONNING MAUD LAND; PRINCE-CHARLES MOUNTAINS; NORTHERN VICTORIA LAND; ICE-RAFTED HORNBLENDE; TERRE ADELIE CRATON; GEORGE-V-LAND; PAN-AFRICAN; PRYDZ-BAY; ANNANDAGSTOPPANE GRANITE; CRUSTAL EVOLUTION</t>
  </si>
  <si>
    <t>U-Pb ages of detrital zircon grains have provided an extraordinary tool for sedimentary provenance work, given that they are ubiquitous, resistant to damage and weathering, and that the U-Pb age records the crystallization age of the mineral. Although not as widely used, 40Ar/39Ar dating of detrital homblende and biotite grains can also serve as powerful sedimentary provenance tools, particularly in situations where chemical weathering is minor (e.g., Antarctica). Certain natural biases exist among these mineral chronometers (e.g., abundance in different rock types, durability during abrasion, resistance to dissolution) that determine the extent to which they are found in sedimentary deposits. Additionally, the 40Ar/39Ar systems in hornblende and biotite have lower closure temperatures for thermally activated diffusion (similar to 500 degrees C and similar to 300 degrees C, respectively). Thus, for areas that have experienced a polymetamorphic history, such as East Antarctica, combining these approaches can provide added detail to provenance studies. In this study we provide a comparison of the detrital U-Pb zircon, 40Ar/39Ar hornblende and 40Ar/39Ar biotite age populations from 28 glacial-diamict and glacial-marine sediment core samples located around East Antarctica (55 degrees W to 163 degrees E). We present 3370 new detrital age measurements of U-Pb zircon, 40Ar/39Ar hornblende, and 40Ar/39Ar biotite, in conjunction with previously published data from some of the same core sites, as well as 78 U-Pb zircon ages measured on dispersed zircons from five ice-rafted debris (IRD) layers recovered at ODP Site 1165. Our data indicate that detrital U-Pb zircon, 40Ar/39Ar hornblende and 40Ar/39Ar biotite ages faithfully document the onshore geology of source areas within East Antarctica, as expressed in their respective age populations. In addition, a number of previously unknown age populations are recorded by the combined thermochronometers. Assuming an East Antarctic provenance, this approach helps to identify otherwise hidden geologic provinces. Previously unrecognized age populations include Archean 40Ar/39Ar homblende and biotite ages in Dronning Maud Land; 1200-1300 Ma 40Ar/39Ar homblende ages in the Weddell Sea; similar to 1560 Ma population of U-Pb zircons from the Wilkes Land margin; and Grenvillian (1000-1200 Ma) U-Pb zircon ages from the Adelie/George V Land margin. (C) 2014 Elsevier B.V. All rights reserved. U-Pb ages of detrital zircon grains have provided an extraordinary tool for sedimentary provenance work, given that they are ubiquitous, resistant to damage and weathering, and that the U-Pb age records the crystallization age of the mineral. Although not as widely used, 40Ar/39Ar dating of detrital homblende and biotite grains can also serve as powerful sedimentary provenance tools, particularly in situations where chemical weathering is minor (e.g., Antarctica). Certain natural biases exist among these mineral chronometers (e.g., abundance in different rock types, durability during abrasion, resistance to dissolution) that determine the extent to which they are found in sedimentary deposits. Additionally, the 40Ar/39Ar systems in hornblende and biotite have lower closure temperatures for thermally activated diffusion (similar to 500 degrees C and similar to 300 degrees C, respectively). Thus, for areas that have experienced a polymetamorphic history, such as East Antarctica, combining these approaches can provide added detail to provenance studies. In this study we provide a comparison of the detrital U-Pb zircon, 40Ar/39Ar hornblende and 40Ar/39Ar biotite age populations from 28 glacial-diamict and glacial-marine sediment core samples located around East Antarctica (55 degrees W to 163 degrees E). We present 3370 new detrital age measurements of U-Pb zircon, 40Ar/39Ar hornblende, and 40Ar/39Ar biotite, in conjunction with previously published data from some of the same core sites, as well as 78 U-Pb zircon ages measured on dispersed zircons from five ice-rafted debris (IRD) layers recovered at ODP Site 1165. Our data indicate that detrital U-Pb zircon, 40Ar/39Ar hornblende and 40Ar/39Ar biotite ages faithfully document the onshore geology of source areas within East Antarctica, as expressed in their respective age populations. In addition, a number of previously unknown age populations are recorded by the combined thermochronometers. Assuming an East Antarctic provenance, this approach helps to identify otherwise hidden geologic provinces. Previously unrecognized age populations include Archean 40Ar/39Ar homblende and biotite ages in Dronning Maud Land; 1200-1300 Ma 40Ar/39Ar homblende ages in the Weddell Sea; similar to 1560 Ma population of U-Pb zircons from the Wilkes Land margin; and Grenvillian (1000-1200 Ma) U-Pb zircon ages from the Adelie/George V Land margin. (C) 2014 Elsevier B.V. All rights reserved.</t>
  </si>
  <si>
    <t>[Pierce, E. L.; Hemming, S. R.; Goldstein, S. L.] Columbia Univ, Dept Earth &amp; Environm Sci, New York, NY 10027 USA; [Hemming, S. R.; Williams, T.; Goldstein, S. L.] Columbia Univ, Lamont Doherty Earth Observ, Palisades, NY 10964 USA; [van de Flierdt, T.] Univ London Imperial Coll Sci Technol &amp; Med, Dept Earth Sci &amp; Engn, London SW7 2AZ, England; [Thomson, S. N.; Reiners, P. W.; Gehrels, G. E.] Univ Arizona, Dept Geosci, Tucson, AZ 85721 USA; [Brachfeld, S. A.] Montclair State Univ, Dept Earth Environm Studies, Montclair, NJ 07043 USA</t>
  </si>
  <si>
    <t>Columbia University; Columbia University; Imperial College London; University of Arizona; Montclair State University</t>
  </si>
  <si>
    <t>Pierce, EL (corresponding author), Columbia Univ, Dept Earth &amp; Environm Sci, 116th St &amp; Broadway, New York, NY 10027 USA.</t>
  </si>
  <si>
    <t>epierce@ldeo.columbia.edu; sidney@ldeo.columbia.edu; trevor@ldeo.columbia.edu; tina.vandeflierdt@imperial.ac.uk; thomson@email.arizona.edu; reiners@email.arizona.edu; ggehrels@email.arizona.edu; brachfelds@mail.montclair.edu; steveg@ldeo.columbia.edu</t>
  </si>
  <si>
    <t>Thomson, Stuart N/A-1222-2009; Williams, Trevor/L-7670-2014; Thomson, Stuart N/IZE-4354-2023</t>
  </si>
  <si>
    <t>Thomson, Stuart N/0000-0003-4331-5654; Hemming, Sidney/0000-0001-8117-2303; Goldstein, Steven L/0000-0001-7252-8064; Brachfeld, Stefanie/0000-0003-4612-2866</t>
  </si>
  <si>
    <t>NSF [ANT-0538580, ANT 09-44489, ANT 08-38722, ANT 08-38729, EAR 10-32156]; Natural Environment Research Council [NE/I006257/1, NE/H025162/1, NE/H014144/1] Funding Source: researchfish; Directorate For Geosciences; Division Of Earth Sciences [1338583] Funding Source: National Science Foundation; NERC [NE/I006257/1, NE/H025162/1, NE/H014144/1] Funding Source: UKRI</t>
  </si>
  <si>
    <t>NSF(National Science Foundation (NSF)); Natural Environment Research Council(UK Research &amp; Innovation (UKRI)Natural Environment Research Council (NERC)); Directorate For Geosciences; Division Of Earth Sciences(National Science Foundation (NSF)NSF - Directorate for Geosciences (GEO)); NERC(UK Research &amp; Innovation (UKRI)Natural Environment Research Council (NERC))</t>
  </si>
  <si>
    <t>Research was partially supported by NSF grant ANT-0538580 to Hemming, Goldstein and van de Flierdt, ANT 09-44489 to Williams, Hemming and van de Flierdt, ANT 08-38722 and ANT 08-38729 to Reiners, Thomson and Gehrels (U of AZ) and Hemming (LDEO) and NSF grant EAR 10-32156 which provided support to the Arizona Laserchron center. We thank E. Dahlhauser, E. Steponaitis, S. Cox, G. Mesko, E. Palmer and M. Reitz for the assistance in sample processing at LDEO; G. Ali, D. Giesler, M. Pecha and the AZ Laserchron center for the assistance with zircon analyses; and the FSU Antarctic Marine Geology Research Facility and the Integrated Ocean Drilling Program for core samples. Special thanks to the 'ANTARCTICHRON' workshop (University of Arizona in June 2011), during which many of the U-Pb zircon analyses were made. The authors would like to thank John Goodge and Joachim Jacobs for careful and constructive reviews.</t>
  </si>
  <si>
    <t>10.1016/j.earscirev.2014.08.010</t>
  </si>
  <si>
    <t>AT6OL</t>
  </si>
  <si>
    <t>WOS:000345058600008</t>
  </si>
  <si>
    <t>Woods, MA; Vandenbroucke, TRA; Williams, M; Riding, JB; De Schepper, S; Sabbe, K</t>
  </si>
  <si>
    <t>Woods, Mark A.; Vandenbroucke, Thijs R. A.; Williams, Mark; Riding, James B.; De Schepper, Stijn; Sabbe, Koen</t>
  </si>
  <si>
    <t>Complex response of dinoflagellate cyst distribution patterns to cooler early Oligocene oceans</t>
  </si>
  <si>
    <t>Dinoflagellate cysts; Eocene; Oligocene; Palaeoclimatology</t>
  </si>
  <si>
    <t>MIDDLE EOCENE; SOUTHERN-OCEAN; ANTARCTIC GLACIATION; MARINE-SEDIMENTS; ATMOSPHERIC CO2; WESTERN TETHYS; PACIFIC-OCEAN; NORTH-SEA; TRANSITION; BIOSTRATIGRAPHY</t>
  </si>
  <si>
    <t>Previous studies have made extensive use of dinoflagellate cysts to reconstruct past sea surface temperature (SST). Analysis of associations of dinoflagellate cysts using two new ocean datasets for the mid Eocene (Bartonian) and early Oligocene (Rupelian) reveals clear latitudinally constrained distributions for the Bartonian, but unexpected changes in their Rupelian distribution; a significant number of species with low and mid latitude northern hemisphere occurrences in the Bartonian extend their northward ranges in the Rupelian, including some forms characterised as 'warm water' by previous studies. This suggests either that dinoflagellates are faithfully tracking a complex oceanographic response to Rupelian cooling, or that dinoflagellate sensitivity/adaptability to a range of ecological variables means that at a global scale their distributions are not primarily controlled by sea surface temperature-variability. Previous use of dinoflagellate cysts for palaeoclimate work has relied on rather subjective and inconsistent identification of 'warm' and 'cold' water forms, rather than comprehensive analysis of community associations at the global-scale. It is clear from this study that a better understanding of the (palaeo-)ecology of dinoflagellates and their cysts is required. Rupelian dinoflagellate cyst distribution may reflect changes in a range of environmental variables linked to early Oligocene climate-cooling, for example changes in nutrient fluxes triggered by glacially-induced base-level fall; complex reorganisation of ocean current systems between the Bartonian and Rupelian, or muted changes to Rupelian summer SSTs in the northern hemisphere that have previously been reported. Many extant dinoflagellate species also exhibit relatively broad temperature tolerance. Moreover, they have potentially extensive cryptic diversity, and are able to produce dormant cysts during short-lived environmental deterioration, all of which may act to limit the value of undifferentiated dinoflagellate cyst assemblages for identifying climate signals. (C) 2014 The Authors. Published by Elsevier B.V. All rights reserved.</t>
  </si>
  <si>
    <t>[Woods, Mark A.; Riding, James B.] British Geol Survey, Ctr Environm Sci, Keyworth NG12 5GG, Notts, England; [Vandenbroucke, Thijs R. A.] Univ Lille 1, CNRS Geosyst, UMR 8217, F-59655 Villeneuve Dascq, France; [Williams, Mark] Univ Leicester, Dept Geol, Leicester LE1 7R11, Leics, England; [De Schepper, Stijn] Univ Bergen, Dept Earth Sci, N-5007 Bergen, Norway; [Sabbe, Koen] Univ Ghent, Dept Biol, B-9000 Ghent, Belgium</t>
  </si>
  <si>
    <t>UK Research &amp; Innovation (UKRI); Natural Environment Research Council (NERC); NERC British Geological Survey; Universite de Lille; University of Leicester; University of Bergen; Ghent University</t>
  </si>
  <si>
    <t>Woods, MA (corresponding author), British Geol Survey, Ctr Environm Sci, Keyworth NG12 5GG, Notts, England.</t>
  </si>
  <si>
    <t>maw@bgs.ac.uk; Thijs.Vandenbroucke@univ-lille1.fr; mri@leicester.ac.uk; jbri@bgs.ac.uk; stijn.deschepper@geo.uib.no; Koen.Sabbe@UGent.be</t>
  </si>
  <si>
    <t>Vandenbroucke, Thijs R. A./B-7974-2009; De Schepper, Stijn/A-2836-2011; Williams, Mark/B-7590-2009</t>
  </si>
  <si>
    <t>Vandenbroucke, Thijs R. A./0000-0002-8182-3708; De Schepper, Stijn/0000-0002-6934-0914; Williams, Mark/0000-0002-7987-6069</t>
  </si>
  <si>
    <t>BGS Climate Change Research Programme; French Agence Nationale de la Recherche through SeqStrat-Ice [ANR-12-BS06-0014]; Natural Environment Research Council [bgs05002] Funding Source: researchfish; NERC [bgs05002] Funding Source: UKRI</t>
  </si>
  <si>
    <t>BGS Climate Change Research Programme; French Agence Nationale de la Recherche through SeqStrat-Ice(Agence Nationale de la Recherche (ANR)); Natural Environment Research Council(UK Research &amp; Innovation (UKRI)Natural Environment Research Council (NERC)); NERC(UK Research &amp; Innovation (UKRI)Natural Environment Research Council (NERC))</t>
  </si>
  <si>
    <t>This research was supported by the BGS Climate Change Research Programme directed by Dr Michael A. Ellis. We are grateful to Emily Peckover (University of Leicester) for assisting with data compilation, and to Stewart G. Molyneux and Ian P. Wilkinson (British Geological Survey) for early reviews of this manuscript. MAW and JBR publish with the permission of the Executive Director, British Geological Survey (NERC). TRAV acknowledges financial support from the French Agence Nationale de la Recherche through grant ANR-12-BS06-0014 SeqStrat-Ice.</t>
  </si>
  <si>
    <t>10.1016/j.earscirev.2014.02.004</t>
  </si>
  <si>
    <t>WOS:000345058600011</t>
  </si>
  <si>
    <t>Ashton, G; Davidson, I; Ruiz, G</t>
  </si>
  <si>
    <t>Ashton, Gail; Davidson, Ian; Ruiz, Gregory</t>
  </si>
  <si>
    <t>Transient small boats as a long-distance coastal vector for dispersal of biofouling organisms</t>
  </si>
  <si>
    <t>Anthropogenic transport; Biofouling; Introduced; Latitudinal gradient; Nonindigenous species; Vector</t>
  </si>
  <si>
    <t>MARINE ORGANISMS; BALLAST WATER; INVASION; POPULATION; EXPANSION; TRANSPORT; PORT</t>
  </si>
  <si>
    <t>Alaska is at the northern end of an apparent latitudinal trend of decreasing coastal marine introductions on the West Coast of North America. Historical propagule supply may have played a role in forming this trend, but few studies have evaluated propagule supply to northern latitudes. Here, we examined the role of small boat traffic as a mechanism of long-distance spread for nonindigenous species (NIS) into coastal Alaska. We used a combination of public records, marina surveys, and boater interviews to characterize vessel traffic patterns and boater behaviors. In-water SCUBA sampling of recently arrived transient boats provided data on extent, richness, composition, and biogeography of biofouling incursions to Alaska from outside of the state. We documented a striking seasonality and directionality of vessel traffic, and most vessels were on voyages of &gt; 900 km. Most transient vessels sampled had few organisms, although one third had &gt; 100 organisms on submerged surfaces. Several NIS were recorded, including two that are not known to be established in Alaska (Watersipora subtorquata and Amphibalanus improvisus). The seasonal northward pulse of vessels and their cumulative biofouling species represent an important incursion mechanism for species yet to establish at the northern edge of a marine bioinvasion front in the northeastern Pacific. The low numbers of NIS sampled in this study coincide with the low number of marine NIS known from Alaska, which suggests that an opportunity remains to promote awareness and management of the vector to limit NIS influx to the region. This may be particularly relevant for future scenarios of increased vessel traffic and ocean warming, which are likely to interact to increase establishment success of invaders from the south.</t>
  </si>
  <si>
    <t>[Ashton, Gail] Smithsonian Environm Res Ctr, Marine Invas Lab, Tiburon, CA 94920 USA; [Davidson, Ian] Portland State Univ, Aquat Bioinvas Res &amp; Policy Inst, Portland, OR 97207 USA; [Davidson, Ian] Smithsonian Environm Res Ctr, Portland, OR 97207 USA; [Ruiz, Gregory] Smithsonian Environm Res Ctr, Marine Invas Lab, Edgewater, MD 21037 USA</t>
  </si>
  <si>
    <t>Smithsonian Institution; Smithsonian Environmental Research Center; Portland State University; Smithsonian Institution; Smithsonian Environmental Research Center; Smithsonian Institution; Smithsonian Environmental Research Center</t>
  </si>
  <si>
    <t>Ashton, G (corresponding author), British Antarctic Survey, Madingley Rd, Cambridge CB3 0ET, England.</t>
  </si>
  <si>
    <t>gvashton@gmail.com</t>
  </si>
  <si>
    <t>Davidson, Ian/0000-0002-8729-6048; Ashton, Gail/0000-0001-5884-3383; Ruiz, Gregory/0000-0003-2499-441X</t>
  </si>
  <si>
    <t>Alaska Department of Fish and Game</t>
  </si>
  <si>
    <t>This research was funded by the Alaska Department of Fish and Game (project leader Tammy Davis). Gary Freitag, Barbara Morgan, Steve Corporon, Monaca Noble, and Trevor Ruiz provided local assistance in Ketchikan, and we also thank Dr Ernie Meloche for inspiration in the field. Other parties who offered assistance in the form of data, access, local knowledge, or personnel include Allen and Saunya Alloway at Wind and Water Charters and Scuba, Alaska Forestry Service, Ketchikan Customs and Border Protection, and Ketchikan Ports and Harbors. Taxonomic experts were Kristen Larson (tunicates), Jeff Cordell (mobile crustacea), Chris Brown (barnacles), and Linda McCann (bryozoans). The genetic analyses were completed by Jonathon Geller's laboratory.</t>
  </si>
  <si>
    <t>10.1007/s12237-014-9782-9</t>
  </si>
  <si>
    <t>AR6WY</t>
  </si>
  <si>
    <t>WOS:000343722700019</t>
  </si>
  <si>
    <t>Gwak, Y; Jung, W; Lee, Y; Kim, JS; Kim, CG; Ju, JH; Song, C; Hyun, JK; Jin, E</t>
  </si>
  <si>
    <t>Gwak, Yunho; Jung, Woongsic; Lee, Yew; Kim, Ji Sook; Kim, Chul Geun; Ju, Ji-Hyun; Song, Chihong; Hyun, Jae-Kyung; Jin, EonSeon</t>
  </si>
  <si>
    <t>An intracellular antifreeze protein from an Antarctic microalga that responds to various environmental stresses</t>
  </si>
  <si>
    <t>FASEB JOURNAL</t>
  </si>
  <si>
    <t>Chaetoceros neogracile; immunogold labeling; ice-binding site</t>
  </si>
  <si>
    <t>ICE-BINDING PROTEINS; CIS-ACTING ELEMENTS; SEA-ICE; REGULATORY ELEMENTS; STRUCTURE PREDICTION; DEHYDRATION STRESS; GENE-EXPRESSION; PROMOTER; LIGHT; IDENTIFICATION</t>
  </si>
  <si>
    <t>The structure and function of the Antarctic marine diatom Chaetoceros neogracile antifreeze protein (Cn-AFP), as well as its expression levels and characteristics of the ice-binding site, were analyzed in the present study. In silico analysis revealed that the Cn-AFP promoter contains both light- and temperature-responsive elements. Northern and Western blot analyses demonstrated that both Cn-AFP transcript and protein expression were strongly and rapidly stimulated by freezing, as well as temperature and high light stress. Immunogold labeling revealed that Cn-AFP is preferentially localized to the intracellular space near the chloroplast membrane. Recombinant Cn-AFP had clear antifreeze activity. Protein-folding simulation was used to predict the putative ice-binding sites in Cn-AFP, and site-directed mutagenesis of the Cn-AFP b-face confirmed their identification.Gwak, Y., Jung, W., Lee, Y., Kim, J. S., Kim, C. G., Ju, J.-H., Song, C., Hyun, J.-K., Jin, E. An intracellular antifreeze protein from an Antarctic microalga that responds to various environmental stresses.</t>
  </si>
  <si>
    <t>[Gwak, Yunho; Jung, Woongsic; Lee, Yew; Kim, Ji Sook; Kim, Chul Geun; Ju, Ji-Hyun; Jin, EonSeon] Hanyang Univ, Res Inst Nat Sci, Dept Life Sci, Seoul 133791, South Korea; [Jung, Woongsic] Korea Polar Res Inst, Div Polar Life Sci, Inchon, South Korea; [Song, Chihong; Hyun, Jae-Kyung] Korea Basic Sci Inst, Div Electron Microscop Res, Taejon, South Korea</t>
  </si>
  <si>
    <t>Hanyang University; Korea Institute of Ocean Science &amp; Technology (KIOST); Korea Polar Research Institute (KOPRI); Korea Basic Science Institute (KBSI)</t>
  </si>
  <si>
    <t>Jin, E (corresponding author), Hanyang Univ, Res Inst Nat Sci, Dept Life Sci, Seoul 133791, South Korea.</t>
  </si>
  <si>
    <t>hjk022@kbsi.re.kr; esjin@hanyang.ac.kr</t>
  </si>
  <si>
    <t>Hyun, Jaekyung/AAK-2521-2020; Jin, EonSeon/AAW-6839-2020; Kim, Chul Geun/R-6296-2016; Song, Chihong/ACD-3230-2022</t>
  </si>
  <si>
    <t>Hyun, Jaekyung/0000-0003-2914-537X; Jin, EonSeon/0000-0001-5691-0124; Kim, Chul Geun/0000-0002-5848-3338;</t>
  </si>
  <si>
    <t>Korea Carbo Capture and Sequestration (CCS) Research and Development (R&amp;D) Center (KCRC) - Korean government [Ministry of Science, Information, Communications and Technology (ICT), and Future Planning; National Research Foundation (NRF)] [2014M1A8A1049273]; NRF of Korea [NRF-C1ABA001-2010-0020501]</t>
  </si>
  <si>
    <t>Korea Carbo Capture and Sequestration (CCS) Research and Development (R&amp;D) Center (KCRC) - Korean government [Ministry of Science, Information, Communications and Technology (ICT), and Future Planning; National Research Foundation (NRF)]; NRF of Korea</t>
  </si>
  <si>
    <t>This work was supported by a Korea Carbo Capture and Sequestration (CCS) Research and Development (R&amp;D) Center (KCRC), grant funded by the Korean government [Ministry of Science, Information, Communications and Technology (ICT), and Future Planning; National Research Foundation (NRF)-2014M1A8A1049273]. This research was also supported by the NRF of Korea (grant NRF-C1ABA001-2010-0020501)</t>
  </si>
  <si>
    <t>FEDERATION AMER SOC EXP BIOL</t>
  </si>
  <si>
    <t>BETHESDA</t>
  </si>
  <si>
    <t>9650 ROCKVILLE PIKE, BETHESDA, MD 20814-3998 USA</t>
  </si>
  <si>
    <t>0892-6638</t>
  </si>
  <si>
    <t>1530-6860</t>
  </si>
  <si>
    <t>FASEB J</t>
  </si>
  <si>
    <t>Faseb J.</t>
  </si>
  <si>
    <t>10.1096/fj.14-256388</t>
  </si>
  <si>
    <t>AS1OU</t>
  </si>
  <si>
    <t>WOS:000344050900029</t>
  </si>
  <si>
    <t>Smith, HJ; Foreman, CM; Ramaraj, T</t>
  </si>
  <si>
    <t>Smith, Heidi J.; Foreman, Christine M.; Ramaraj, Thiruvarangan</t>
  </si>
  <si>
    <t>Draft Genome Sequence of a Metabolically Diverse Antarctic Supraglacial Stream Organism, Polaromonas sp. Strain CG9_12, Determined Using Pacific Biosciences Single-Molecule Real-Time Sequencing Technology</t>
  </si>
  <si>
    <t>GENOME ANNOUNCEMENTS</t>
  </si>
  <si>
    <t>Polaromonas species are found in a diversity of environments and are particularly common in icy ecosystems. Polaromonas sp. strain CG9_12 is an aerobic, Gram-negative, catalase-positive, white-pigmented bacterium of the Proteobacteria phylum. Here, we present the draft genome sequence of Polaromonas sp. strain CG9_12, isolated from an Antarctic supraglacial stream.</t>
  </si>
  <si>
    <t>[Smith, Heidi J.] Montana State Univ, Dept Land Resources &amp; Environm Sci, Bozeman, MT 59717 USA; [Foreman, Christine M.] Montana State Univ, Dept Chem &amp; Biol Engn, Bozeman, MT 59717 USA; [Smith, Heidi J.; Foreman, Christine M.] Montana State Univ, Ctr Biofilm Engn, Bozeman, MT 59717 USA; [Ramaraj, Thiruvarangan] Natl Ctr Genome Resources, Santa Fe, NM USA</t>
  </si>
  <si>
    <t>Montana State University System; Montana State University Bozeman; Montana State University System; Montana State University Bozeman; Montana State University System; Montana State University Bozeman; National Center for Genome Resources (NCGR)</t>
  </si>
  <si>
    <t>Foreman, CM (corresponding author), Montana State Univ, Dept Chem &amp; Biol Engn, Bozeman, MT 59717 USA.</t>
  </si>
  <si>
    <t>cforeman@montana.edu</t>
  </si>
  <si>
    <t>National Science Foundation [OPP-0838970, 1141978]; NASA Earth and Space Science Fellowship (NESSF) program; Raytheon Polar Services and Petroleum Helicopters Incorporated; Office of Polar Programs (OPP); Directorate For Geosciences [1141978] Funding Source: National Science Foundation</t>
  </si>
  <si>
    <t>National Science Foundation(National Science Foundation (NSF)); NASA Earth and Space Science Fellowship (NESSF) program; Raytheon Polar Services and Petroleum Helicopters Incorporated; Office of Polar Programs (OPP); Directorate For Geosciences(National Science Foundation (NSF)NSF - Directorate for Geosciences (GEO))</t>
  </si>
  <si>
    <t>Funding for this research came from the National Science Foundation (OPP-0838970 and 1141978). Any opinions, findings, and conclusions or recommendations expressed in this material are those of the author(s) and do not necessarily reflect the views of the National Science Foundation. H. Smith was supported by the NASA Earth and Space Science Fellowship (NESSF) program. Logistical support was provided by Raytheon Polar Services and Petroleum Helicopters Incorporated.</t>
  </si>
  <si>
    <t>2169-8287</t>
  </si>
  <si>
    <t>Genom. Ann.</t>
  </si>
  <si>
    <t>e01242-14</t>
  </si>
  <si>
    <t>10.1128/genomeA.01242-14</t>
  </si>
  <si>
    <t>VI1CU</t>
  </si>
  <si>
    <t>WOS:000460614500114</t>
  </si>
  <si>
    <t>Iverson, NA; Kyle, PR; Dunbar, NW; McIntosh, WC; Pearce, NJG</t>
  </si>
  <si>
    <t>Iverson, Nels A.; Kyle, Philip R.; Dunbar, Nelia W.; McIntosh, William C.; Pearce, Nicholas J. G.</t>
  </si>
  <si>
    <t>Eruptive history and magmatic stability of Erebus volcano, Antarctica: Insights from englacial tephra</t>
  </si>
  <si>
    <t>MOUNT EREBUS; SIPLE-DOME; ROSS-ISLAND; ICE CORE; SURFACE-FEATURES; WEST ANTARCTICA; VICTORIA LAND; 40AR/39AR; EVOLUTION; LAYERS</t>
  </si>
  <si>
    <t>A tephrostratigraphy of the active Antarctic Erebus volcano was determined from englacial tephra on the ice-covered flanks of Erebus and an adjacent volcano. The tephra are used to reconstruct the eruptive history and magmatic evolution of Erebus. More fine-grained and blocky particles define tephra formed in phreatomagmatic eruptions and larger fluidal shards are characteristic of magmatic eruptions and in some cases both eruptive types are identified in a single mixed tephra. The eruptions forming the mixed tephra likely started as phreatomagmatic eruptions which transitioned into Strombolian eruptions as the nonmagmatic water source was exhausted. We reconstructed the eruptive history of Erebus using the tephra layers stratigraphic position, 40Ar/39Ar ages, shard morphology, and grain size. Major and trace element analyses of individual glass shards were measured by electron probe microanalysis and LA-ICP-MS. Trachybasalt, trachyte, and phonolite tephra were identified. All phonolitic tephra are Erebus-derived with compositions similar to volcanic bombs erupted from Erebus over the past 40 years. The tephra show that Erebus magma has not significantly changed for 40 ka. The uniformity of the glass chemical composition implies that the phonolite magma has crystallized in the same manner without change throughout the late Quaternary, suggesting long-term stability of the Erebus magmatic system. Trachyte and trachybasalt tephra were likely erupted from Marie Byrd Land and the McMurdo Sound area, respectively. The trachytic tephra can be regionally correlated and could provide an important time-stratigraphic marker in Antarctic ice cores.</t>
  </si>
  <si>
    <t>[Iverson, Nels A.; Kyle, Philip R.; McIntosh, William C.] New Mexico Inst Min &amp; Technol, Dept Earth &amp; Environm Sci, Socorro, NM 87801 USA; [Dunbar, Nelia W.; McIntosh, William C.] New Mexico Inst Min &amp; Technol, New Mexico Bur Geol &amp; Mineral Resources, Socorro, NM 87801 USA; [Pearce, Nicholas J. G.] Aberystwyth Univ, Dept Geog &amp; Earth Sci, Aberystwyth, Dyfed, Wales</t>
  </si>
  <si>
    <t>New Mexico Institute of Mining Technology; New Mexico Institute of Mining Technology; Aberystwyth University</t>
  </si>
  <si>
    <t>Iverson, NA (corresponding author), New Mexico Inst Min &amp; Technol, Dept Earth &amp; Environm Sci, Socorro, NM 87801 USA.</t>
  </si>
  <si>
    <t>niverson@nmt.edu</t>
  </si>
  <si>
    <t>Dunbar, Nelia W./HZL-8693-2023; Pearce, Nicholas J G/B-5295-2009</t>
  </si>
  <si>
    <t>Dunbar, Nelia W./0000-0002-5181-937X; Pearce, Nicholas J G/0000-0003-3157-9564; Iverson, Nels/0000-0002-7110-5040</t>
  </si>
  <si>
    <t>NSF Division of Polar Programs [ANT-0838817, ANT-1142083]; Office of Polar Programs (OPP); Directorate For Geosciences [1142115, 1142069, 1142083] Funding Source: National Science Foundation</t>
  </si>
  <si>
    <t>NSF Division of Polar Programs(National Science Foundation (NSF)NSF - Directorate for Geosciences (GEO)); Office of Polar Programs (OPP); Directorate For Geosciences(National Science Foundation (NSF)NSF - Directorate for Geosciences (GEO))</t>
  </si>
  <si>
    <t>Funding for this project was provided by the NSF Division of Polar Programs through Grant ANT-0838817 and ANT-1142083. Thanks to Matt Zimmerer, Dave Parmelee, Meghan Seifert, Laura Jones, and everyone in the G-081 team for their assistance in the field. Field work was supported by Raytheon Polar Services Company. Great thanks to PHI, Inc. and Rob McPhail with Helicopters New Zealand for their invaluable transportation to and from the field. Thanks to everyone in the NMGRL for assistance with 40Ar/39Ar dating. This manuscript was greatly improved by reviews from Cin-Ty Lee, Siwan Davies, and John Smellie. All data used in this article is available in the supporting information. Excel files are available from the corresponding author upon request.</t>
  </si>
  <si>
    <t>10.1002/2014GC005435</t>
  </si>
  <si>
    <t>AZ2JT</t>
  </si>
  <si>
    <t>WOS:000348060800004</t>
  </si>
  <si>
    <t>Ju, XL; Shen, YZ; Zhang, ZZ</t>
  </si>
  <si>
    <t>Ju Xiaolei; Shen Yunzhong; Zhang Zizhan</t>
  </si>
  <si>
    <t>GRACE RL05-based ice mass changes in the typical regions of antarctica from 2004 to 2012</t>
  </si>
  <si>
    <t>GEODESY AND GEODYNAMICS</t>
  </si>
  <si>
    <t>GRACE; Antarctic ice mass change; Antarctic Peninsula; Amundsen Sea Embayment; Lambert-Amery System</t>
  </si>
  <si>
    <t>TIME-VARIABLE GRAVITY; SHEET; GREENLAND; ACCELERATION; CLIMATE; BALANCE</t>
  </si>
  <si>
    <t>The Antarctic ice sheet is the largest block of ice on Earth, a tiny change of its ice sheet will have a significant impact on sea level change, so it plays an important role in global climate change. The Gravity Recovery and Climate Experiment (GRACE) mission, launched in 2002, provides an alternative method to monitor the Antarctic ice mass variation. The latest Release Level 05 (RL05) version of GRACE time-variable gravity (TVG) data, derived from GRACE observations with improved quality and time-span over 10 years, were released by three GRACE data centers (CSR, JPL and GFZ) in April2012, which gives us a chance to re-estimate the ice mass change over Antarctic more accurately. In this paper, we examine ice mass changes in regional scale, including Antarctic Peninsula (AP, West Antarctica), Amundsen Sea Embayment (ASE, West Antarctica), Lambert-Amery System (LAS, East Antarctica) and 27 drainage basins based on three data sets. The AP mass change rates are -12. 03 +/- 0. 74 Gt/a (CSR, 2004-2012), -13. 92 +/- 2. 33 Gt/a (JPL, 2004 -2012), -12. 28 +/- 0. 76 Gt/a (GFZ, 2005-2012), with an acceleration of -1. 50 +/- 0. 25 Gt/a(2), -1. 54 +/- 0. 26 Gt/a(2), -0. 46 +/- 0. 28 Gt/a(2) respectively, the ASE mass change rates are -89. 22 +/- 1. 93 Gt/a, -86. 28 +/- 2. 20 Gt/a, -83. 67 +/- 1. 76 Gt/a with an acceleration of -10. 03 +/- 0. 65 Gt/a 2, -8. 7 +/- 0. 74 Gt/a(2) and -5. 69 +/- 0. 68 Gt/a(2), and the LAS mass change rates are -4. 31 +/- 1. 95 Gt/a, -7. 29 +/- 2. 84 Gt/a, 1. 20 +/- 1. 35 Gt/a with an acceleration of -0. 18 +/- 0. 62 Gt/a(2), 3. 55 +/- 0. 95 Gt/a(2) and 0. 97 +/- 0. 49 Gt/a(2) . The mass change rates derived from the three RL05 data are very close to each other both in AP and ASE with the uncertainties much smaller than the change rates, and mass losses are significantly accelerated since 2007 in AP and 2006 in ASE, respectively. However, the mass change rates are significantly different in LAS, negative rate from CSR and JPL data, but positive rate from GFZ data, the uncertainties are even larger than the correspondent change rates. With regard to the 27 drainage basins, seven basins (basin 3-9) located in the east Antarctica show positive mass change rates, and the rest twenty basins are characterized by negative mass change rates during the time span of the three RL05 data.</t>
  </si>
  <si>
    <t>[Ju Xiaolei; Shen Yunzhong] Tongji Univ, Coll Surveying &amp; Geoinformat Engn, Shanghai 200092, Peoples R China; [Shen Yunzhong] Tongji Univ, Ctr Spatial Informat Sci &amp; Sustainable Dev, Shanghai 200092, Peoples R China; [Zhang Zizhan] Chinese Acad Sci, Inst Geodesy &amp; Geophys, State Key Lab Geodesy &amp; Earths Dynam, Wuhan 430077, Hubei, Peoples R China</t>
  </si>
  <si>
    <t>Tongji University; Tongji University; Chinese Academy of Sciences; Innovation Academy for Precision Measurement Science &amp; Technology, CAS</t>
  </si>
  <si>
    <t>Ju, XL (corresponding author), Tongji Univ, Coll Surveying &amp; Geoinformat Engn, Shanghai 200092, Peoples R China.</t>
  </si>
  <si>
    <t>leilei0410@hotmail.com</t>
  </si>
  <si>
    <t>Zhang, Zizhan/F-5705-2016</t>
  </si>
  <si>
    <t>National key Basic Research Program of China (973 Program) [2012CB957703]; Natural Science Foundation of China [41274035]</t>
  </si>
  <si>
    <t>National key Basic Research Program of China (973 Program)(National Basic Research Program of China); Natural Science Foundation of China(National Natural Science Foundation of China (NSFC))</t>
  </si>
  <si>
    <t>This work was mainly sponsored by National key Basic Research Program of China (973 Program: 2012CB957703) and Natural Science Foundation of China (41274035).</t>
  </si>
  <si>
    <t>16 DONGHUANGCHENGGEN NORTH ST, BEIJING, 100717, PEOPLES R CHINA</t>
  </si>
  <si>
    <t>1674-9847</t>
  </si>
  <si>
    <t>GEOD GEODYN</t>
  </si>
  <si>
    <t>J. Geod. Geodyn.</t>
  </si>
  <si>
    <t>10.3724/SP.J.1246.2014.04057</t>
  </si>
  <si>
    <t>V7H8T</t>
  </si>
  <si>
    <t>WOS:000420974200008</t>
  </si>
  <si>
    <t>Rose, KC; Ross, N; Bingham, RG; Corr, HFJ; Ferraccioli, F; Jordan, TA; Le Brocq, AM; Rippin, DM; Siegert, MJ</t>
  </si>
  <si>
    <t>Rose, Kathryn C.; Ross, Neil; Bingham, Robert G.; Corr, Hugh F. J.; Ferraccioli, Fausto; Jordan, Tom A.; Le Brocq, Anne M.; Rippin, David M.; Siegert, Martin J.</t>
  </si>
  <si>
    <t>A temperate former West Antarctic ice sheet suggested by an extensive zone of subglacial meltwater channels</t>
  </si>
  <si>
    <t>GREENLAND; DYNAMICS; GLACIER; LAKES; FLOW; BED; ACCELERATION; INVENTORY; DISCHARGE; SHELVES</t>
  </si>
  <si>
    <t>Several recent studies predict that the West Antarctic Ice Sheet will become increasingly unstable under warmer conditions. Insights on such change can be assisted through investigations of the subglacial landscape, which contains imprints of former ice-sheet behavior. Here, we present radio-echo sounding data and satellite imagery revealing a series of ancient large sub-parallel subglacial bed channels preserved in the region between the Moller and Foundation Ice Streams, West Antarctica. We suggest that these newly recognized channels were formed by significant meltwater routed along the ice-sheet bed. The volume of water required is likely substantial and can most easily be explained by water generated at the ice surface. The Greenland Ice Sheet today exemplifies how significant seasonal surface melt can be transferred to the bed via englacial routing. For West Antarctica, the Pliocene (2.6-5.3 Ma) represents the most recent sustained period when temperatures could have been high enough to generate surface melt comparable to that of present-day Greenland. We propose, therefore, that a temperate ice sheet covered this location during Pliocene warm periods.</t>
  </si>
  <si>
    <t>[Rose, Kathryn C.] Univ Bristol, Sch Geog Sci, Bristol Glaciol Ctr, Bristol BS8 1SS, Avon, England; [Ross, Neil] Newcastle Univ, Sch Geog Polit &amp; Sociol, Newcastle NE1 7RU, Tyne &amp; Wear, England; [Bingham, Robert G.] Univ Edinburgh, Sch Geosci, Edinburgh EH8 9XP, Midlothian, Scotland; [Corr, Hugh F. J.; Ferraccioli, Fausto; Jordan, Tom A.] British Antarctic Survey, Cambridge CB3 0ET, England; [Le Brocq, Anne M.] Univ Exeter, Sch Geog, Exeter EX4 4RJ, Devon, England; [Rippin, David M.] Univ York, Dept Environm, York YO10 5DD, N Yorkshire, England; [Siegert, Martin J.] Univ London Imperial Coll Sci Technol &amp; Med, Grantham Inst, London SW7 2AZ, England; [Siegert, Martin J.] Univ London Imperial Coll Sci Technol &amp; Med, Dept Earth Sci &amp; Engn, London SW7 2AZ, England</t>
  </si>
  <si>
    <t>University of Bristol; Newcastle University - UK; University of Edinburgh; UK Research &amp; Innovation (UKRI); Natural Environment Research Council (NERC); NERC British Antarctic Survey; University of Exeter; University of York - UK; Imperial College London; Imperial College London</t>
  </si>
  <si>
    <t>k.c.rose@bristol.ac.uk; m.siegert@imperial.ac.uk</t>
  </si>
  <si>
    <t>Siegert, Martin/M-9939-2019; Corr, Hugh/C-5398-2011; Rippin, David Manish/AAW-5063-2021; Siegert, Martin J/A-3826-2008; Bingham, Robert G/G-3576-2017</t>
  </si>
  <si>
    <t>Siegert, Martin/0000-0002-0090-4806; Rippin, David Manish/0000-0001-7757-9880; Siegert, Martin J/0000-0002-0090-4806; Ferraccioli, Fausto/0000-0002-9347-4736; Bingham, Robert G/0000-0002-0630-2021</t>
  </si>
  <si>
    <t>UK Natural Environment Research Council (NERC) Antarctic Funding Initiative grant [NE/G013071/1]; NERC [NE/G013098/1, NE/G014248/1, NE/G013071/2, NE/G013071/1, NE/G013098/2, bas0100026] Funding Source: UKRI; Natural Environment Research Council [NE/G013071/1, NE/G013098/1, bas0100026, NE/G014248/1, NE/G013098/2, NE/G013071/2] Funding Source: researchfish</t>
  </si>
  <si>
    <t>UK Natural Environment Research Council (NERC) Antarctic Funding Initiative grant; NERC(UK Research &amp; Innovation (UKRI)Natural Environment Research Council (NERC)); Natural Environment Research Council(UK Research &amp; Innovation (UKRI)Natural Environment Research Council (NERC))</t>
  </si>
  <si>
    <t>This project was funded by UK Natural Environment Research Council (NERC) Antarctic Funding Initiative grant NE/G013071/1. We thank Carl Robinson (Airborne Survey engineer), Ian Potten and Doug Cochrane (pilots), and Mark Oostlander (air mechanic) for their invaluable assistance in the field. We also thank Peter Barrett and three anonymous referees for helpful and constructive comments on an earlier draft.</t>
  </si>
  <si>
    <t>10.1130/G35980.1</t>
  </si>
  <si>
    <t>Green Accepted, Green Published, Green Submitted, Bronze</t>
  </si>
  <si>
    <t>WOS:000345440300011</t>
  </si>
  <si>
    <t>Rennie, JJ; Lawrimore, JH; Gleason, BE; Thorne, PW; Morice, CP; Menne, MJ; Williams, CN; de Almeida, WG; Christy, JR; Flannery, M; Ishihara, M; Kamiguchi, K; Klein-Tank, AMG; Mhanda, A; Lister, DH; Razuvaev, V; Renom, M; Rusticucci, M; Tandy, J; Worley, SJ; Venema, V; Angel, W; Brunet, M; Dattore, B; Diamond, H; Lazzara, MA; Le Blancq, F; Luterbacher, J; Mächel, H; Revadekar, J; Vose, RS; Yin, X</t>
  </si>
  <si>
    <t>Rennie, J. J.; Lawrimore, J. H.; Gleason, B. E.; Thorne, P. W.; Morice, C. P.; Menne, M. J.; Williams, C. N.; de Almeida, W. Gambi; Christy, J. R.; Flannery, M.; Ishihara, M.; Kamiguchi, K.; Klein-Tank, A. M. G.; Mhanda, A.; Lister, D. H.; Razuvaev, V.; Renom, M.; Rusticucci, M.; Tandy, J.; Worley, S. J.; Venema, V.; Angel, W.; Brunet, M.; Dattore, B.; Diamond, H.; Lazzara, M. A.; Le Blancq, F.; Luterbacher, J.; Maechel, H.; Revadekar, J.; Vose, R. S.; Yin, X.</t>
  </si>
  <si>
    <t>The international surface temperature initiative global land surface databank: monthly temperature data release description and methods</t>
  </si>
  <si>
    <t>GEOSCIENCE DATA JOURNAL</t>
  </si>
  <si>
    <t>global climate; surface land temperature; statistical analysis</t>
  </si>
  <si>
    <t>MINIMUM; MAXIMUM; MODEL</t>
  </si>
  <si>
    <t>Described herein is the first version release of monthly temperature holdings of a new Global Land Surface Meteorological Databank. Organized under the auspices of the International Surface Temperature Initiative (ISTI), an international group of scientists have spent three years collating and merging data from numerous sources to create a merged holding. This release in its recommended form consists of over 30 000 individual station records, some of which extend over the past 300 years. This article describes the sources, the chosen merge methodology, and the resulting databank characteristics. Several variants of the databank have also been released that reflect the structural uncertainty in merging datasets. Variants differ in, for example, the order in which sources are considered and the degree of congruence required in station geolocation for consideration as a merged or unique record. Also described is a version control protocol that will be applied in the event of updates. Future updates are envisaged with the addition of new data sources, and with changes in processing, where public feedback is always welcomed. Major updates, when necessary, will always be accompanied by a new journal paper. This databank release forms the foundation for the construction of new global land surface air temperature analyses by the global research community and their assessment by the ISTI's benchmarking and assessment working group.</t>
  </si>
  <si>
    <t>[Rennie, J. J.; Thorne, P. W.] N Carolina State Univ, Cooperat Inst Climate &amp; Satellites NC, Asheville, NC 28804 USA; [Rennie, J. J.; Lawrimore, J. H.; Gleason, B. E.; Thorne, P. W.; Menne, M. J.; Williams, C. N.; Angel, W.; Diamond, H.; Vose, R. S.] NOAA, Natl Climat Data Ctr, Asheville, NC USA; [Thorne, P. W.] Nansen Environm &amp; Remote Sensing Ctr, Bergen, Norway; [Morice, C. P.; Tandy, J.] Met Off Hadley Ctr, Exeter, Devon, England; [de Almeida, W. Gambi] Inst Nacl Pesquisas Espaciais, Ctr Previsao Tempo &amp; Estudos Climat, Cachoeira Paulista, SP, Brazil; [Christy, J. R.] Univ Alabama, Huntsville, AL 35899 USA; [Flannery, M.] Bur Meteorol, Melbourne, Vic, Australia; [Ishihara, M.; Kamiguchi, K.] Japan Meteorol Agcy, Tokyo, Japan; [Klein-Tank, A. M. G.] Royal Netherlands Meteorol Inst KNMI, De Bilt, Netherlands; [Mhanda, A.] African Ctr Meteorol Applicat Dev, Niamey, Niger; [Lister, D. H.; Brunet, M.] Univ E Anglia, Climat Res Unit, Norwich NR4 7TJ, Norfolk, England; [Razuvaev, V.] Russian Res Inst Hydrometeorol Informat, Obninsk, Russia; [Renom, M.] Univ Republica, Montevideo, Uruguay; [Rusticucci, M.] Univ Buenos Aires, Buenos Aires, DF, Argentina; [Worley, S. J.; Dattore, B.] Natl Ctr Atmospher Res, Boulder, CO 80307 USA; [Venema, V.] Univ Bonn, Meteorol Inst, Bonn, Germany; [Brunet, M.] Univ Rovira &amp; Virgili, Ctr Climate Change, E-43007 Tarragona, Spain; [Lazzara, M. A.] Univ Wisconsin, Space Sci &amp; Engn Ctr, Antarctic Meteorol Res Ctr, Madison, WI USA; [Le Blancq, F.] States Jersey Meteorol Dept, Jersey, NC USA; [Luterbacher, J.] Univ Giessen, Dept Geog, D-35390 Giessen, Germany; [Maechel, H.] Deutsch Wetterdiest DWD, Offenbach, Germany; [Revadekar, J.] Indian Inst Trop Meteorol, Ctr Climate Change Res, Pune, Maharashtra, India; [Yin, X.] ERT Inc, Asheville, NC USA</t>
  </si>
  <si>
    <t>North Carolina State University; National Center Atmospheric Research (NCAR) - USA; National Oceanic Atmospheric Admin (NOAA) - USA; Nansen Environmental &amp; Remote Sensing Center (NERSC); Met Office - UK; Hadley Centre; Instituto Nacional de Pesquisas Espaciais (INPE); University of Alabama System; University of Alabama Huntsville; Bureau of Meteorology - Australia; Japan Meteorological Agency; Royal Netherlands Meteorological Institute; University of East Anglia; Universidad de la Republica, Uruguay; University of Buenos Aires; National Center Atmospheric Research (NCAR) - USA; University of Bonn; Universitat Rovira i Virgili; University of Wisconsin System; University of Wisconsin Madison; Justus Liebig University Giessen; Ministry of Earth Sciences (MoES) - India; Indian Institute of Tropical Meteorology (IITM); Centre for Climate Change Research - India</t>
  </si>
  <si>
    <t>Rennie, JJ (corresponding author), N Carolina State Univ, Cooperat Inst Climate &amp; Satellites NC, Asheville, NC 28804 USA.</t>
  </si>
  <si>
    <t>jared.rennie@noaa.gov</t>
  </si>
  <si>
    <t>Tank, Albert Klein/R-7329-2018; Rusticucci, Matilde/Y-6481-2019; Vose, Russell/GSI-5687-2022; Thorne, Peter/HZL-3928-2023; Brunet-India, Manola C/E-8239-2010; Thorne, Peter/R-6823-2017; Rennie, Jared/E-2984-2015</t>
  </si>
  <si>
    <t>Tank, Albert Klein/0000-0002-6275-2406; Rusticucci, Matilde/0000-0003-2588-6234; Thorne, Peter/0000-0003-0485-9798; Rennie, Jared/0000-0002-3316-9668</t>
  </si>
  <si>
    <t>NOAA through the Cooperative Institute for Climate and Satellites - North Carolina [NA09NES4400006]; National Science Foundation, Office of Polar Programs [ANT-0944018, ANT-1141908]; Joint DECC/Defra Met Office Hadley Centre Climate Programme [GA01101]</t>
  </si>
  <si>
    <t>NOAA through the Cooperative Institute for Climate and Satellites - North Carolina; National Science Foundation, Office of Polar Programs(National Science Foundation (NSF)NSF - Directorate for Geosciences (GEO)); Joint DECC/Defra Met Office Hadley Centre Climate Programme</t>
  </si>
  <si>
    <t>This study was supported by NOAA through the Cooperative Institute for Climate and Satellites - North Carolina under Cooperative Agreement NA09NES4400006. We thank the many contributors of data, which made establishment of the databank possible. This includes many National Meteorological Agencies, who have provided data either directly towards the databank effort, or have provided data for input into products such as GHCN-M and GHCN-D. Special thanks go out to CICS-NC interns Jennifer Meyer and Andrew Rogers, who provided essential analysis towards the databank. We also thank members of the public who provided feedback during the beta release of the databank, including Nick Stokes (http://moyhu.blogspot.com/). We would like to thank NCDC's graphics team for providing Figures 2 and 5. Thanks to Richard Chandler, Scott Stevens, Blair Trewin, Jesse Bell, Scott Applequist and anonymous reviewers for providing comments on the paper. A portion of the Antarctic observations (Turner et al., 2004; Lazzara et al., 2012) is partially based on work support by the National Science Foundation, Office of Polar Programs under Grant ANT-0944018 and ANT-1141908. The work of Colin Morice is supported by the Joint DECC/Defra Met Office Hadley Centre Climate Programme (GA01101).</t>
  </si>
  <si>
    <t>2049-6060</t>
  </si>
  <si>
    <t>GEOSCI DATA J</t>
  </si>
  <si>
    <t>Geosci. Data J.</t>
  </si>
  <si>
    <t>10.1002/gdj3.8</t>
  </si>
  <si>
    <t>CV4ES</t>
  </si>
  <si>
    <t>WOS:000364219800001</t>
  </si>
  <si>
    <t>Smith, JA; Hillenbrand, CD; Kuhn, G; Klages, JP; Graham, AGC; Larter, RD; Ehrmann, W; Moreton, SG; Wiers, S; Frederichs, T</t>
  </si>
  <si>
    <t>Smith, James A.; Hillenbrand, Claus-Dieter; Kuhn, Gerhard; Klages, Johann Phillip; Graham, Alastair G. C.; Larter, Robert D.; Ehrmann, Werner; Moreton, Steven G.; Wiers, Steffen; Frederichs, Thomas</t>
  </si>
  <si>
    <t>New constraints on the timing of West Antarctic Ice Sheet retreat in the eastern Amundsen Sea since the Last Glacial Maximum</t>
  </si>
  <si>
    <t>C-14 dating; Pine Island Glacier; grounding zone wedge; ice shelf; ice sheet modelling</t>
  </si>
  <si>
    <t>PINE ISLAND BAY; GROUNDING-LINE RETREAT; ROSS SEA; STREAM RETREAT; SHELF HISTORY; FLOW DYNAMICS; PENINSULA; RADIOCARBON; EMBAYMENT; SEDIMENTS</t>
  </si>
  <si>
    <t>Glaciers flowing into the Amundsen Sea Embayment (ASE) account for &gt;35% of the total discharge of the West Antarctic Ice Sheet (WAIS) and have thinned and retreated dramatically over the past two decades. Here we present detailed marine geological data and an extensive new radiocarbon dataset from the eastern ASE in order to constrain the retreat of the WAIS since the Last Glacial Maximum (LGM) and assess the significance of these recent changes. Our dating approach, relying mainly on the acid insoluble organic (AIO) fraction, utilises multi-proxy analyses of the sediments to characterise their lithofacies and determine the horizon in each core that would yield the most reliable age for deglaciation. In total, we dated 69 samples and show that deglaciation of the outer shelf was underway before 20,600 calibrated years before present (cal yr BP), reaching the mid-shelf by 13,575 cal yr BP and the inner shelf to within ca. 150 km of the present grounding line by 10,615 cal yr BP. The timing of retreat is broadly consistent with previously published radiocarbon dates on biogenic carbonate from the eastern ASE as well as AIO C-14 ages from the western ASE and provides new constraints for ice sheet models. The overall retreat trajectory slow on the outer shelf, more rapid from the middle to inner shelf clearly highlights the importance of reverse bedslopes in controlling phases of accelerated groundling line retreat. Despite revealing these broad scale trends, the current dataset does not capture detailed changes in ice flow, such as stillstands during grounding line retreat (i.e., deposition of grounding zone wedges) and possible readvances as depicted in the geomorphological record. (C) 2014 Elsevier B.V. All rights reserved.</t>
  </si>
  <si>
    <t>[Smith, James A.; Hillenbrand, Claus-Dieter; Graham, Alastair G. C.; Larter, Robert D.] British Antarctic Survey, Cambridge CB3 0ET, England; [Kuhn, Gerhard; Klages, Johann Phillip] Helmholtz Zentrum Polar &amp; Meeresforsch, Alfred Wegener Inst, D-27515 Bremerhaven, Germany; [Graham, Alastair G. C.] Univ Exeter, Coll Life &amp; Environm Sci, Exeter EX4 4RJ, Devon, England; [Ehrmann, Werner] Univ Leipzig, Inst Geol &amp; Geophys, D-04103 Leipzig, Germany; [Moreton, Steven G.] NERC Radiocarbon Facil Environm, E Kilbride, Lanark, Scotland; [Wiers, Steffen; Frederichs, Thomas] Univ Bremen, Dept Geosci, D-28334 Bremen, Germany</t>
  </si>
  <si>
    <t>UK Research &amp; Innovation (UKRI); Natural Environment Research Council (NERC); NERC British Antarctic Survey; Helmholtz Association; Alfred Wegener Institute, Helmholtz Centre for Polar &amp; Marine Research; University of Exeter; Leipzig University; UK Research &amp; Innovation (UKRI); Natural Environment Research Council (NERC); NERC British Geological Survey; University of Bremen</t>
  </si>
  <si>
    <t>Smith, JA (corresponding author), British Antarctic Survey, Madingley Rd, Cambridge CB3 0ET, England.</t>
  </si>
  <si>
    <t>jaas@bas.ac.uk</t>
  </si>
  <si>
    <t>Moreton, Steven G/C-2373-2009; Wiers, Steffen/AAT-6610-2020; Smith, James A/N-1836-2013</t>
  </si>
  <si>
    <t>Moreton, Steven G/0000-0002-8030-2433; Klages, Johann Philipp/0000-0003-0968-1183; Wiers, Steffen/0000-0002-3564-6747; Kuhn, Gerhard/0000-0001-6069-7485; Graham, Alastair/0000-0002-2880-2908; Larter, Robert/0000-0002-8414-7389</t>
  </si>
  <si>
    <t>Natural Environment Research Council; Alfred Wegener Institute research programme Polar Regions and Coasts in a Changing Earth System; UK Natural Environment Research Council (NERC) [NE/F000359/1]; Deutsche Forschungsgemeinschaft; Natural Environment Research Council [bosc01001, NE/F000359/1, bas0100027] Funding Source: researchfish; NERC [NE/F000359/1, bosc01001, bas0100027] Funding Source: UKRI</t>
  </si>
  <si>
    <t>Natural Environment Research Council(UK Research &amp; Innovation (UKRI)Natural Environment Research Council (NERC)); Alfred Wegener Institute research programme Polar Regions and Coasts in a Changing Earth System; UK Natural Environment Research Council (NERC)(UK Research &amp; Innovation (UKRI)Natural Environment Research Council (NERC)); Deutsche Forschungsgemeinschaft(German Research Foundation (DFG));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</si>
  <si>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(Palaeo-Ice Sheets work package)', funded by the Natural Environment Research Council. Additional funding from the Alfred Wegener Institute research programme Polar Regions and Coasts in a Changing Earth System, the UK Natural Environment Research Council (NERC) New Investigator Grant NE/F000359/1 grant to C.-D. Hillenbrand and the Deutsche Forschungsgemeinschaft (grant to Werner Ehrmann) is also acknowledged. We also wish to thank the expert technical help of Jeremy Sothcott (BOSCORF) for help with core logging as well as NDT-Intertek services (Simon Taylor and Robert Collington) for providing core x-radiographs. In addition, we thank the captains, officers, crew, support staff and scientists who partitipated in cruises JR141, JR179, ANT-XXVI/3 and ANT-XXIII/4 and laboratory support from Hilary Blagbrough at BAS.</t>
  </si>
  <si>
    <t>10.1016/j.gloplacha.2014.07.015</t>
  </si>
  <si>
    <t>WOS:000345488600020</t>
  </si>
  <si>
    <t>Jones, DC; Ito, T; Takano, Y; Hsu, WC</t>
  </si>
  <si>
    <t>Jones, Daniel C.; Ito, Takamitsu; Takano, Yohei; Hsu, Wei-Ching</t>
  </si>
  <si>
    <t>Spatial and seasonal variability of the air-sea equilibration timescale of carbon dioxide</t>
  </si>
  <si>
    <t>gas exchange efficiency; carbon dioxide; equilibration; disequilibrium</t>
  </si>
  <si>
    <t>GAS-EXCHANGE; ANTHROPOGENIC CO2; SOUTHERN-OCEAN; BOX MODELS; REPRESENTATION; ATLANTIC; PACIFIC; RATES; WATER; CYCLE</t>
  </si>
  <si>
    <t>The exchange of carbon dioxide between the ocean and the atmosphere tends to bring waters within the mixed layer toward equilibrium by reducing the partial pressure gradient across the air-water interface. However, the equilibration process is not instantaneous; in general, there is a lag between forcing and response. The timescale of air-sea equilibration depends on several factors involving the depth of the mixed layer, wind speed, and carbonate chemistry. We use a suite of observational data sets to generate climatological and seasonal composite maps of the air-sea equilibration timescale. The relaxation timescale exhibits considerable spatial and seasonal variations that are largely set by changes in mixed layer depth and wind speed. The net effect is dominated by the mixed layer depth; the gas exchange velocity and carbonate chemistry parameters only provide partial compensation. Broadly speaking, the adjustment timescale tends to increase with latitude. We compare the observationally derived air-sea gas exchange timescale with a model-derived surface residence time and a data-derived horizontal transport timescale, which allows us to define two nondimensional metrics of equilibration efficiency. These parameters highlight the tropics, subtropics, and northern North Atlantic as regions of inefficient air-sea equilibration where carbon anomalies are relatively likely to persist. The efficiency parameters presented here can serve as simple tools for understanding the large-scale persistence of air-sea disequilibrium of CO2 in both observations and models.</t>
  </si>
  <si>
    <t>[Jones, Daniel C.] British Antarctic Survey, NERC, Cambridge, England; [Jones, Daniel C.; Ito, Takamitsu; Takano, Yohei; Hsu, Wei-Ching] Georgia Inst Technol, Sch Earth &amp; Atmospher Sci, Atlanta, GA 30332 USA; [Hsu, Wei-Ching] Texas A&amp;M Univ, Dept Oceanog, College Stn, TX 77843 USA</t>
  </si>
  <si>
    <t>UK Research &amp; Innovation (UKRI); Natural Environment Research Council (NERC); NERC British Antarctic Survey; University System of Georgia; Georgia Institute of Technology; Texas A&amp;M University System; Texas A&amp;M University College Station</t>
  </si>
  <si>
    <t>Jones, DC (corresponding author), British Antarctic Survey, NERC, Cambridge, England.</t>
  </si>
  <si>
    <t>dannes@bas.ac.uk</t>
  </si>
  <si>
    <t>; Ito, Takamitsu/F-3856-2010</t>
  </si>
  <si>
    <t>Hsu, Wei-Ching/0000-0002-4168-6403; Takano, Yohei/0000-0001-7984-8810; Jones, Dani/0000-0002-8701-4506; Ito, Takamitsu/0000-0001-9873-099X</t>
  </si>
  <si>
    <t>National Science Foundation (NSF USA) [OCE-1242313, OPP-1142009]; National Oceanic and Atmospheric Administration (NOAA USA) [NA08OAR4320893]; Natural Environment Research Council (NERC UK) [NE/J007757/1]; NERC [bas0100028, NE/J007757/1, NE/J008494/1] Funding Source: UKRI; Natural Environment Research Council [bas0100028, NE/J007757/1, NE/J008494/1] Funding Source: researchfish; Directorate For Geosciences; Office of Polar Programs (OPP) [1142009] Funding Source: National Science Foundation</t>
  </si>
  <si>
    <t>National Science Foundation (NSF USA)(National Science Foundation (NSF)); National Oceanic and Atmospheric Administration (NOAA USA); Natural Environment Research Council (NERC UK)(UK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</si>
  <si>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work originates from a term project at the Georgia Institute of Technology. The authors wish to thank Francois Primeau, Katsumi Matsumoto, Mick Follows, Anne Willem Omta, Andrew Meijers, and an anonymous reviewer for comments that greatly improved the quality of this paper. The authors also wish to thank Emanuele Di Lorenzo for providing processed QuikSCAT data. Data analysis and visualization were carried out using Matlab R2012b and R2014b (MathWorks) and R (http://www.r-project.org/) with Rstudio (http://www.rstudio.com/). This study is part of the British Antarctic Survey Polar Science for Planet Earth Programme. The authors are grateful for support from the National Science Foundation (NSF USA, grants OCE-1242313 and OPP-1142009), the National Oceanic and Atmospheric Administration (NOAA USA, grant NA08OAR4320893), and the Natural Environment Research Council (NERC UK, grant NE/J007757/1).</t>
  </si>
  <si>
    <t>10.1002/2014GB004813</t>
  </si>
  <si>
    <t>AW9RE</t>
  </si>
  <si>
    <t>WOS:000346594100001</t>
  </si>
  <si>
    <t>Strain, EMA; Thomson, RJ; Micheli, F; Mancuso, FP; Airoldi, L</t>
  </si>
  <si>
    <t>Strain, Elisabeth M. A.; Thomson, Russell J.; Micheli, Fiorenza; Mancuso, Francesco P.; Airoldi, Laura</t>
  </si>
  <si>
    <t>Identifying the interacting roles of stressors in driving the global loss of canopy-forming to mat-forming algae in marine ecosystems</t>
  </si>
  <si>
    <t>GLOBAL CHANGE BIOLOGY</t>
  </si>
  <si>
    <t>anthropogenic stressors; canopy-forming algae; habitat shifts; management; mat-forming algae</t>
  </si>
  <si>
    <t>FUCUS-VESICULOSUS; CLIMATE-CHANGE; NUTRIENT CONCENTRATION; MULTIPLE STRESSORS; FUCOID ALGAE; LIFE STAGES; GROWTH; LIGHT; FUCALES; PHAEOPHYCEAE</t>
  </si>
  <si>
    <t>Identifying the type and strength of interactions between local anthropogenic and other stressors can help to set achievable management targets for degraded marine ecosystems and support their resilience by identifying local actions. We undertook a meta-analysis, using data from 118 studies to test the hypothesis that ongoing global declines in the dominant habitat along temperate rocky coastlines, forests of canopy-forming algae and/or their replacement by mat-forming algae are driven by the nonadditive interactions between local anthropogenic stressors that can be addressed through management actions (fishing, heavy metal pollution, nutrient enrichment and high sediment loads) and other stressors (presence of competitors or grazers, removal of canopy algae, limiting or excessive light, low or high salinity, increasing temperature, high wave exposure and high UV or CO2), not as easily amenable to management actions. In general, the cumulative effects of local anthropogenic and other stressors had negative effects on the growth and survival of canopy-forming algae. Conversely, the growth or survival of mat-forming algae was either unaffected or significantly enhanced by the same pairs of stressors. Contrary to our predictions, the majority of interactions between stressors were additive. There were however synergistic interactions between nutrient enrichment and heavy metals, the presence of competitors, low light and increasing temperature, leading to amplified negative effects on canopy-forming algae. There were also synergistic interactions between nutrient enrichment and increasing CO2 and temperature leading to amplified positive effects on mat-forming algae. Our review of the current literature shows that management of nutrient levels, rather than fishing, heavy metal pollution or high sediment loads, would provide the greatest opportunity for preventing the shift from canopy to mat-forming algae, particularly in enclosed bays or estuaries because of the higher prevalence of synergistic interactions between nutrient enrichment with other local and global stressors, and as such it should be prioritized.</t>
  </si>
  <si>
    <t>[Strain, Elisabeth M. A.; Mancuso, Francesco P.; Airoldi, Laura] Univ Bologna, Dipartimento Sci Biol &amp; Geol Ambientali, I-48100 Ravenna, Italy; [Strain, Elisabeth M. A.; Thomson, Russell J.] Univ Tasmania, Inst Marine &amp; Antarctic Studies, Hobart, Tas 7001, Australia; [Micheli, Fiorenza] Stanford Univ, Hopkins Marine Stn, Pacific Grove, CA 93950 USA</t>
  </si>
  <si>
    <t>University of Bologna; University of Tasmania; Stanford University</t>
  </si>
  <si>
    <t>Strain, EMA (corresponding author), Univ Bologna, Dipartimento Sci Biol &amp; Geol Ambientali, Via S Alberto163, I-48100 Ravenna, Italy.</t>
  </si>
  <si>
    <t>strain.beth@gmail.com</t>
  </si>
  <si>
    <t>Airoldi, Laura/I-3553-2019; Thomson, Russell/H-5653-2012; MANCUSO, Francesco Paolo/V-1621-2017; Strain, Elisabeth/U-3520-2017</t>
  </si>
  <si>
    <t>Airoldi, Laura/0000-0001-5046-0871; Thomson, Russell/0000-0003-4949-4120; Micheli, Fiorenza/0000-0002-6865-1438; MANCUSO, Francesco Paolo/0000-0001-7217-5131; Strain, Elisabeth/0000-0003-2165-9544</t>
  </si>
  <si>
    <t>MIUR; Fulbright Fellowship</t>
  </si>
  <si>
    <t>MIUR(Ministry of Education, Universities and Research (MIUR)); Fulbright Fellowship</t>
  </si>
  <si>
    <t>We thank Dr Joachim Claudet for his advice and helpful course on meta-analysis. We also thank Dr Stefanie Broszeit, Dr Filippo Ferrrario and Joanne Wong for their advice, useful comments and help in improving earlier drafts of the manuscript. This study was supported by funds from the project TETRIS (Observing, modelling and testing synergies and trade-offs for the adaptive management of multiple impacts in coastal systems, Prin 2010-2011, MIUR). LA was also supported by a Fulbright Fellowship.</t>
  </si>
  <si>
    <t>1354-1013</t>
  </si>
  <si>
    <t>1365-2486</t>
  </si>
  <si>
    <t>GLOBAL CHANGE BIOL</t>
  </si>
  <si>
    <t>Glob. Change Biol.</t>
  </si>
  <si>
    <t>10.1111/gcb.12619</t>
  </si>
  <si>
    <t>AR7MC</t>
  </si>
  <si>
    <t>WOS:000343762800002</t>
  </si>
  <si>
    <t>Fielding, S; Watkins, JL; Trathan, PN; Enderlein, P; Waluda, CM; Stowasser, G; Tarling, GA; Murphy, EJ</t>
  </si>
  <si>
    <t>Fielding, Sophie; Watkins, Jonathan L.; Trathan, Philip N.; Enderlein, Peter; Waluda, Claire M.; Stowasser, Gabriele; Tarling, Geraint A.; Murphy, Eugene J.</t>
  </si>
  <si>
    <t>Interannual variability in Antarctic krill (Euphausia superba) density at South Georgia, Southern Ocean: 1997-2013</t>
  </si>
  <si>
    <t>acoustic survey; Antarctic krill; ecosystem management; target identification; target strength; time-series</t>
  </si>
  <si>
    <t>SCOTIA SEA; CLIMATE-CHANGE; BACKSCATTERING STRENGTH; ACOUSTIC TECHNIQUES; CIRCUMPOLAR CURRENT; ABUNDANCE; BIOMASS; ECOSYSTEM; NORTH; POPULATIONS</t>
  </si>
  <si>
    <t>Antarctic krill (Euphausia superba) are a key species in Southern Ocean ecosystems, maintaining very large numbers of predators, and fluctuations in their abundance can affect the overall structure and functioning of the ecosystems. The interannual variability in the abundance and biomass of krill was examined using a 17-year time-series of acoustic observations undertaken in the Western Core Box (WCB) survey area to the northwest of South Georgia, Southern Ocean. Krill targets were identified in acoustic data using a multifrequency identification window and converted to krill density using the Stochastic Distorted-Wave Born Approximation target strength model. Krill density ranged over several orders of magnitude (0-10 000 g m(-2)) and its distribution was highly skewed with many zero observations. Within each survey, the mean krill density was significantly correlated with the top 7% of the maximum krill densities observed. Hence, only the densest krill swarms detected in any one year drove the mean krill density estimates for the WCB in that year. WCB krill density (mu, mean density for the area) showed several years (1997/1998, 2001-2003, 2005-2007) of high values (mu, 30 g m(-2)) interspersed with years (1999/2000, 2004, 2009/2010) of low density (mu, 30 g m(-2)). This pattern showed three different periods, with fluctuations every 4-5 years. Cross correlation analyses of variability in krill density with current and lagged indices of ocean (sea surface temperature, SST and El Nino/Southern Oscillation) and atmospheric variability (Southern Annular Mode) found the highest correlation between krill density and winter SST (August SST) from the preceding year. A quadratic regression (r(2) = 0.42, p &lt; 0.05) provides a potentially valuable index for forecasting change in this ecosystem.</t>
  </si>
  <si>
    <t>[Fielding, Sophie; Watkins, Jonathan L.; Trathan, Philip N.; Enderlein, Peter; Waluda, Claire M.; Stowasser, Gabriele; Tarling, Geraint A.; Murphy, Eugene J.] British Antarctic Survey, Nat Environm Res Council, Cambridge CB3 0ET, England</t>
  </si>
  <si>
    <t>Fielding, S (corresponding author), British Antarctic Survey, Nat Environm Res Council, Madingley Rd, Cambridge CB3 0ET, England.</t>
  </si>
  <si>
    <t>sof@bas.ac.uk</t>
  </si>
  <si>
    <t>Fielding, Sophie/E-5137-2012; murphy, eugene/GZL-1620-2022</t>
  </si>
  <si>
    <t>BAS Ecosystems Long-term Monitoring and Surveys programme part of the British Antarctic Survey Polar Science for Planet Earth Programme; Natural Environment Research Council; Natural Environment Research Council [bas0100025] Funding Source: researchfish; NERC [bas0100025] Funding Source: UKRI</t>
  </si>
  <si>
    <t>BAS Ecosystems Long-term Monitoring and Surveys programme part of the British Antarctic Survey Polar Science for Planet Earth Programme;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</si>
  <si>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Officers, Crew, and Scientists onboard the RRS James Clark Ross during all the cruises for their assistance in collecting the data. We also thank the many members of BAS staff who have contributed effort during the cruises to collect net samples and acoustic data, in particular Mrs Cathy Goss. NOAA_OI_SST_V2 data provided by the NOAA/OAR/ESRL PSD, Boulder, Colorado, USA, from their Web site at http://www.esrl.noaa.gov/psd/. This work was funded as part of the BAS Ecosystems Long-term Monitoring and Surveys programme part of the British Antarctic Survey Polar Science for Planet Earth Programme. It was funded by The Natural Environment Research Council.</t>
  </si>
  <si>
    <t>10.1093/icesjms/fsu104</t>
  </si>
  <si>
    <t>WOS:000346191300020</t>
  </si>
  <si>
    <t>Rajasekhar, D; Deepaksankar, PS; Rao, A; Narendrakumar, D; Ramasundaram, K; Chidambaram, SS</t>
  </si>
  <si>
    <t>Rajasekhar, D.; Deepaksankar, P. S.; Rao, Ananthakrishna; Narendrakumar, D.; Ramasundaram, K.; Chidambaram, S. Siva</t>
  </si>
  <si>
    <t>An Analysis on Various Ballast Water Treatment Techniques for ORV Sagar Nidhi</t>
  </si>
  <si>
    <t>INDIAN JOURNAL OF GEO-MARINE SCIENCES</t>
  </si>
  <si>
    <t>Ballast water treatment; Invasive; Chemical disinfection; Filtration; Efficacy; Residual toxicity</t>
  </si>
  <si>
    <t>Discharge of ballast water from ship is a major source of introduction of non-indigenous species to marine, estuarine, and freshwater ecosystems. Ships carry ballast water to have stability and maneuverability during Voyage. Transport of ballast water across the globe plays a major role in ecological imbalance as it carries organisms from oceanic to shallow areas, where they may start a new invasion. In 2004, the International Maritime Organization (IMO) initiated regulatory measures to minimize the species shift by adopting the International convention for the control and management of ship's ballast water and sediments. Since then, vessels have been increasingly practicing ballast water exchanges. To keep up with IMO requirements and also the stricter requirements stipulated by few ports around the world, ships need to have effective ballast water treatment system. An analysis is carried-out to optimize the selection of ballast treatment system for ORV Sagar Nidhi among the number of existing systems based on their compatibility and suitability. Sagar Nidhi is a state of art ice class ocean research vessel (ORV) of the National Institute of Ocean Technology (NIOT), carrying research at both Indian and Antarctic waters. Such vessels have limited options for treating ballast water, since a few treatment systems are designed specifically for their needs. Efficacy, residual toxicity, size, weight, electrical load requirement, and safety were the parameters considered while evaluating a ballast water system for Sager Nidhi. As a result of optimization, a ballast water treatment system with filtration and ultra violet treatment was chosen.</t>
  </si>
  <si>
    <t>[Rajasekhar, D.; Deepaksankar, P. S.; Rao, Ananthakrishna; Narendrakumar, D.; Ramasundaram, K.; Chidambaram, S. Siva] Govt India, Minist Earth Sci, Natl Inst Ocean Technol, Madras 600100, Tamil Nadu, India</t>
  </si>
  <si>
    <t>Ministry of Earth Sciences (MoES) - India; National Institute of Ocean Technology (NIOT); National Centre for Coastal Research (NCCR)</t>
  </si>
  <si>
    <t>Rajasekhar, D (corresponding author), Govt India, Minist Earth Sci, Natl Inst Ocean Technol, Madras 600100, Tamil Nadu, India.</t>
  </si>
  <si>
    <t>rajasekhar@niot.res.in</t>
  </si>
  <si>
    <t>NATL INST SCIENCE COMMUNICATION-NISCAIR</t>
  </si>
  <si>
    <t>NEW DELHI</t>
  </si>
  <si>
    <t>DR K S KRISHNAN MARG, PUSA CAMPUS, NEW DELHI 110 012, INDIA</t>
  </si>
  <si>
    <t>0379-5136</t>
  </si>
  <si>
    <t>0975-1033</t>
  </si>
  <si>
    <t>INDIAN J GEO-MAR SCI</t>
  </si>
  <si>
    <t>Indian J. Geo-Mar. Sci.</t>
  </si>
  <si>
    <t>V44PW</t>
  </si>
  <si>
    <t>WOS:000209761900006</t>
  </si>
  <si>
    <t>Verma, K; Bhattacharya, S; Biswas, P; Shrivastava, PK; Pandey, M; Pant, NC</t>
  </si>
  <si>
    <t>Verma, Kamlesh; Bhattacharya, Sanjeeb; Biswas, P.; Shrivastava, Prakash K.; Pandey, Mayuri; Pant, N. C.</t>
  </si>
  <si>
    <t>IODP Expedition 318 Scientific Par</t>
  </si>
  <si>
    <t>Clay mineralogy of the ocean sediments from the Wilkes Land margin, east Antarctica: implications on the paleoclimate, provenance and sediment dispersal pattern</t>
  </si>
  <si>
    <t>INTERNATIONAL JOURNAL OF EARTH SCIENCES</t>
  </si>
  <si>
    <t>Clay minerals; Ocean sediments; Ice sheet; Plio-pleistocene</t>
  </si>
  <si>
    <t>ICE-SHEET; PRYDZ BAY; GLACIOMARINE SEDIMENTATION; CONTINENTAL RISE; LATE PLEISTOCENE; MCMURDO SOUND; AMERY OASIS; ROSS SEA; PLIOCENE; HISTORY</t>
  </si>
  <si>
    <t>Core U1359 collected from the continental rise off Wilkes Land, east Antarctica, is analyzed for the clay mineralogy and carbon content. The temporal variation of the clay mineralogical data shows a dominance of illite with chlorite, smectite and kaolinite in decreasing concentration. Clay mineral illite is negatively correlated with smectite which shows enrichment during 6.2-6.8, 5.5-5.8, 4.5 and 2.5 Ma. The mineralogical analyses on the silt size fraction (2-53 mu m) of some selected samples were also carried out. The combined result of both the size fractions shows the presence of chlorite and illite in both size fractions, smectite and kaolinite only in clay size fraction (&lt; 2 mu m) and similarity in the crystallinity and chemistry of illite in both fractions. Similar nature of illite in both fractions suggests negligible role of sorting probably due to the deposition from the waxing ice sheet. During times of ice growth, nearby cratonic east Antarctica shield provided biotite-rich sediments to the depositional site. On the other hand, the presence of smectite, only in the clay size fraction, suggests the effective role of sorting probably due to the deposition from distal source in ice retreat condition. During times of ice retreat, smectite-rich sediment derived from Ross Orogen is transported to the core site through surface or bottom water currents. Poor crystallinity of illite due to degradation further corroborates the ice retreat condition. The ice sheet proximal sediments of U1359 show that in the eastern part of Wilkes Land, the 'warming' was initiated during late Miocene.</t>
  </si>
  <si>
    <t>[Verma, Kamlesh; Bhattacharya, Sanjeeb; Shrivastava, Prakash K.] Geol Survey India, NIT, Faridabad 121001, Haryana, India; [Biswas, P.; Pandey, Mayuri; Pant, N. C.] Univ Delhi, Dept Geol, Ctr Adv Study, IODP Expedit Sci Party 318, Delhi 110007, India</t>
  </si>
  <si>
    <t>Geological Survey India; University of Delhi</t>
  </si>
  <si>
    <t>Pant, NC (corresponding author), Univ Delhi, Dept Geol, Ctr Adv Study, IODP Expedit Sci Party 318, Delhi 110007, India.</t>
  </si>
  <si>
    <t>kverma2@yahoo.co.in; b_sanjeeb@rediffmail.com; p.paromita@gmail.com; prakash_shri@yahoo.com; mayuri1414@gmail.com; pantnc@rediffmail.com</t>
  </si>
  <si>
    <t>Biswas, Parbati/AAY-9922-2020</t>
  </si>
  <si>
    <t>PANDEY, MAYURI/0000-0001-8125-8051; Yamane, Masako/0000-0002-5063-0719</t>
  </si>
  <si>
    <t>National Centre for Antarctic and Ocean Research (NCAOR); NERC [NE/H025162/1, NE/H014144/1] Funding Source: UKRI; Natural Environment Research Council [NE/H025162/1, NE/H014144/1] Funding Source: researchfish</t>
  </si>
  <si>
    <t>National Centre for Antarctic and Ocean Research (NCAOR); NERC(UK Research &amp; Innovation (UKRI)Natural Environment Research Council (NERC)); Natural Environment Research Council(UK Research &amp; Innovation (UKRI)Natural Environment Research Council (NERC))</t>
  </si>
  <si>
    <t>The authors thank Director General and Deputy Director General, Geological Survey of India for providing facilities. The authors also thank Shri Basab Chattopadhyay and R. K. Agarwal Director, Geology, Geological Survey of India, Faridabad, for their constant support. This research used samples and data provided by Integrated Ocean Drilling Program (IODP). The National Centre for Antarctic and Ocean Research (NCAOR) funded the project 'Paleoclimatic and magmato-metamorphic history of Wilkes Land, East Antarctica: constraints from accessory minerals, clay mineralogy and micropaleontology in oceanic sediments' under which this work was carried out.</t>
  </si>
  <si>
    <t>1437-3254</t>
  </si>
  <si>
    <t>1437-3262</t>
  </si>
  <si>
    <t>INT J EARTH SCI</t>
  </si>
  <si>
    <t>Int. J. Earth Sci.</t>
  </si>
  <si>
    <t>10.1007/s00531-014-1043-4</t>
  </si>
  <si>
    <t>AS6RP</t>
  </si>
  <si>
    <t>WOS:000344390400009</t>
  </si>
  <si>
    <t>Headland, RK</t>
  </si>
  <si>
    <t>Headland, Robert K.</t>
  </si>
  <si>
    <t>INTERNATIONAL JOURNAL OF MARITIME HISTORY</t>
  </si>
  <si>
    <t>[Headland, Robert K.] Univ Cambridge, Scott Polar Res Inst, Cambridge, England</t>
  </si>
  <si>
    <t>University of Cambridge</t>
  </si>
  <si>
    <t>Headland, RK (corresponding author), Univ Cambridge, Scott Polar Res Inst, Cambridge, England.</t>
  </si>
  <si>
    <t>0843-8714</t>
  </si>
  <si>
    <t>2052-7756</t>
  </si>
  <si>
    <t>INT J MARIT HIST</t>
  </si>
  <si>
    <t>Int. J. Marit. Hist.</t>
  </si>
  <si>
    <t>History</t>
  </si>
  <si>
    <t>V58UK</t>
  </si>
  <si>
    <t>WOS:000210720100029</t>
  </si>
  <si>
    <t>Nicolas, JP; Bromwich, DH</t>
  </si>
  <si>
    <t>Nicolas, Julien P.; Bromwich, David H.</t>
  </si>
  <si>
    <t>New Reconstruction of Antarctic Near-Surface Temperatures: Multidecadal Trends and Reliability of Global Reanalyses</t>
  </si>
  <si>
    <t>HEMISPHERE ANNULAR MODE; NCEP-NCAR REANALYSIS; PINE ISLAND GLACIER; FUTURE SEA-LEVEL; ICE-SHEET; SOUTHERN-HEMISPHERE; CLIMATE VARIABILITY; WEST ANTARCTICA; MASS-BALANCE; PRECIPITATION</t>
  </si>
  <si>
    <t>A reconstruction of Antarctic monthly mean near-surface temperatures spanning 1958-2012 is presented. Its primary goal is to take advantage of a recently revised key temperature record from West Antarctica (Byrd) to shed further light on multidecadal temperature changes in this region. The spatial interpolation relies on a kriging technique aided by spatiotemporal temperature covariances derived from three global reanalyses [the European Centre for Medium-Range Weather Forecasts (ECMWF) Interim Re-Analysis (ERA-Interim), Modern-Era Retrospective Analysis for Research and Applications (MERRA), and Climate Forecast System Reanalysis (CFSR)]. For 1958-2012, the reconstruction yields statistically significant annual warming in the Antarctic Peninsula and virtually all of West Antarctica, but no significant temperature change in East Antarctica. Importantly, the warming is of comparable magnitude both in central West Antarctica and in most of the peninsula, rather than concentrated either in one or the other region as previous reconstructions have suggested. The Transantarctic Mountains act for the temperature trends, as a clear dividing line between East and West Antarctica, reflecting the topographic constraint on warm air advection from the Amundsen Sea basin. The reconstruction also serves to highlight spurious changes in the 1979-2009 time series of the three reanalyses that reduces the reliability of their trends, illustrating a long-standing issue in high southern latitudes. The study concludes with an examination of the influence of the southern annular mode (SAM) on Antarctic temperature trends. The results herein suggest that the trend of the SAM toward its positive phase in austral summer and fall since the 1950s has had a statistically significant cooling effect not only in East Antarctica (as already well documented) and but also (only in fall) in West Antarctica.</t>
  </si>
  <si>
    <t>Ohio State Univ, Byrd Polar Res Ctr, Polar Meteorol Grp, Columbus, OH 43210 USA; Ohio State Univ, Dept Geog, Atmospher Sci Program, Columbus, OH 43210 USA</t>
  </si>
  <si>
    <t>Nicolas, JP (corresponding author), Ohio State Univ, Byrd Polar Res Ctr, 1090 Carmack Rd, Columbus, OH 43210 USA.</t>
  </si>
  <si>
    <t>nicolas.7@osu.edu</t>
  </si>
  <si>
    <t>NASA [NN12AI29G]; National Science Foundation [PLR-1049089, PLR-1341695]; Office of Polar Programs (OPP); Directorate For Geosciences [1048989, 1049089] Funding Source: National Science Foundation</t>
  </si>
  <si>
    <t>NASA(National Aeronautics &amp; Space Administration (NASA)); National Science Foundation(National Science Foundation (NSF)); Office of Polar Programs (OPP); Directorate For Geosciences(National Science Foundation (NSF)NSF - Directorate for Geosciences (GEO))</t>
  </si>
  <si>
    <t>This research was supported by NASA Grant NN12AI29G and by National Science Foundation Grants PLR-1049089 and PLR-1341695. We thank Andrew Monaghan for his temperature reconstruction data and for his insight at various stages of this work. We are also grateful to three anonymous reviewers for their comments, which helped improve the paper.</t>
  </si>
  <si>
    <t>10.1175/JCLI-D-13-00733.1</t>
  </si>
  <si>
    <t>WOS:000344131500007</t>
  </si>
  <si>
    <t>Ganachaud, A; Cravatte, S; Melet, A; Schiller, A; Holbrook, NJ; Sloyan, BM; Widlansky, MJ; Bowen, M; Verron, J; Wiles, P; Ridgway, K; Sutton, P; Sprintall, J; Steinberg, C; Brassington, G; Cai, W; Davis, R; Gasparin, F; Gourdeau, L; Hasegawa, T; Kessler, W; Maes, C; Takahashi, K; Richards, KJ; Send, U</t>
  </si>
  <si>
    <t>Ganachaud, A.; Cravatte, S.; Melet, A.; Schiller, A.; Holbrook, N. J.; Sloyan, B. M.; Widlansky, M. J.; Bowen, M.; Verron, J.; Wiles, P.; Ridgway, K.; Sutton, P.; Sprintall, J.; Steinberg, C.; Brassington, G.; Cai, W.; Davis, R.; Gasparin, F.; Gourdeau, L.; Hasegawa, T.; Kessler, W.; Maes, C.; Takahashi, K.; Richards, K. J.; Send, U.</t>
  </si>
  <si>
    <t>The Southwest Pacific Ocean circulation and climate experiment (SPICE)</t>
  </si>
  <si>
    <t>SPICE; southwest pacific; jets; SPCZ; spiciness</t>
  </si>
  <si>
    <t>EAST AUSTRALIAN CURRENT; SEA-SURFACE TEMPERATURE; GREAT-BARRIER-REEF; MERIDIONAL OVERTURNING CIRCULATION; SIMULATED PASSIVE TRACER; EQUATORIAL WIND STRESSES; SOLOMON SEA; CORAL SEA; TROPICAL PACIFIC; NEW-CALEDONIA</t>
  </si>
  <si>
    <t>The Southwest Pacific Ocean Circulation and Climate Experiment (SPICE) is an international research program under the auspices of CLIVAR. The key objectives are to understand the Southwest Pacific Ocean circulation and the South Pacific Convergence Zone (SPCZ) dynamics, as well as their influence on regional and basin-scale climate patterns. South Pacific thermocline waters are transported in the westward flowing South Equatorial Current (SEC) toward Australia and Papua-New Guinea. On its way, the SEC encounters the numerous islands and straits of the Southwest Pacific and forms boundary currents and jets that eventually redistribute water to the equator and high latitudes. The transit in the Coral, Solomon, and Tasman Seas is of great importance to the climate system because changes in either the temperature or the amount of water arriving at the equator have the capability to modulate the El Nino-Southern Oscillation, while the southward transports influence the climate and biodiversity in the Tasman Sea. After 7 years of substantial in situ oceanic observational and modeling efforts, our understanding of the region has much improved. We have a refined description of the SPCZ behavior, boundary currents, pathways, and water mass transformation, including the previously undocumented Solomon Sea. The transports are large and vary substantially in a counter-intuitive way, with asymmetries and gating effects that depend on time scales. This paper provides a review of recent advancements and discusses our current knowledge gaps and important emerging research directions.</t>
  </si>
  <si>
    <t>[Ganachaud, A.; Cravatte, S.; Melet, A.; Gasparin, F.; Gourdeau, L.; Maes, C.] Univ Toulouse 3, CNRS, IRD, UMR5566,LEGOS,CNES, F-31062 Toulouse, France; [Cravatte, S.] IRD, Noumea, New Caledonia; [Melet, A.] Princeton Univ, NOAA, GFDL, Princeton, NJ 08544 USA; [Schiller, A.; Sloyan, B. M.; Ridgway, K.] CSIRO Wealth Oceans Natl Res Flagship, Ctr Australian Weather &amp; Climate Res, Hobart, Tas, Australia; [Holbrook, N. J.] Univ Tasmania, Inst Marine &amp; Antarctic Studies, Hobart, Tas 7001, Australia; [Widlansky, M. J.; Richards, K. J.] Univ Hawaii Manoa, Int Pacific Res Ctr, Honolulu, HI 96822 USA; [Bowen, M.] Univ Auckland, Sch Environm, Auckland 1, New Zealand; [Verron, J.] Univ Grenoble, CNRS, LGGE, UMR 5183, Grenoble, France; [Wiles, P.] PI GOOS, Apia, Samoa; [Sutton, P.] Natl Inst Water &amp; Atmospher Res Ltd, Wellington, New Zealand; [Sprintall, J.; Davis, R.; Gasparin, F.; Send, U.] Univ Calif San Diego, Scripps Inst Oceanog, La Jolla, CA 92093 USA; [Steinberg, C.] Australian Inst Marine Sci, Townsville, Qld 4810, Australia; [Brassington, G.] Bur Meteorol, Ctr Australian Weather &amp; Climate Res, Sydney, NSW, Australia; [Cai, W.] CSIRO Marine &amp; Atmospher Res, Aspendale, Vic, Australia; [Hasegawa, T.] Japan Agcy Marine Earth Sci &amp; Technol, Yokosuka, Kanagawa 2370061, Japan; [Kessler, W.] NOAA, Pacific Marine Environm Lab, Seattle, WA 98115 USA; [Takahashi, K.] Inst Geofis Peru, Lima, Peru</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</si>
  <si>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Institut de Recherche pour le Developpement (IRD); Princeton University; National Oceanic Atmospheric Admin (NOAA) - USA; Commonwealth Scientific &amp; Industrial Research Organisation (CSIRO); University of Tasmania; University of Hawaii System; University of Hawaii Manoa; University of Auckland; Communaute Universite Grenoble Alpes; Universite Grenoble Alpes (UGA); Centre National de la Recherche Scientifique (CNRS); National Institute of Water &amp; Atmospheric Research (NIWA) - New Zealand; University of California System; University of California San Diego; Scripps Institution of Oceanography; Australian Institute of Marine Science; Bureau of Meteorology - Australia; Commonwealth Scientific &amp; Industrial Research Organisation (CSIRO); Commonwealth Scientific &amp; Industrial Research Organisation (CSIRO); Japan Agency for Marine-Earth Science &amp; Technology (JAMSTEC); National Oceanic Atmospheric Admin (NOAA) - USA</t>
  </si>
  <si>
    <t>Ganachaud, A (corresponding author), Univ Toulouse 3, CNRS, IRD, UMR5566,LEGOS,CNES, F-31062 Toulouse, France.</t>
  </si>
  <si>
    <t>Alexandre.Ganachaud@ird.fr</t>
  </si>
  <si>
    <t>Gasparin, Florent/AAH-2130-2020; maes, christophe/L-4049-2015; Cravatte, Sophie/J-7081-2016; Sloyan, Bernadette/N-8989-2014; Melet, Angelique/ABE-5148-2020; Ridgway, Ken/AAA-4040-2019; Cai, Wenju/C-2864-2012; Ganachaud, Alexandre/B-7556-2013; Cravatte, Sophie/AAI-4635-2021; Gourdeau, Lionel/JPX-4870-2023; Holbrook, Neil/M-7544-2013; Takahashi, Ken/G-5321-2010</t>
  </si>
  <si>
    <t>Gasparin, Florent/0000-0002-1364-1507; Cravatte, Sophie/0000-0002-2439-8952; Sloyan, Bernadette/0000-0003-0250-0167; Melet, Angelique/0000-0003-3888-8159; Cai, Wenju/0000-0001-6520-0829; Ganachaud, Alexandre/0000-0002-9709-1396; Cravatte, Sophie/0000-0002-2439-8952; Gourdeau, Lionel/0000-0002-2078-3351; Brassington, Gary/0000-0002-4227-3221; Holbrook, Neil/0000-0002-3523-6254; Takahashi, Ken/0000-0003-3670-2939; Davis, Russ/0000-0003-1903-6313; Ridgway, Ken/0000-0002-5861-1360; Sutton, Phil/0000-0003-2936-0918</t>
  </si>
  <si>
    <t>Department of the Environment and CSIRO; Directorate For Geosciences; Division Of Ocean Sciences [1029487] Funding Source: National Science Foundation</t>
  </si>
  <si>
    <t>Department of the Environment and CSIRO; Directorate For Geosciences; Division Of Ocean Sciences(National Science Foundation (NSF)NSF - Directorate for Geosciences (GEO))</t>
  </si>
  <si>
    <t>SPICE is a contribution to the CLIVAR and GEOTRACES International programs. This review involves many more scientists who contributed indirectly. We are grateful to the ship crews who made possible the various in situ measurements. The collaboration of SOPAC/SPC, PI-GOOS, and the different Pacific Island countries that are involved is greatly appreciated. The accomplishments were made possible through concurrent contributions of national funding agencies. Those include ANR project ANR-09-BLAN-0233-01 and INSU/LEFE projects IMAGO and CYBER. The CNES provided support to some numerical simulations. BMS and KR where supported by the Australian Climate Change Science Program jointly funded by the Department of the Environment and CSIRO. Australia's Integrated Marine Observing System ( IMOS) is funded by the Australian Governments National Collaborative Research Infrastructure Strategy, the Super Science Initiative and, regarding Queensland-IMOS, the Queensland State Government. Operations and numerical experiments were also made possible through NSF and NOAA funding. We thank the two anonymous reviewers whose remarks greatly helped to improve the manuscript.</t>
  </si>
  <si>
    <t>10.1002/2013JC009678</t>
  </si>
  <si>
    <t>WOS:000346102900017</t>
  </si>
  <si>
    <t>Evans, DG; Zika, JD; Garabato, ACN; Nurser, AJG</t>
  </si>
  <si>
    <t>Evans, Dafydd Gwyn; Zika, Jan D.; Garabato, Alberto C. Naveira; Nurser, A. J. George</t>
  </si>
  <si>
    <t>The imprint of Southern Ocean overturning on seasonal water mass variability in Drake Passage</t>
  </si>
  <si>
    <t>Southern Ocean overturning; Drake Passage; water masses; thermohaline coordinates; in situ observations</t>
  </si>
  <si>
    <t>ANTARCTIC CIRCUMPOLAR CURRENT; SEA-SURFACE SALINITY; ATLANTIC-OCEAN; CLIMATE-CHANGE; CIRCULATION; HEAT; PRECIPITATION; PACIFIC; CLOSURE; TRENDS</t>
  </si>
  <si>
    <t>Seasonal changes in water mass properties are discussed in thermohaline coordinates from a seasonal climatology and repeat hydrographic sections. The SR1b CTD transects along Drake Passage are used as a case study. The amount of water within temperature and salinity classes and changes therein are used to estimate dia-thermal and dia-haline transformations. These transformations are considered in combination with climatologies of surface buoyancy flux to determine the relative contributions of surface buoyancy fluxes and subsurface mixing to changes in the distribution of water in thermohaline coordinates. The framework developed provides unique insights into the thermohaline circulation of the water masses that are present within Drake Passage, including the erosion of Antarctic Winter Water (AAWW) during the summer months and the interaction between the Circumpolar Deep Waters (CDW) and Antarctic Intermediate Water (AAIW). The results presented are consistent with summertime wind-driven inflation of the CDW layer and deflation of the AAIW layer, and with new AAIW produced in the winter as a mixture of CDW, remnant AAWW, and surface waters. This analysis therefore highlights the role of surface buoyancy fluxes in the Southern Ocean overturning. Key Points Seasonal variability of Southern Ocean water masses observed in Drake Passage Overturning in Drake Passage resolved in thermohaline coordinates Balance between wind-driven overturning and seasonal water mass transformation</t>
  </si>
  <si>
    <t>[Evans, Dafydd Gwyn; Zika, Jan D.; Garabato, Alberto C. Naveira] Univ Southampton, Natl Oceanog Ctr Southampton, Southampton, Hants, England; [Nurser, A. J. George] Univ Southampton, Natl Oceanog Ctr, Southampton, Hants, England</t>
  </si>
  <si>
    <t>University of Southampton; NERC National Oceanography Centre; University of Southampton; NERC National Oceanography Centre</t>
  </si>
  <si>
    <t>Evans, DG (corresponding author), Univ Southampton, Natl Oceanog Ctr Southampton, Southampton, Hants, England.</t>
  </si>
  <si>
    <t>dafydd.evans@noc.soton.ac.uk</t>
  </si>
  <si>
    <t>Garabato, Alberto Naveira/AAQ-1114-2020</t>
  </si>
  <si>
    <t>Garabato, Alberto Naveira/0000-0001-6071-605X; Zika, Jan/0000-0003-3462-3559; Evans, Dafydd Gwyn/0000-0002-6328-4093</t>
  </si>
  <si>
    <t>Natural Environment Research Council; NERC [NE/I020415/1, noc010010] Funding Source: UKRI; Natural Environment Research Council [NE/I020415/1, noc010010] Funding Source: researchfish</t>
  </si>
  <si>
    <t>SR1 section CTD data are available online from the British Oceanographic Data Centre (www.bodc.ac.uk). The CARS climatology was accessed online from www.cmar.csiro.au/cars. The WHOI OAflux data set (including ISCCP radiation data) was downloaded from the WHOI OAflux project website (http://oaflux.whoi.edu). GPCP precipitation data (version 2.2) were accessed online from http://www.gewex.org/gpcp.html. NOCS flux V2.0 data are available online through http://badc.nerc.ac.uk/data/nocs_flux. DGE was supported by a Natural Environment Research Council studentship award at the University of Southampton. JDZ was supported by a Natural Environment Research Council Postdoctoral Fellowship Award. ACNG acknowledges the support of a Phillip Leverhulme prize. We thank Bob Marsh, Gael Forget, and two anonymous reviewers for their helpful comments on earlier versions of this manuscript. We also thank the tireless and invaluable effort of those scientists, technicians, officers, and crew involved in the collection and dissemination of the CTD data used as part of this analysis.</t>
  </si>
  <si>
    <t>10.1002/2014JC010097</t>
  </si>
  <si>
    <t>WOS:000346102900036</t>
  </si>
  <si>
    <t>Whittaker, IC; Clilverd, MA; Rodger, CJ</t>
  </si>
  <si>
    <t>Whittaker, Ian C.; Clilverd, Mark A.; Rodger, Craig J.</t>
  </si>
  <si>
    <t>Characteristics of precipitating energetic electron fluxes relative totheplasmapause during geomagnetic storms</t>
  </si>
  <si>
    <t>energetic electron precipitation; plasmapause; POES</t>
  </si>
  <si>
    <t>ODD NITROGEN; ACCELERATION; WAVES; SATELLITE</t>
  </si>
  <si>
    <t>In this study we investigate the link between precipitating electrons from the Van Allen radiation belts and the dynamical plasmapause. We consider electron precipitation observations from the Polar Orbiting Environmental Satellite (POES) constellation during geomagnetic storms. Superposed epoch analysis is performed on precipitating electron observations for the 13 year period of 1999 to 2012 in two magnetic local time (MLT) sectors, morning and afternoon. We assume that the precipitation is due to wave-particle interactions and our two MLT sectors focus on chorus (outside the plasmapause) and plasmaspheric hiss (inside the plasmapause) waves. We generate simple expressions based on the geomagnetic index, Dst, which reproduce the chorus-driven observations for the &gt;30 keV precipitating electron flux magnitudes. Additionally, we find expressions for the fitted spectral index to describe the flux variation with energy, allowing a full energy reproduction as a function of distance from the plasmapause. The hiss-driven precipitating flux occurs inside the plasmapause but is independent of distance from the plasmapause. In the POES observations the hiss-induced electron precipitation is only detectable above the instrument noise in the &gt;300 keV and P6 (&gt;800 keV) channels of the flux detection instrument. We have derived expressions for the storm time variation in flux inside the plasmapause using Dst as a proxy. The observations show that there is little evidence for &gt;800 keV electron precipitation occurring outside of the plasmapause, in the MLT sectors studied.</t>
  </si>
  <si>
    <t>[Whittaker, Ian C.; Rodger, Craig J.] Univ Otago, Dept Phys, Dunedin, New Zealand; [Clilverd, Mark A.] British Antarctic Survey, NERC, Cambridge CB3 0ET, England</t>
  </si>
  <si>
    <t>University of Otago; UK Research &amp; Innovation (UKRI); Natural Environment Research Council (NERC); NERC British Antarctic Survey</t>
  </si>
  <si>
    <t>Whittaker, IC (corresponding author), Univ Otago, Dept Phys, Dunedin, New Zealand.</t>
  </si>
  <si>
    <t>ian.whittaker@otago.ac.nz</t>
  </si>
  <si>
    <t>Rodger, Craig/A-1501-2011</t>
  </si>
  <si>
    <t>Rodger, Craig J./0000-0002-6770-2707; Whittaker, Ian/0000-0002-6211-1852</t>
  </si>
  <si>
    <t>European Community [263218]; NERC [bas0100023] Funding Source: UKRI; Natural Environment Research Council [bas0100023] Funding Source: researchfish</t>
  </si>
  <si>
    <t>European Community; NERC(UK Research &amp; Innovation (UKRI)Natural Environment Research Council (NERC)); Natural Environment Research Council(UK Research &amp; Innovation (UKRI)Natural Environment Research Council (NERC))</t>
  </si>
  <si>
    <t>The research leading to these results has received funding from the European Community's Seventh Framework Programme ([FP7/2007-2013]) under grant agreement 263218. The authors wish to thank the NOAA personnel who developed, maintain, and operate the NOAA/POES spacecraft. The data used in this paper are available at NOAA's National Geophysical Data Center (NGDC-NOAA 15-19 and MetOp-02 MEPED data).</t>
  </si>
  <si>
    <t>10.1002/2014JA020446</t>
  </si>
  <si>
    <t>AX2RO</t>
  </si>
  <si>
    <t>WOS:000346792100005</t>
  </si>
  <si>
    <t>Kersten, T; Horne, RB; Glauert, SA; Meredith, NP; Fraser, BJ; Grew, RS</t>
  </si>
  <si>
    <t>Kersten, Tobias; Horne, Richard B.; Glauert, Sarah A.; Meredith, Nigel P.; Fraser, Brian J.; Grew, Russell S.</t>
  </si>
  <si>
    <t>Electron losses from the radiation belts caused by EMIC waves</t>
  </si>
  <si>
    <t>EMIC waves; electron losses</t>
  </si>
  <si>
    <t>ION-CYCLOTRON WAVES; 1-2 MAGNETIC PULSATIONS; MODE CHORUS WAVES; RING CURRENT; EQUATORIAL MAGNETOSPHERE; DIFFUSION-COEFFICIENTS; OUTER MAGNETOSPHERE; 30 SEPTEMBER; ACCELERATION; STORM</t>
  </si>
  <si>
    <t>Electromagnetic Ion Cyclotron (EMIC) waves cause electron loss in the radiation belts by resonating with high-energy electrons at energies greater than about 500 keV. However, their effectiveness has not been fully quantified. Here we determine the effectiveness of EMIC waves by using wave data from the fluxgate magnetometer on CRRES to calculate bounce-averaged pitch angle and energy diffusion rates for L*=3.5-7 for five levels of Kp between 12 and 18 MLT. To determine the electron loss, EMIC diffusion rates were included in the British Antarctic Survey Radiation Belt Model together with whistler mode chorus, plasmaspheric hiss, and radial diffusion. By simulating a 100 day period in 1990, we show that EMIC waves caused a significant reduction in the electron flux for energies greater than 2 MeV but only for pitch angles lower than about 60 degrees. The simulations show that the distribution of electrons left behind in space looks like a pancake distribution. Since EMIC waves cannot remove electrons at all pitch angles even at 30 MeV, our results suggest that EMIC waves are unlikely to set an upper limit on the energy of the flux of radiation belt electrons.</t>
  </si>
  <si>
    <t>[Kersten, Tobias; Horne, Richard B.; Glauert, Sarah A.; Meredith, Nigel P.] British Antarctic Survey, NERC, Cambridge, England; [Fraser, Brian J.; Grew, Russell S.] Univ Newcastle, Ctr Space Phys, Newcastle, NSW 2300, Australia</t>
  </si>
  <si>
    <t>UK Research &amp; Innovation (UKRI); Natural Environment Research Council (NERC); NERC British Antarctic Survey; University of Newcastle</t>
  </si>
  <si>
    <t>Kersten, T (corresponding author), British Antarctic Survey, NERC, Cambridge, England.</t>
  </si>
  <si>
    <t>tobker@bas.ac.uk</t>
  </si>
  <si>
    <t>Meredith, Nigel P/C-5806-2018; Horne, Richard B/U-3764-2019</t>
  </si>
  <si>
    <t>Horne, Richard B/0000-0002-0412-6407; Kersten, Tobias/0000-0002-0694-7698; Meredith, Nigel/0000-0001-5032-3463</t>
  </si>
  <si>
    <t>Natural Environment Research Council; European Union [262468, 284520]; Australian Research Council [DP0222505, LX0882515]; Australian Research Council [LX0882515] Funding Source: Australian Research Council; Natural Environment Research Council [bas0100023] Funding Source: researchfish; NERC [bas0100023] Funding Source: UKRI</t>
  </si>
  <si>
    <t>Natural Environment Research Council(UK Research &amp; Innovation (UKRI)Natural Environment Research Council (NERC)); European Union(European Union (EU)); Australian Research Council(Australian Research Council); Australian Research Council(Australian Research Council); Natural Environment Research Council(UK Research &amp; Innovation (UKRI)Natural Environment Research Council (NERC)); NERC(UK Research &amp; Innovation (UKRI)Natural Environment Research Council (NERC))</t>
  </si>
  <si>
    <t>We thank Roger R. Anderson for providing the plasma frequencies used in this study. We also thank the NSSDC Omniweb for the provision of the Kp indices. This study is part of the British Antarctic Survey Polar Science for Planet Earth Programme. It was funded by the Natural Environment Research Council and additionally received funding from the European Union Seventh Framework Programme (FP7/2007-2013) under grant agreements 262468 (SPACECAST) and 284520 (MAARBLE). The Australian research contributing to these results has received funding from the Australian Research Council under project grant DP0222505 and linkage grant LX0882515. The data used to generate the plots in this paper are stored at the BAS Polar Data Centre and are available on request.</t>
  </si>
  <si>
    <t>10.1002/2014JA020366</t>
  </si>
  <si>
    <t>WOS:000346792100008</t>
  </si>
  <si>
    <t>Nemec, F; Pickett, JS; Santolík, O</t>
  </si>
  <si>
    <t>Nemec, F.; Pickett, J. S.; Santolik, O.</t>
  </si>
  <si>
    <t>Multispacecraft Cluster observations of quasiperiodic emissions close to the geomagnetic equator</t>
  </si>
  <si>
    <t>QP emissions; Cluster spacecraft</t>
  </si>
  <si>
    <t>ELF-VLF EMISSIONS; ELF/VLF WAVE EMISSIONS; MAGNETIC PULSATIONS; ELECTRON-PRECIPITATION; ANTARCTIC STATIONS; MAGNETOSPHERE; SPACECRAFT; SATELLITE; MODEL</t>
  </si>
  <si>
    <t>We present a detailed analysis of three electromagnetic wave events observed by the Cluster Wide-Band Data instruments at frequencies of a few kilohertz, which exhibit a periodic time modulation of the wave intensity (quasiperiodic emissions). The events were measured when crossing the geomagnetic equator at radial distances of about 3-4 R-E during the close separation campaign in July-October 2013. Coincident compressional magnetic field pulsations with the magnitude on the order of a few tenths of nanotesla were detected in two events. Their period corresponded to the modulation period of the quasiperiodic emissions in one event, while it was about double in the other. A possible explanation for this discrepancy between the two periods is given. Although Cluster 1, Cluster 3, and Cluster 4 were close to each other, Cluster 2 was located by more than 0.5 R-E closer to the Earth. The same quasiperiodic modulation was observed by all Cluster spacecraft, but the emissions detected by Cluster 2 had a noticeable time delay. This can be explained by the wave propagation from the generation region located at larger radial distances, close to the plasmapause. The large range of L shells where the emissions are detected thus appears to be due to the unducted propagation from a spatially limited source. The frequency-time structure of individual elements forming the events is evaluated, and it is shown that the time dependence of the intensity modulation can be approximated by a simple model.</t>
  </si>
  <si>
    <t>[Nemec, F.; Santolik, O.] Charles Univ Prague, Fac Math &amp; Phys, Prague, Czech Republic; [Pickett, J. S.] Univ Iowa, Dept Phys &amp; Astron, Iowa City, IA 52242 USA; [Santolik, O.] Acad Sci Czech Republic, Inst Atmospher Phys, Prague, Czech Republic</t>
  </si>
  <si>
    <t>Charles University Prague; University of Iowa; Czech Academy of Sciences; Institute of Atmospheric Physics of the Czech Academy of Sciences</t>
  </si>
  <si>
    <t>Nemec, F (corresponding author), Charles Univ Prague, Fac Math &amp; Phys, Prague, Czech Republic.</t>
  </si>
  <si>
    <t>frantisek.nemec@gmail.com</t>
  </si>
  <si>
    <t>Nemec, Frantisek/H-7027-2013; Santolik, Ondrej/F-7766-2014</t>
  </si>
  <si>
    <t>Nemec, Frantisek/0000-0002-3233-2718; Santolik, Ondrej/0000-0002-4891-9273</t>
  </si>
  <si>
    <t>GACR [P209/12/P658, 205/10-2279]; Kontakt II grants [LH14010, LH11122]; NASA Goddard Space Flight Center [NNX11AB38G, NNX14AB10G]; NASA [149931, NNX11AB38G, NNX14AB10G, 686949] Funding Source: Federal RePORTER</t>
  </si>
  <si>
    <t>GACR(Grant Agency of the Czech Republic); Kontakt II grants; NASA Goddard Space Flight Center(National Aeronautics &amp; Space Administration (NASA)); NASA(National Aeronautics &amp; Space Administration (NASA))</t>
  </si>
  <si>
    <t>We would like to thank the Cluster Active Archive and all the involved personnel. We would like to acknowledge E. Lucek, who is the principal investigator of the FGM instrument. We would like to thank M. Balikhin for initiating and organizing the Cluster close separation campaign, and to N. Cornilleau-Wehrlin and other colleagues for supporting this campaign. A part of the Cluster WBD data set for this study has been received at the Panska Ves Observatory of the Institute of Atmospheric Physics ASCR, and we would like to thank its personnel. This work was supported by GACR grants P209/12/P658 and 205/10-2279 and Kontakt II grants LH14010 and LH11122. This work was supported at Iowa by NASA Goddard Space Flight Center grants NNX11AB38G and NNX14AB10G.</t>
  </si>
  <si>
    <t>10.1002/2014JA020321</t>
  </si>
  <si>
    <t>WOS:000346792100027</t>
  </si>
  <si>
    <t>Nikurashin, M; Ferrari, R; Grisouard, N; Polzin, K</t>
  </si>
  <si>
    <t>Nikurashin, Maxim; Ferrari, Raffaele; Grisouard, Nicolas; Polzin, Kurt</t>
  </si>
  <si>
    <t>The Impact of Finite-Amplitude Bottom Topography on Internal Wave Generation in the Southern Ocean</t>
  </si>
  <si>
    <t>OVERTURNING CIRCULATION; DEEP-OCEAN; FLOW; DISSIPATION; DRIVEN; FLUXES; WIND; DRAG</t>
  </si>
  <si>
    <t>Direct observations in the Southern Ocean report enhanced internal wave activity and turbulence in a kilometer-thick layer above rough bottom topography collocated with the deep-reaching fronts of the Antarctic Circumpolar Current. Linear theory, corrected for finite-amplitude topography based on idealized, two-dimensional numerical simulations, has been recently used to estimate the global distribution of internal wave generation by oceanic currents and eddies. The global estimate shows that the topographic wave generation is a significant sink of energy for geostrophic flows and a source of energy for turbulent mixing in the deep ocean. However, comparison with recent observations from the Diapycnal and Isopycnal Mixing Experiment in the Southern Ocean shows that the linear theory predictions and idealized two-dimensional simulations grossly overestimate the observed levels of turbulent energy dissipation. This study presents two- and three-dimensional, realistic topography simulations of internal lee-wave generation from a steady flow interacting with topography with parameters typical of Drake Passage. The results demonstrate that internal wave generation at three-dimensional, finite bottom topography is reduced compared to the two-dimensional case. The reduction is primarily associated with finite-amplitude bottom topography effects that suppress vertical motions and thus reduce the amplitude of the internal waves radiated from topography. The implication of these results for the global lee-wave generation is discussed.</t>
  </si>
  <si>
    <t>[Nikurashin, Maxim] Univ Tasmania, Inst Marine &amp; Antarct Studies, Hobart, Tas 7001, Australia; [Nikurashin, Maxim] ARC Ctr Excellence Climate Syst Sci, Sydney, NSW, Australia; [Ferrari, Raffaele] MIT, Dept Earth Atmospher &amp; Planetary Sci, Cambridge, MA USA; [Grisouard, Nicolas] Stanford Univ, Dept Environm Earth Syst Sci, Stanford, CA 94305 USA; [Polzin, Kurt] Woods Hole Oceanog Inst, Woods Hole, MA 02543 USA</t>
  </si>
  <si>
    <t>University of Tasmania; ARC Centre of Excellence for Climate System Science; Massachusetts Institute of Technology (MIT); Stanford University; Woods Hole Oceanographic Institution</t>
  </si>
  <si>
    <t>Nikurashin, M (corresponding author), Univ Tasmania, Inst Marine &amp; Antarct Studies, Private Bag 129, Hobart, Tas 7001, Australia.</t>
  </si>
  <si>
    <t>man@alum.mit.edu</t>
  </si>
  <si>
    <t>Nikurashin, Maxim/P-4018-2019; Ferrari, Raffaele/C-9337-2013; Grisouard, Nicolas/A-1892-2012</t>
  </si>
  <si>
    <t>Ferrari, Raffaele/0000-0002-3736-1956; Grisouard, Nicolas/0000-0003-4045-2143; Nikurashin, Maxim/0000-0002-5714-8343</t>
  </si>
  <si>
    <t>Australian Government; National Science Foundation [CMG-1024198]; Directorate For Geosciences; Division Of Ocean Sciences [1024198] Funding Source: National Science Foundation</t>
  </si>
  <si>
    <t>Australian Government(Australian Government); National Science Foundation(National Science Foundation (NSF)); Directorate For Geosciences; Division Of Ocean Sciences(National Science Foundation (NSF)NSF - Directorate for Geosciences (GEO))</t>
  </si>
  <si>
    <t>We thank Dr. Louis St. Laurent for providing data from DIMES and two anonymous reviewers for their useful comments and suggestions that improved the manuscript. This research was undertaken with the assistance of resources provided at the NCI National Facility systems at the Australian National University through the National Computational Merit Allocation Scheme supported by the Australian Government. This research was supported by the National Science Foundation under Award CMG-1024198.</t>
  </si>
  <si>
    <t>10.1175/JPO-D-13-0201.1</t>
  </si>
  <si>
    <t>WOS:000344718000008</t>
  </si>
  <si>
    <t>Pedrazzi, D; Aguire-Díaz, G; Bartolini, S; Martí, J; Geyer, A</t>
  </si>
  <si>
    <t>Pedrazzi, Dario; Aguire-Diaz, Gerardo; Bartolini, Stefania; Marti, Joan; Geyer, Adelina</t>
  </si>
  <si>
    <t>The 1970 eruption on Deception Island (Antarctica): eruptive dynamics and implications for volcanic hazards</t>
  </si>
  <si>
    <t>JOURNAL OF THE GEOLOGICAL SOCIETY</t>
  </si>
  <si>
    <t>BRANSFIELD STRAIT; JEJU ISLAND; PHREATOMAGMATIC VOLCANISM; LIVINGSTON ISLAND; CAMPI-FLEGREI; CHEJU ISLAND; EVOLUTION; MAAR; SUBSTRATE; DEPOSITS</t>
  </si>
  <si>
    <t>In the southern winter of 1970, a phreatomagmatic eruption occurred in the northern part of Deception Island (South Shetland Archipelago, Antarctic Peninsula). The eruption, with no eye-witnesses to the event, occurred in the same general area as the 1967 eruption, but with new, more widely distributed vents. Two contrasting groups of craters were formed in the 1970 eruption, showing that different active fissures and eruptive dynamics were operating. One group consists of 'maar-like' craters, whereas the other comprises conical edifices. The 1970 eruption can be classified as volcanic explosivity index (VEI) 3, with mainly phreatomagmatic phases that generated a bulk volume of about 0.1 km(3) of pyroclastic material and an eruptive column at least 10 km high, from which fallout deposits are recognized more than 100 km to the NE. The 1970 eruption was similar to that of 1967 and together these two eruptive events show how eruption dynamics can be controlled by the uppermost part of the volcano substrate and the width and orientation of the eruptive fissure. These influence magma-water interaction and hence may imply different eruptive phases and associated volcanic hazards.</t>
  </si>
  <si>
    <t>[Pedrazzi, Dario; Bartolini, Stefania; Marti, Joan; Geyer, Adelina] UB CSIC, SIMGEO, ICTJA, Inst Earth Sci Jaume Almera,Grp Volcanol, Barcelona 08028, Spain; [Aguire-Diaz, Gerardo] Univ Nacl Autonoma Mexico, Ctr Geociencias, Queretaro 76230, Qro, Mexico</t>
  </si>
  <si>
    <t>Consejo Superior de Investigaciones Cientificas (CSIC); CSIC - Geociencias Barcelona (GEO3BCN); Universidad Nacional Autonoma de Mexico</t>
  </si>
  <si>
    <t>Pedrazzi, D (corresponding author), UB CSIC, SIMGEO, ICTJA, Inst Earth Sci Jaume Almera,Grp Volcanol, Lluis Sole I Sabaris S-N, Barcelona 08028, Spain.</t>
  </si>
  <si>
    <t>d_pedrazzi@yahoo.com</t>
  </si>
  <si>
    <t>Marti, Joan/L-4203-2014; Geyer, Adelina/C-9490-2011; Pedrazzi, Dario/G-1214-2016; Geyer, Adelina/A-6624-2012</t>
  </si>
  <si>
    <t>Marti, Joan/0000-0003-3930-8603; Pedrazzi, Dario/0000-0002-6869-1325; Geyer, Adelina/0000-0002-8803-6504</t>
  </si>
  <si>
    <t>MICINN grant [CTM2011-13578-E]; Juan de la Cierva Grant [JCI-2010-06092]; Ramon y Cajal contract [RYC-2012-11024]</t>
  </si>
  <si>
    <t>MICINN grant(Spanish Government); Juan de la Cierva Grant; Ramon y Cajal contract(Spanish Government)</t>
  </si>
  <si>
    <t>This research was supported by the MICINN grant CTM2011-13578-E. A. G. is grateful for her Juan de la Cierva Grant (JCI-2010-06092) and Ramon y Cajal contract (RYC-2012-11024). We would like to thank all the military staff of the Spanish Antarctic Base Gabriel de Castilla for their constant help and for the logistic support, without which this research would not have been possible. We are also grateful to the Subject Editor S. Watt, the reviewers K. Nemeth and P. Dellino, and an anonymous Advisory Editor for their constructive reviews of this paper. The English text was corrected by M. Lockwood.</t>
  </si>
  <si>
    <t>GEOLOGICAL SOC PUBL HOUSE</t>
  </si>
  <si>
    <t>UNIT 7, BRASSMILL ENTERPRISE CENTRE, BRASSMILL LANE, BATH BA1 3JN, AVON, ENGLAND</t>
  </si>
  <si>
    <t>0016-7649</t>
  </si>
  <si>
    <t>2041-479X</t>
  </si>
  <si>
    <t>J GEOL SOC LONDON</t>
  </si>
  <si>
    <t>J. Geol. Soc.</t>
  </si>
  <si>
    <t>10.1144/jgs2014-015</t>
  </si>
  <si>
    <t>AT5XI</t>
  </si>
  <si>
    <t>WOS:000345012800003</t>
  </si>
  <si>
    <t>Jawak, SD; Manoj, MC; Nair, A; Mahesh, BS</t>
  </si>
  <si>
    <t>Jawak, Shridhar D.; Manoj, M. C.; Nair, Abhilash; Mahesh, B. S.</t>
  </si>
  <si>
    <t>Indian Participation in the 33rd Scientific Committee on Antarctic Research (SCAR-2014)</t>
  </si>
  <si>
    <t>JOURNAL OF THE GEOLOGICAL SOCIETY OF INDIA</t>
  </si>
  <si>
    <t>[Jawak, Shridhar D.; Nair, Abhilash; Mahesh, B. S.] NCAOR, Earth Syst Sci Org, Vasco Da Gama 403804, Goa, India; [Manoj, M. C.] Birbal Sahni Inst Paleobot, Lucknow 226007, Uttar Pradesh, India</t>
  </si>
  <si>
    <t>Earth System Science Organization (ESSO); Ministry of Earth Sciences (MoES) - India; National Centre for Polar and Ocean Research (NCPOR); Department of Science &amp; Technology (India); Birbal Sahni Institute of Palaeobotany (BSIP)</t>
  </si>
  <si>
    <t>Jawak, SD (corresponding author), NCAOR, Earth Syst Sci Org, Vasco Da Gama 403804, Goa, India.</t>
  </si>
  <si>
    <t>Manoj, M C/AAR-1882-2020; Jawak, Shridhar/G-9678-2012</t>
  </si>
  <si>
    <t>Manoj, M C/0000-0001-8112-6315; Jawak, Shridhar/0000-0002-0648-3109</t>
  </si>
  <si>
    <t>SPRINGER INDIA</t>
  </si>
  <si>
    <t>7TH FLOOR, VIJAYA BUILDING, 17, BARAKHAMBA ROAD, NEW DELHI, 110 001, INDIA</t>
  </si>
  <si>
    <t>0016-7622</t>
  </si>
  <si>
    <t>0974-6889</t>
  </si>
  <si>
    <t>J GEOL SOC INDIA</t>
  </si>
  <si>
    <t>J. Geol. Soc. India</t>
  </si>
  <si>
    <t>AU0BD</t>
  </si>
  <si>
    <t>WOS:000345287200014</t>
  </si>
  <si>
    <t>Dabrowa, AL; Green, DN; Johnson, JB; Phillips, JC; Rust, AC</t>
  </si>
  <si>
    <t>Dabrowa, A. L.; Green, D. N.; Johnson, J. B.; Phillips, J. C.; Rust, A. C.</t>
  </si>
  <si>
    <t>Comparing near-regional and local measurements of infrasound from Mount Erebus, Antarctica: Implications for monitoring</t>
  </si>
  <si>
    <t>JOURNAL OF VOLCANOLOGY AND GEOTHERMAL RESEARCH</t>
  </si>
  <si>
    <t>Volcano monitoring; Volcano infrasound; Mount Erebus; Infrasound propagation</t>
  </si>
  <si>
    <t>STROMBOLIAN ERUPTIONS; ROSS ISLAND; VOLCANO; EXPLOSIONS; NOISE; DETECTOR; TRACKING; ALASKA</t>
  </si>
  <si>
    <t>Local (100 s of metres from vent) monitoring of volcanic infrasound is a common tool at volcanoes characterized by frequent low-magnitude eruptions, but it is generally not safe or practical to have sensors so close to the vent during more intense eruptions. To investigate the potential and limitations of monitoring at near-regional ranges (10 s of km) we studied infrasound detection and propagation at Mount Erebus, Antarctica. This site has both a good local monitoring network and an additional International Monitoring System infrasound array, IS55, located 25 km away. We compared data recorded at IS55 with a set of 117 known Strombolian events that were recorded with the local network in January 2006. 75% of these events were identified at IS55 by an analyst looking for a pressure transient coincident with an F-statistic detection, which identifies coherent infrasound signals. With the data from January 2006, we developed and calibrated an automated signal-detection algorithm based on threshold values of both the F-statistic and the correlation coefficient. Application of the algorithm across 1555 data for all of 2006 identified infrasonic signals expected to be Strombolian explosions, and proved reliable for indicating trends in eruption frequency. However, detectability at IS55 of known Strombolian events depended strongly on the local signal amplitude: 90% of events with local amplitudes &gt;25 Pa were identified at 1555, compared to only 26% of events with local amplitudes &lt;25 Pa. Event detection was also affected by considerable variation in amplitude decay rates between the local and near-regional sensors. Amplitudes recorded at 1555 varied between 3% and 180% of the amplitude expected assuming hemispherical spreading, indicating that amplitudes recorded at near-regional ranges to Erebus are unreliable indicators of event magnitude. Comparing amplitude decay rates with locally collected radiosonde data indicates a close relationship between recorded amplitude and lower atmosphere effective sound speed structure. At times of increased sound speed gradient, higher amplitude decay rates are observed, consistent with increased upward refraction of acoustic energy along the propagation path. This study indicates that whilst monitoring activity levels at near-regional ranges can be successful, variable amplitude decay rate means quantitative analysis of infrasound data for eruption intensity and magnitude is not advisable without the consideration of local atmospheric sound speed structure. (C) 2014 Published by Elsevier B.V.</t>
  </si>
  <si>
    <t>[Dabrowa, A. L.; Phillips, J. C.; Rust, A. C.] Univ Bristol, Sch Earth Sci, Bristol BS8 1RJ, Avon, England; [Green, D. N.] AWE Blacknest, Reading RG7 4RS, Berks, England; [Johnson, J. B.] Boise State Univ, Dept Geosci, Boise, ID 83725 USA</t>
  </si>
  <si>
    <t>University of Bristol; Idaho; Boise State University</t>
  </si>
  <si>
    <t>Dabrowa, AL (corresponding author), Univ Bristol, Sch Earth Sci, Wills Mem Bldg,Queens Rd, Bristol BS8 1RJ, Avon, England.</t>
  </si>
  <si>
    <t>amy.dabrowa@bristol.ac.uk</t>
  </si>
  <si>
    <t>Johnson, Jeffrey/0000-0003-4179-8592</t>
  </si>
  <si>
    <t>University of Wisconsin-Madison Antarctic Meteorological Research Center (NSF) [ANT-1141908]; NERC CASE partnership; NERC and AWE Plc; NERC [NE/G016593/1]; NERC [NE/G016593/1] Funding Source: UKRI; Natural Environment Research Council [NE/G016593/1] Funding Source: researchfish; Directorate For Geosciences; Division Of Earth Sciences [1151662] Funding Source: National Science Foundation</t>
  </si>
  <si>
    <t>University of Wisconsin-Madison Antarctic Meteorological Research Center (NSF); NERC CASE partnership; NERC and AWE Plc; NERC(UK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 Division Of Earth Sciences(National Science Foundation (NSF)NSF - Directorate for Geosciences (GEO))</t>
  </si>
  <si>
    <t>We thank David Fee and Robin Matoza for thorough, constructive reviews of the submitted manuscript. Their suggestions helped improve the paper. We thank Pierrick Mialle at the Comprehensive Nuclear-Test-Ban Treaty Organisation for providing IS55 data. We also thank David Fee and Tom Gabrielson for providing us with the measured infrasound system response for station IS55. The authors appreciate the support of the University of Wisconsin-Madison Antarctic Meteorological Research Center for the radiosonde data set and information (NSF grant ANT-1141908) and thank Hunter Knox for the additional detection dataset to which our data was compared (Knox, 2012). This work formed part of a PhD studentship funded as a NERC CASE partnership supported by NERC and AWE Plc; it was also supported by NERC grant NE/G016593/1.</t>
  </si>
  <si>
    <t>0377-0273</t>
  </si>
  <si>
    <t>1872-6097</t>
  </si>
  <si>
    <t>J VOLCANOL GEOTH RES</t>
  </si>
  <si>
    <t>J. Volcanol. Geotherm. Res.</t>
  </si>
  <si>
    <t>10.1016/j.jvolgeores.2014.10.001</t>
  </si>
  <si>
    <t>AX8BC</t>
  </si>
  <si>
    <t>WOS:000347134400005</t>
  </si>
  <si>
    <t>Huang, Z; Nichol, SL; Harris, PT; Caley, MJ</t>
  </si>
  <si>
    <t>Huang, Zhi; Nichol, Scott L.; Harris, Peter T.; Caley, M. Julian</t>
  </si>
  <si>
    <t>Classification of submarine canyons of the Australian continental margin</t>
  </si>
  <si>
    <t>MARINE GEOLOGY</t>
  </si>
  <si>
    <t>Australia; submarine canyons; bathymetry; morphometrics; hierarchical classification</t>
  </si>
  <si>
    <t>GREAT-BARRIER-REEF; INTERNAL WAVES; HABITAT HETEROGENEITY; PLEISTOCENE HISTORY; SEDIMENT TRANSPORT; SOUTHERN SHELVES; BALTIMORE CANYON; ASSEMBLAGES; SLOPE; BIODIVERSITY</t>
  </si>
  <si>
    <t>Submarine canyons influence oceanographic processes, sediment transport, productivity and benthic from the continental shelf to the slope and beyond. However, not all canyons perform the same function. relative influence of an individual canyon on these processes will, in part, be determined by its form, shape position on the continental margin. Here we present an analysis of canyon geomorphic metrics using an national dataset of 713 submarine canyons surrounding mainland Australia. These metrics (attributes) for canyon are used to classify them into canyon types across a hierarchy of physical characteristics separately shelf-incising (n = 95) and slope-confined (blind; n = 618) canyons. We find that the canyon metrics a wide variety of canyon form and complexity that is consistent with a population of canyons that has at different rates around the Australian margin since the break-up of Gondwana. The large number of confined canyons is interpreted to reflect dominance of slope mass-wasting processes over erosive flows from fluvial and shelf sources on an arid continent. The distribution of submarine canyons around Australian margin is not regular, with clusters occurring in the east, southeast, west and southwest where margin is steepest. The classification result provides a quantitative framework for describing canyon for application in studies of geological controls on individual canyons, canyon oceanography and biodiversity. (C) Crown Copyright 2014 Published by Elsevier B.V.</t>
  </si>
  <si>
    <t>[Huang, Zhi; Nichol, Scott L.] Geosci Australia, Canberra, ACT 2601, Australia; [Harris, Peter T.] GRID Arendal, N-4802 Arendal, Norway; [Caley, M. Julian] Australian Inst Marine Sci, Townsville, Qld 4810, Australia</t>
  </si>
  <si>
    <t>Geoscience Australia; Australian Institute of Marine Science</t>
  </si>
  <si>
    <t>Huang, Z (corresponding author), Geosci Australia, GPO Box 378, Canberra, ACT 2601, Australia.</t>
  </si>
  <si>
    <t>Zhi.Huang@ga.gov.au</t>
  </si>
  <si>
    <t>Huang, Zhi/I-7367-2019; Harris, Peter/AAI-7100-2020; Caley, Julian/A-4042-2008</t>
  </si>
  <si>
    <t>Huang, Zhi/0000-0003-1760-062X; Caley, Julian/0000-0001-5739-749X</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</si>
  <si>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We would like to thank the following people for their help in forming the ideas and techniques of this study: Nix Bax, Jessica Meeuwig, Johnathan Kool, Tom Letessier, Phil Bouchet, Rudy Kloser and Gordon Keith. Valuable reviews by Jin Li and Tony Nicholas of Geoscience Australia, Danny Brothers and an anonymous reviewer have improved the manuscript. This paper is published with permission of the Chief Executive Officer, Geoscience Australia.</t>
  </si>
  <si>
    <t>0025-3227</t>
  </si>
  <si>
    <t>1872-6151</t>
  </si>
  <si>
    <t>MAR GEOL</t>
  </si>
  <si>
    <t>Mar. Geol.</t>
  </si>
  <si>
    <t>10.1016/j.margeo.2014.07.007</t>
  </si>
  <si>
    <t>Geosciences, Multidisciplinary; Oceanography</t>
  </si>
  <si>
    <t>Geology; Oceanography</t>
  </si>
  <si>
    <t>AW8XM</t>
  </si>
  <si>
    <t>WOS:000346542700027</t>
  </si>
  <si>
    <t>Dunn, DC; Ardron, J; Bax, N; Bernal, P; Cleary, J; Cresswell, I; Donnelly, B; Dunstan, P; Gjerde, K; Johnson, D; Kaschner, K; Lascelles, B; Rice, J; von Nordheim, H; Wood, L; Halpin, PN</t>
  </si>
  <si>
    <t>Dunn, Daniel C.; Ardron, Jeff; Bax, Nicholas; Bernal, Patricio; Cleary, Jesse; Cresswell, Ian; Donnelly, Ben; Dunstan, Piers; Gjerde, Kristina; Johnson, David; Kaschner, Kristin; Lascelles, Ben; Rice, Jake; von Nordheim, Henning; Wood, Louisa; Halpin, Patrick N.</t>
  </si>
  <si>
    <t>The Convention on Biological Diversity's Ecologically or Biologically Significant Areas: Origins, development, and current status</t>
  </si>
  <si>
    <t>Convention on Biological Diversity; Ecologically or Biologically Significant Areas; EBSA; Marine Protected Areas; Areas Beyond National Jurisdiction; High Seas</t>
  </si>
  <si>
    <t>KEY BIODIVERSITY AREAS; MARINE ECOSYSTEMS; CONSERVATION; TARGETS</t>
  </si>
  <si>
    <t>In 2008, the Convention on Biological Diversity (CBD) adopted seven criteria to identify Ecologically or Biologically Significant Areas (EBSAs) ...in need of protection, in open ocean waters and deep sea habitats. This paper reviews the history of the development of the EBSA process, which was originally driven by the commitment to establish marine protected areas in areas beyond national jurisdiction, but which has since broadened to encompass the possibility of informing marine spatial planning and other activities, both within and beyond national jurisdiction. Additionally, the paper summarizes ongoing efforts through CBD regional workshops to describe EBSAs and the development of the EBSA Repository, where information on these areas is to be stored. The overlap between the EBSA criteria and biodiversity criteria suites used by various authorities in areas beyond national jurisdiction is illustrated. The EBSA process has reached a critical juncture, whereby a large percentage of the global ocean has been considered by the regional workshops, but the procedure by which these areas can be incorporated into formal management structures has not yet been fully developed. Emerging difficulties regarding the mandate to describe, identify, endorse, or adopt EBSAs, are discussed. (C) 2013 Elsevier Ltd. All rights reserved.</t>
  </si>
  <si>
    <t>[Dunn, Daniel C.; Cleary, Jesse; Donnelly, Ben; Halpin, Patrick N.] Duke Univ, Marine Geospatial Ecol Lab, Durham, NC USA; [Ardron, Jeff] Inst Adv Sustainabil Studies, Potsdam, Germany; [Bax, Nicholas; Cresswell, Ian; Dunstan, Piers] CSIRO Wealth Oceans Flagship, Hobart, Tas, Australia; [Bax, Nicholas] Univ Tasmania, Inst Marine &amp; Antarctic Studies, Hobart, Tas, Australia; [Bernal, Patricio; Gjerde, Kristina] IUCN Global Marine &amp; Polar Programme, Paris, France; [Bernal, Patricio; Gjerde, Kristina] IUCN Global Marine &amp; Polar Programme, Cambridge, MA USA; [Johnson, David] Seascape Consultants Ltd, Global Ocean Biodivers Initiat Secretariat, Romsey, Hants, England; [Kaschner, Kristin] Dept Biometry &amp; Environm Syst Anal, D-79106 Freiburg, Germany; [Lascelles, Ben] BirdLife Int, Cambridge, England; [Rice, Jake] Fisheries &amp; Oceans Canada, Ottawa, ON, Canada; [von Nordheim, Henning] German Fed Agcy Nat Conservat, Isle Of Vilm, Germany; [Wood, Louisa] World Conservat Monitoring Ctr, United Nations Environm Programme, Cambridge, England; [Kaschner, Kristin] Immeuble Henri Poincare, CFSAB Ctr Synth &amp; Anal Biodivers, F-13857 Aix En Provence 3, France</t>
  </si>
  <si>
    <t>Duke University; Commonwealth Scientific &amp; Industrial Research Organisation (CSIRO); University of Tasmania; BirdLife International; Fisheries &amp; Oceans Canada</t>
  </si>
  <si>
    <t>Dunn, DC (corresponding author), Duke Univ, Marine Lab, 135 Marine Lab Rd, Beaufort, NC 28557 USA.</t>
  </si>
  <si>
    <t>daniel.dunn@duke.edu</t>
  </si>
  <si>
    <t>Kaschner, Kristin/GQQ-6475-2022; Ardron, Jeff/ABI-7397-2020; Bax, Nicholas/A-2321-2012; Cresswell, Ian/M-1648-2015; Dunstan, Piers/B-7309-2016</t>
  </si>
  <si>
    <t>Dunn, Daniel/0000-0001-8932-0681; Bax, Nicholas/0000-0002-9697-4963; Cresswell, Ian/0000-0002-2759-3737; Kaschner, Kristin/0000-0002-4061-626X; Bernal, Patricio/0000-0002-6475-3429; Dunstan, Piers/0000-0002-2568-5945</t>
  </si>
  <si>
    <t>10.1016/j.marpol.2013.12.002</t>
  </si>
  <si>
    <t>AK7KS</t>
  </si>
  <si>
    <t>WOS:000338607800018</t>
  </si>
  <si>
    <t>Savours, A</t>
  </si>
  <si>
    <t>Savours, Ann</t>
  </si>
  <si>
    <t>6 (2014) Captain John Biscoe's Antarctic Circumnavigation, 1830-3</t>
  </si>
  <si>
    <t>MARINERS MIRROR</t>
  </si>
  <si>
    <t>SOC NAUTICAL RESEARCH</t>
  </si>
  <si>
    <t>NATIONAL MARITIME MUSEUM GREENWICH, LONDON SE10 9NF, ENGLAND</t>
  </si>
  <si>
    <t>0025-3359</t>
  </si>
  <si>
    <t>Mar. Mirror</t>
  </si>
  <si>
    <t>10.1080/00253359.2014.962242</t>
  </si>
  <si>
    <t>Arts &amp; Humanities Citation Index (A&amp;HCI)</t>
  </si>
  <si>
    <t>AT3TM</t>
  </si>
  <si>
    <t>WOS:000344857500008</t>
  </si>
  <si>
    <t>Moura, AE; Kenny, JG; Chaudhuri, R; Hughes, MA; Welch, AJ; Reisinger, RR; De Bruyn, PJN; Dahlheim, ME; Hall, N; Hoelzel, AR</t>
  </si>
  <si>
    <t>Moura, Andre E.; Kenny, John G.; Chaudhuri, Roy; Hughes, Margaret A.; Welch, Andreanna J.; Reisinger, Ryan R.; De Bruyn, P. J. Nico; Dahlheim, Marilyn E.; Hall, Neil; Hoelzel, A. Rus</t>
  </si>
  <si>
    <t>Population genomics of the killer whale indicates ecotype evolution in sympatry involving both selection and drift</t>
  </si>
  <si>
    <t>MOLECULAR ECOLOGY</t>
  </si>
  <si>
    <t>adaptation; Cetacea; ecological genetics; population genomics; sympatric divergence</t>
  </si>
  <si>
    <t>SCALE GENETIC-STRUCTURE; DNA-SEQUENCING DATA; ORCINUS-ORCA; NORTHEASTERN ATLANTIC; HABITAT PREFERENCE; DELPHINUS DELPHIS; RELAXED CLOCKS; NORTH PACIFIC; SEA; PATTERNS</t>
  </si>
  <si>
    <t>The evolution of diversity in the marine ecosystem is poorly understood, given the relatively high potential for connectivity, especially for highly mobile species such as whales and dolphins. The killer whale (Orcinus orca) has a worldwide distribution, and individual social groups travel over a wide geographic range. Even so, regional populations have been shown to be genetically differentiated, including among different foraging specialists (ecotypes) in sympatry. Given the strong matrifocal social structure of this species together with strong resource specializations, understanding the process of differentiation will require an understanding of the relative importance of both genetic drift and local adaptation. Here we provide a high-resolution analysis based on nuclear single-nucleotide polymorphic markers and inference about differentiation at both neutral loci and those potentially under selection. We find that all population comparisons, within or among foraging ecotypes, show significant differentiation, including populations in parapatry and sympatry. Loci putatively under selection show a different pattern of structure compared to neutral loci and are associated with gene ontology terms reflecting physiologically relevant functions (e.g. related to digestion). The pattern of differentiation for one ecotype in the North Pacific suggests local adaptation and shows some fixed differences among sympatric ecotypes. We suggest that differential habitat use and resource specializations have promoted sufficient isolation to allow differential evolution at neutral and functional loci, but that the process is recent and dependent on both selection and drift.</t>
  </si>
  <si>
    <t>[Moura, Andre E.; Welch, Andreanna J.; Hoelzel, A. Rus] Univ Durham, Sch Biol &amp; Biomed Sci, Durham DH1 3LE, England; [Kenny, John G.; Chaudhuri, Roy; Hughes, Margaret A.; Hall, Neil] Univ Liverpool, Inst Integrat Biol, Dept Funct &amp; Comparat Genom, Liverpool L69 7ZB, Merseyside, England; [Reisinger, Ryan R.; De Bruyn, P. J. Nico] Univ Pretoria, Dept Zool &amp; Entomol, Mammal Res Inst, ZA-0028 Pretoria, South Africa; [Dahlheim, Marilyn E.] NOAA, Natl Marine Fisheries Serv, Natl Marine Mammal Lab, Seattle, WA 98115 USA</t>
  </si>
  <si>
    <t>Moura, Andre/AAQ-8377-2020; de Bruyn, P. J. Nico/E-4176-2010; Hall, Neil/A-8717-2013; Reisinger, Ryan R/D-6151-2014; Chaudhuri, Roy/E-3774-2014; Moura, Andre/B-2673-2019; Kenny, John/HCI-1952-2022</t>
  </si>
  <si>
    <t>Moura, Andre/0000-0003-2140-0196; de Bruyn, P. J. Nico/0000-0002-9114-9569; Reisinger, Ryan R/0000-0002-8933-6875; Chaudhuri, Roy/0000-0001-5037-2695; Kenny, John/0000-0003-2994-6169; Hall, Neil/0000-0003-2808-0009</t>
  </si>
  <si>
    <t>Natural Environment Research Council UK [NE/014443/1]; South African Department of Science and Technology, through the National Research Foundation (NRF); NERC [NBAF010002, NE/J014443/1] Funding Source: UKRI; Natural Environment Research Council [NE/J014443/1, NBAF010002] Funding Source: researchfish</t>
  </si>
  <si>
    <t>Natural Environment Research Council UK(UK Research &amp; Innovation (UKRI)Natural Environment Research Council (NERC)); South African Department of Science and Technology, through the National Research Foundation (NRF); NERC(UK Research &amp; Innovation (UKRI)Natural Environment Research Council (NERC)); Natural Environment Research Council(UK Research &amp; Innovation (UKRI)Natural Environment Research Council (NERC))</t>
  </si>
  <si>
    <t>This study was funded by the Natural Environment Research Council UK (Grant Number NE/014443/1). The Department of Environmental Affairs supplied logistic support within the South African National Antarctic Programme for work done at Marion Island. Financial support for field assistance was provided by the South African Department of Science and Technology, through the National Research Foundation (NRF), in support of the Marine Mammal Programme of the MRI. We thank the Baylor College of Medicine and the Centre for GeoGenetics in Copenhagen for provision through NCBI of the ANOL00000000 genome sequence for reference prior to its publication. We thank Ken Balcomb, Mike Bigg, Nancy Black, Vladimir Burkanov, Andy Dizon, Dave Ellifrit, Mike Ford, Jeff Foster, Rich Osborne, Jen Schorr and Johann Sigurjonsson for earlier contributions to our killer whale DNA archive.</t>
  </si>
  <si>
    <t>0962-1083</t>
  </si>
  <si>
    <t>1365-294X</t>
  </si>
  <si>
    <t>MOL ECOL</t>
  </si>
  <si>
    <t>Mol. Ecol.</t>
  </si>
  <si>
    <t>10.1111/mec.12929</t>
  </si>
  <si>
    <t>Biochemistry &amp; Molecular Biology; Ecology; Evolutionary Biology</t>
  </si>
  <si>
    <t>Biochemistry &amp; Molecular Biology; Environmental Sciences &amp; Ecology; Evolutionary Biology</t>
  </si>
  <si>
    <t>AS6LB</t>
  </si>
  <si>
    <t>WOS:000344374000006</t>
  </si>
  <si>
    <t>Chen, SY; Wee, TK; Kuo, YH; Bromwich, DH</t>
  </si>
  <si>
    <t>Chen, Shu-Ya; Wee, Tae-Kwon; Kuo, Ying-Hwa; Bromwich, David H.</t>
  </si>
  <si>
    <t>An Impact Assessment of GPS Radio Occultation Data on Prediction of a Rapidly Developing Cyclone over the Southern Ocean</t>
  </si>
  <si>
    <t>GLOBAL POSITIONING SYSTEM; DATA ASSIMILATION SCHEME; OBSERVATION OPERATOR; BENDING ANGLE; PART I; MODEL; CHAMP; MM5; REFRACTIVITY; IMPLEMENTATION</t>
  </si>
  <si>
    <t>The impact of global positioning system (GPS) radio occultation (RO) data on an intense synoptic-scale storm that occurred over the Southern Ocean in December 2007 is evaluated, and a synoptic explanation of the assessed impact is offered. The impact is assessed by using the three-dimensional variational data assimilation scheme (3DVAR) of the Weather Research and Forecasting (WRF) Model Data Assimilation system (WRFDA), and by comparing two experiments: one with and the other without assimilating the refractivity data from four different RO missions. Verifications indicate significant positive impacts of the RO data in various measures and parameters as well as in the track and intensity of the Antarctic cyclone. The analysis of the atmospheric processes underlying the impact shows that the assimilation of the RO data yields substantial improvements in the large-scale circulations that in turn control the development of the Antarctic storm. For instance, the RO data enhanced the strength of a 500-hPa trough over the Southern Ocean and prevented the katabatic flow near the coast of East Antarctica from an overintensification. This greatly influenced two low pressure systems of a comparable intensity, which later merged together and evolved into the major storm. The dominance of one low over the other in the merger dramatically changed the track, intensity, and structure of the merged storm. The assimilation of GPS RO data swapped the dominant low, leading to a remarkable improvement in the subsequent storm's prediction.</t>
  </si>
  <si>
    <t>[Chen, Shu-Ya; Wee, Tae-Kwon; Kuo, Ying-Hwa] Univ Corp Atmospher Res, Boulder, CO USA; [Kuo, Ying-Hwa] Natl Ctr Atmospher Res, Boulder, CO 80307 USA; [Bromwich, David H.] Ohio State Univ, Byrd Polar Res Ctr, Columbus, OH 43210 USA</t>
  </si>
  <si>
    <t>National Center Atmospheric Research (NCAR) - USA; National Center Atmospheric Research (NCAR) - USA; University System of Ohio; Ohio State University</t>
  </si>
  <si>
    <t>Chen, SY (corresponding author), UCAR COSMIC Program, POB 3000, Boulder, CO 80307 USA.</t>
  </si>
  <si>
    <t>sychen@ucar.edu</t>
  </si>
  <si>
    <t>Chen, Shu-Ya/AAZ-5522-2021; Bromwich, David H/C-9225-2016</t>
  </si>
  <si>
    <t>Chen, Shu-Ya/0000-0002-4428-7643;</t>
  </si>
  <si>
    <t>National Science Foundation (NSF) [AGS-1033112]; NSF/Office of Polar Programs [ANT-0839068]; Ohio State University under the National Aeronautics and Space Administration (NASA) [60031541, NNX12AP93G]; NASA [NNX12AP89G, NNX08AN57G]; Directorate For Geosciences; Div Atmospheric &amp; Geospace Sciences [1033112] Funding Source: National Science Foundation; NASA [14157, NNX08AN57G, 96983, NNX12AP89G] Funding Source: Federal RePORTER</t>
  </si>
  <si>
    <t>National Science Foundation (NSF)(National Science Foundation (NSF)National Research Foundation of Korea); NSF/Office of Polar Programs(National Science Foundation (NSF)); Ohio State University under the National Aeronautics and Space Administration (NASA); NASA(National Aeronautics &amp; Space Administration (NASA)); Directorate For Geosciences; Div Atmospheric &amp; Geospace Sciences(National Science Foundation (NSF)NSF - Directorate for Geosciences (GEO)); NASA(National Aeronautics &amp; Space Administration (NASA))</t>
  </si>
  <si>
    <t>This material is based upon work supported by the National Science Foundation (NSF) under Cooperative Agreement AGS-1033112 and by the NSF/Office of Polar Programs under Award ANT-0839068; by The Ohio State University through Sub-agreement 60031541 under the National Aeronautics and Space Administration (NASA) Award NNX12AP93G; and by NASA under Awards NNX12AP89G and NNX08AN57G issued through the NASA/Goddard Space Flight Center. The authors thank Kevin Manning for providing the program to process the sea ice data.</t>
  </si>
  <si>
    <t>10.1175/MWR-D-14-00024.1</t>
  </si>
  <si>
    <t>AS4BW</t>
  </si>
  <si>
    <t>WOS:000344219400014</t>
  </si>
  <si>
    <t>Davies, BJ; Golledge, NR; Glasser, NF; Carrivick, JL; Ligtenberg, SRM; Barrand, NE; van den Broeke, MR; Hambrey, MJ; Smellie, JL</t>
  </si>
  <si>
    <t>Davies, Bethan J.; Golledge, Nicholas R.; Glasser, Neil F.; Carrivick, Jonathan L.; Ligtenberg, Stefan R. M.; Barrand, Nicholas E.; van den Broeke, Michiel R.; Hambrey, Michael J.; Smellie, John L.</t>
  </si>
  <si>
    <t>Modelled glacier response to centennial temperature and precipitation trends on the Antarctic Peninsula</t>
  </si>
  <si>
    <t>JAMES-ROSS-ISLAND; SURFACE MASS-BALANCE; SEA-LEVEL CHANGES; ICE-SHEET; CLIMATE; HISTORY; RISE</t>
  </si>
  <si>
    <t>The northern Antarctic Peninsula is currently undergoing rapid atmospheric warming(1). Increased glacier-surface melt during the twentieth century(2,3) has contributed to ice-shelf collapse and the widespread acceleration(4), thinning and recession(5) of glaciers. Therefore, glaciers peripheral to the Antarctic Ice Sheet currently make a large contribution to eustatic sea-level rise(6,7), but future melting may be offset by increased precipitation(8). Here we assess glacier-climate relationships both during the past and into the future, using ice-core and geological data and glacier and climate numerical model simulations. Focusing on Glacier IJR45 on James Ross Island, northeast Antarctic Peninsula, our modelling experiments show that this representative glacier is most sensitive to temperature change, not precipitation change. We determine that its most recent expansion occurred during the late Holocene 'Little Ice Age' and not during the warmer mid-Holocene, as previously proposed(9). Simulations using a range of future Intergovernmental Panel on Climate Change climate scenarios indicate that future increases in precipitation are unlikely to offset atmospheric-warming-induced melt of peripheral Antarctic Peninsula glaciers.</t>
  </si>
  <si>
    <t>[Davies, Bethan J.; Glasser, Neil F.; Hambrey, Michael J.] Aberystwyth Univ, Dept Geog &amp; Earth Sci, Ctr Glaciol, Aberystwyth SY23 3DB, Dyfed, Wales; [Davies, Bethan J.; Golledge, Nicholas R.] Victoria Univ Wellington, Antarctic Res Ctr, Wellington 6140, New Zealand; [Golledge, Nicholas R.] GNS Sci, Lower Hutt 5011, New Zealand; [Carrivick, Jonathan L.] Univ Leeds, Sch Geog, Leeds LS2 9JT, W Yorkshire, England; [Ligtenberg, Stefan R. M.; van den Broeke, Michiel R.] Univ Utrecht, IMAU, NL-3584 CC Utrecht, Netherlands; [Barrand, Nicholas E.] Univ Birmingham, Sch Geog Earth &amp; Environm Sci, Birmingham B15 2TT, W Midlands, England; [Smellie, John L.] Univ Leicester, Dept Geol, Leicester LE1 7RH, Leics, England</t>
  </si>
  <si>
    <t>Aberystwyth University; Victoria University Wellington; GNS Science - New Zealand; University of Leeds; Utrecht University; University of Birmingham; University of Leicester</t>
  </si>
  <si>
    <t>Davies, BJ (corresponding author), Univ London, Dept Geog, Quaternary Res Ctr, Egham TW20 0EX, Surrey, England.</t>
  </si>
  <si>
    <t>bethan.davies@rhul.ac.uk</t>
  </si>
  <si>
    <t>Van den Broeke, Michiel R./0000-0003-4662-7565; Golledge, Nicholas/0000-0001-7676-8970; Glasser, Neil/0000-0002-8245-2670; Davies, Bethan/0000-0002-8636-1813; Barrand, Nicholas/0000-0003-4428-1863; Carrivick, Jonathan/0000-0002-9286-5348</t>
  </si>
  <si>
    <t>UK Natural Environment Research Council (NERC) under the Antarctic Funding Initiative grant [NE/F012942/1]; SCAR (Scientific Committee for Antarctic Research) Fellowship; British Antarctic Survey; European Commission [226375]; Natural Environment Research Council [NE/F012896/1, NE/F012942/1, NE/F015518/1] Funding Source: researchfish; NERC [NE/F015518/1, NE/F012896/1, NE/F012942/1] Funding Source: UKRI</t>
  </si>
  <si>
    <t>UK Natural Environment Research Council (NERC) under the Antarctic Funding Initiative grant(UK Research &amp; Innovation (UKRI)Natural Environment Research Council (NERC)); SCAR (Scientific Committee for Antarctic Research) Fellowship; British Antarctic Survey; European Commission(European Union (EU)European Commission Joint Research Centre); Natural Environment Research Council(UK Research &amp; Innovation (UKRI)Natural Environment Research Council (NERC)); NERC(UK Research &amp; Innovation (UKRI)Natural Environment Research Council (NERC))</t>
  </si>
  <si>
    <t>This work was funded by the UK Natural Environment Research Council (NERC) under the Antarctic Funding Initiative grant (NE/F012942/1), awarded to N.F.G. and M.J.H., and a SCAR (Scientific Committee for Antarctic Research) Fellowship awarded to B.J.D. to visit the Antarctic Research Centre, Victoria University of Wellington. Transport logistics and fieldwork on James Ross Island were supported by the British Antarctic Survey, and we thank the captain and crew of the RRS Ernest Shackleton and the RRS James Clark Ross for their support. We thank A. Hill for his field logistical support. We thank the Czech Geological Survey for providing topographical and glaciological data. N. Abram provided a thinning and ice-flow-corrected ice-core accumulation record from the 2007 James Ross Island ice core (AD 1807~2007). We also acknowledge the Netherlands Polar Program of NWO/ALW and the ice2sea project, funded by the European Commission's 7th Framework Programme through grant number 226375, ice2sea manuscript number 174.</t>
  </si>
  <si>
    <t>10.1038/NCLIMATE2369</t>
  </si>
  <si>
    <t>AT0AD</t>
  </si>
  <si>
    <t>Green Submitted, Green Published, Green Accepted</t>
  </si>
  <si>
    <t>WOS:000344598400023</t>
  </si>
  <si>
    <t>Durack, PJ; Gleckler, PJ; Landerer, FW; Taylor, KE</t>
  </si>
  <si>
    <t>Durack, Paul J.; Gleckler, Peter J.; Landerer, Felix W.; Taylor, Karl E.</t>
  </si>
  <si>
    <t>Quantifying underestimates of long-term upper-ocean warming</t>
  </si>
  <si>
    <t>HEAT-CONTENT; SOUTHERN-OCEAN; TRENDS</t>
  </si>
  <si>
    <t>The global ocean stores more than 90% of the heat associated with observed greenhouse-gas-attributed global warming(1-4). Using satellite altimetry observations and a large suite of climate models, we conclude that observed estimates of 0-700 dbar global ocean warming since 1970 are likely biased low. This underestimation is attributed to poor sampling of the Southern Hemisphere, and limitations of the analysis methods that conservatively estimate temperature changes in data-sparse regions(5-7). We find that the partitioning of northern and southern hemispheric simulated sea surface height changes are consistent with precise altimeter observations, whereas the hemispheric partitioning of simulated upper-ocean warming is inconsistent with observed in-situ-based ocean heat content estimates. Relying on the close correspondence between hemispheric-scale ocean heat content and steric changes, we adjust the poorly constrained Southern Hemisphere observed warming estimates so that hemispheric ratios are consistent with the broad range of modelled results. These adjustments yield large increases (2.2-7.1 x 10(22) J 35 yr(-1)) to current global upper-ocean heat content change estimates, and have important implications for sea level, the planetary energy budget and climate sensitivity assessments.</t>
  </si>
  <si>
    <t>[Durack, Paul J.; Gleckler, Peter J.; Taylor, Karl E.] Lawrence Livermore Natl Lab, Program Climate Model Diag &amp; Intercomparison, Livermore, CA 94550 USA; [Landerer, Felix W.] CALTECH, Jet Prop Lab, Pasadena, CA 91109 USA</t>
  </si>
  <si>
    <t>United States Department of Energy (DOE); Lawrence Livermore National Laboratory; California Institute of Technology; National Aeronautics &amp; Space Administration (NASA); NASA Jet Propulsion Laboratory (JPL)</t>
  </si>
  <si>
    <t>Durack, PJ (corresponding author), Lawrence Livermore Natl Lab, Program Climate Model Diag &amp; Intercomparison, Livermore, CA 94550 USA.</t>
  </si>
  <si>
    <t>pauldurack@llnl.gov</t>
  </si>
  <si>
    <t>Gleckler, Peter/H-4762-2012; Durack, Paul James/A-8758-2010; Landerer, Felix W/ABG-2849-2021; Taylor, Karl E./F-7290-2011</t>
  </si>
  <si>
    <t>Durack, Paul James/0000-0003-2835-1438; Landerer, Felix W/0000-0003-2678-095X; Taylor, Karl E./0000-0002-6491-2135</t>
  </si>
  <si>
    <t>US Department of Energy, Office of Science, Climate and Environmental Sciences Division, Regional and Global Climate Modeling Program [DE-AC52-07NA27344]; NASA ROSES Physical Oceanography [NNN13D462T]; NASA Sea Level Change Team (NSLCT)</t>
  </si>
  <si>
    <t>US Department of Energy, Office of Science, Climate and Environmental Sciences Division, Regional and Global Climate Modeling Program(United States Department of Energy (DOE)); NASA ROSES Physical Oceanography; NASA Sea Level Change Team (NSLCT)</t>
  </si>
  <si>
    <t>The work of P.J.D., P.J.G. and K.E.T. from Lawrence Livermore National Laboratory is a contribution to the US Department of Energy, Office of Science, Climate and Environmental Sciences Division, Regional and Global Climate Modeling Program under contract DE-AC52-07NA27344. The work of F.W.L. was performed at the Jet Propulsion Laboratory, California Institute of Technology and is supported by NASA ROSES Physical Oceanography grant NNN13D462T and the NASA Sea Level Change Team (NSLCT). We thank numerous colleagues from the Program for Climate Model Diagnosis and Intercomparison (PCMDI) for valuable feedback and input into this project. We also thank J. Durack of the University of California, San Francisco (USA), M. V. Durack of educAID (Australia), T. P. Boyer from the National Oceanographic Data Center, Silver Spring (USA), C. M. Domingues from the Antarctic Climate and Ecosystems CRC, Hobart (Australia) and J. A. Church from the Centre for Australian Weather and Climate Research, Hobart (Australia). We acknowledge the sources of observed data used in this study: D. Smith and J. Murphy (Smi07), C. M. Domingues (Dom08), M. Ishii and M. Kimoto (Ish09), S. Levitus and T. Boyer (Lev12) and the International Argo Program and the national programs that contribute to it. We acknowledge the World Climate Research Programmes Working Group on Coupled Modelling, which is responsible for CMIP, and we thank the climate modelling groups (listed in Supplementary Tables 1 and 2)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DW10 data presented in this study can be downloaded from the CSIRO Ocean Change website at www.cmar.csiro.au/oceanchange. LLNL Release #: LLNL-JRNL-651841.</t>
  </si>
  <si>
    <t>10.1038/NCLIMATE2389</t>
  </si>
  <si>
    <t>WOS:000344598400024</t>
  </si>
  <si>
    <t>Patterson, MO; McKay, R; Naish, T; Escutia, C; Jimenez-Espejo, FJ; Raymo, ME; Meyers, SR; Tauxe, L; Brinkhuis, H</t>
  </si>
  <si>
    <t>Patterson, M. O.; McKay, R.; Naish, T.; Escutia, C.; Jimenez-Espejo, F. J.; Raymo, M. E.; Meyers, S. R.; Tauxe, L.; Brinkhuis, H.</t>
  </si>
  <si>
    <t>IODP Expedition 318 Scientists</t>
  </si>
  <si>
    <t>Orbital forcing of the East Antarctic ice sheet during the Pliocene and Early Pleistocene</t>
  </si>
  <si>
    <t>SOUTHERN-OCEAN; VARIABILITY; CYCLES; DRIVEN; MARGIN</t>
  </si>
  <si>
    <t>The Pliocene and Early Pleistocene, between 5.3 and 0.8 million years ago, span a transition from a global climate state that was 2-3 degrees C warmer than present with limited ice sheets in the Northern Hemisphere to one that was characterized by continental-scale glaciations at both poles. Growth and decay of these ice sheets was paced by variations in the Earth's orbit around the Sun. However, the nature of the influence of orbital forcing on the ice sheets is unclear, particularly in light of the absence of a strong 20,000-year precession signal in geologic records of global ice volume and sea level. Here we present a record of the rate of accumulation of iceberg-rafted debris offshore from the East Antarctic ice sheet, adjacent to the Wilkes Subglacial Basin, between 4.3 and 2.2 million years ago. We infer that maximum iceberg debris accumulation is associated with the enhanced calving of icebergs during ice-sheet margin retreat. In the warmer part of the record, between 4.3 and 3.5 million years ago, spectral analyses show a dominant periodicity of about 40,000 years. Subsequently, the powers of the 100,000-year and 20,000-year signals strengthen. We suggest that, as the Southern Ocean cooled between 3.5 and 2.5 million years ago, the development of a perennial sea-ice field limited the oceanic forcing of the ice sheet. After this threshold was crossed, substantial retreat of the East Antarctic ice sheet occurred only during austral summer insolation maxima, as controlled by the precession cycle.</t>
  </si>
  <si>
    <t>[Patterson, M. O.; McKay, R.; Naish, T.] Victoria Univ Wellington, Antarctic Res Ctr, Wellington 6140, New Zealand; [Escutia, C.] Univ Granada, CSIC, Inst Andaluz Ciencias Tierra, Armilla 18100, Spain; [Jimenez-Espejo, F. J.] Japan Agcy Marine Earth Sci &amp; Technol, Dept Geochem, Yokosuka, Kanagawa 2370061, Japan; [Raymo, M. E.] Columbia Univ, Lamont Doherty Geol Observ, Palisades, NY 10964 USA; [Meyers, S. R.] Univ Wisconsin, Dept Geosci, Madison, WI 53706 USA; [Tauxe, L.] Scripps Inst Oceanog, La Jolla, CA 92093 USA; [Brinkhuis, H.] Univ Utrecht, Lab Paleobot &amp; Palynol, NL-3584 CD Utrecht, Netherlands</t>
  </si>
  <si>
    <t>Victoria University Wellington; Consejo Superior de Investigaciones Cientificas (CSIC); CSIC - Instituto Andaluz de Ciencias de la Tierra (IACT); University of Granada; Japan Agency for Marine-Earth Science &amp; Technology (JAMSTEC); Columbia University; University of Wisconsin System; University of Wisconsin Madison; University of California System; University of California San Diego; Scripps Institution of Oceanography; Utrecht University</t>
  </si>
  <si>
    <t>McKay, R (corresponding author), Victoria Univ Wellington, Antarctic Res Ctr, Wellington 6140, New Zealand.</t>
  </si>
  <si>
    <t>Jimenez-Espejo, Francisco J./AAR-2318-2020; Jimenez-Espejo, Francisco J/F-4486-2016; McKay, Robert/N-2449-2015; Brinkhuis, Henk/IUO-8165-2023; Raymo, Maureen E/A-1270-2012; Röhl, Ursula/G-5986-2011; Passchier, Sandra/B-1993-2008; Escutia, Carlota/B-8614-2015; Welsh, Kevin/A-9808-2012</t>
  </si>
  <si>
    <t>Jimenez-Espejo, Francisco J/0000-0002-0335-8580; McKay, Robert/0000-0002-5602-6985; Brinkhuis, Henk/0000-0003-0253-6610; Röhl, Ursula/0000-0001-9469-7053; Patterso, Molly/0000-0002-5058-9269; Passchier, Sandra/0000-0001-7204-7025; Meyers, Stephen/0000-0003-4422-720X; Riesselman, Christina/0000-0002-2436-4306; Bendle, James/0000-0002-6826-8658; Yamane, Masako/0000-0002-5063-0719; Escutia, Carlota/0000-0002-4932-8619; Bijl, Peter/0000-0002-1710-4012; Iwai, Masao/0000-0001-7489-1262; Naish, Tim/0000-0002-1185-9932; Welsh, Kevin/0000-0002-4834-4190</t>
  </si>
  <si>
    <t>US National Science Foundation (NSF); Royal Society of New Zealand Marsden Fund [VUW0903]; Rutherford Discovery Fellowship [RDF-13-VUW-003]; Ministry of Science and Innovation [CTM-2011-24079]; MEXT; US NSF [OCE-1003603, OCE-1202632]; NERC [NE/I00646X/1, NE/H014144/1, NE/I00646X/2, NE/H014616/1] Funding Source: UKRI; Natural Environment Research Council [NE/I00646X/2, NE/H014616/1, NE/I00646X/1] Funding Source: researchfish; Directorate For Geosciences; Division Of Earth Sciences [1151438] Funding Source: National Science Foundation; Division Of Ocean Sciences; Directorate For Geosciences [1129101] Funding Source: National Science Foundation</t>
  </si>
  <si>
    <t>US National Science Foundation (NSF)(National Science Foundation (NSF)); Royal Society of New Zealand Marsden Fund(Royal Society of New ZealandMarsden Fund (NZ)); Rutherford Discovery Fellowship(Royal Society of New Zealand); Ministry of Science and Innovation(Spanish Government); MEXT(Ministry of Education, Culture, Sports, Science and Technology, Japan (MEXT)); US NSF(National Science Foundation (NSF)); NERC(UK Research &amp; Innovation (UKRI)Natural Environment Research Council (NERC)); Natural Environment Research Council(UK Research &amp; Innovation (UKRI)Natural Environment Research Council (NERC)); Directorate For Geosciences; Division Of Earth Sciences(National Science Foundation (NSF)NSF - Directorate for Geosciences (GEO)); Division Of Ocean Sciences; Directorate For Geosciences(National Science Foundation (NSF)NSF - Directorate for Geosciences (GEO))</t>
  </si>
  <si>
    <t>This research used samples and data provided by the Integrated Ocean Drilling Program (IODP). The IODP is sponsored by the US National Science Foundation (NSF) and participating countries under the management of Joint Oceanographic Institutions. Financial support for this study was provided to T.N. and R.M. from the Royal Society of New Zealand Marsden Fund Contract VUW0903, and Rutherford Discovery Fellowship (RDF-13-VUW-003) to R.M. Additional support was provided by the Ministry of Science and Innovation (Grant CTM-2011-24079) to C.E. and by MEXT to F.J.J-E., and by the US NSF (Grant OCE-1003603) to S.R.M. and US NSF (Grant OCE-1202632) to M.E.R.</t>
  </si>
  <si>
    <t>10.1038/NGEO2273</t>
  </si>
  <si>
    <t>AT3CC</t>
  </si>
  <si>
    <t>WOS:000344812100019</t>
  </si>
  <si>
    <t>Takao, S; Hirawake, T; Hashida, G; Sasaki, H; Hattori, H; Suzuki, K</t>
  </si>
  <si>
    <t>Takao, Shintaro; Hirawake, Toru; Hashida, Gen; Sasaki, Hiroshi; Hattori, Hiroshi; Suzuki, Koji</t>
  </si>
  <si>
    <t>Phytoplankton community composition and photosynthetic physiology in the Australian sector of the Southern Ocean during the austral summer of 2010/2011</t>
  </si>
  <si>
    <t>Phytoplankton community composition; Photosynthetic physiology; Diatoms; FIRe fluorometry; Southern Ocean</t>
  </si>
  <si>
    <t>SUB-ARCTIC PACIFIC; PRIMARY PRODUCTIVITY; ROSS SEA; ASSEMBLAGE COMPOSITION; IRON FERTILIZATION; ENERGY-CONVERSION; CHEMTAX ANALYSIS; CHLOROPHYLL-A; LIMITATION; PARAMETERS</t>
  </si>
  <si>
    <t>Phytoplankton population dynamics play an important role in biogeochemical cycles in the Southern Ocean during austral summer. However, the relationship between phytoplankton community composition and primary productivity remains elusive in this region. We investigated the community composition and photosynthetic physiology of surface phytoplankton assemblages in the Australian sector of the Southern Ocean from December 2010 to January 2011. There were significant latitudinal variations in hydrographic and biological parameters along 110A degrees E and 140A degrees E. Surface (5 m) chlorophyll a (chl a) concentrations measured with high-performance liquid chromatography varied between 0.18 and 0.99 mg m(-3). The diatom contribution to the surface chl a biomass increased in the south, as estimated with algal chemotaxonomic pigment markers, while the contributions of haptophytes and chlorophytes decreased. In our photosynthesis-irradiance (P-E) curve experiment, the maximum photosynthetic rate normalized to chl a (), initial slope (alpha (*)), the maximum quantum yield of carbon fixation (I broken vertical bar (c max)), and the photoinhibition index (beta (*)) were higher in the region where diatoms contributed &gt; 50 % to the chl a biomass. In addition, there were statistically significant correlations between the diatom contribution to the chl a biomass and the P-E parameters. These results suggested that the changes in the phytoplankton community composition, primarily in diatoms, could strongly affect photosynthetic physiology in the Australian sector of the Southern Ocean.</t>
  </si>
  <si>
    <t>[Takao, Shintaro; Suzuki, Koji] Hokkaido Univ, Grad Sch Environm Sci, Kita Ku, Sapporo, Hokkaido 0600810, Japan; [Takao, Shintaro; Suzuki, Koji] Hokkaido Univ, Fac Environm Earth Sci, Kita Ku, Sapporo, Hokkaido 0600810, Japan; [Hirawake, Toru] Hokkaido Univ, Fac Fisheries Sci, Hakodate, Hokkaido 0418611, Japan; [Hashida, Gen] Natl Inst Polar Res, Tachikawa, Tokyo 1908518, Japan; [Sasaki, Hiroshi] Ishinomaki Senshu Univ, Dept Biol Sci, Ishinomaki, Miyagi 9868580, Japan; [Hattori, Hiroshi] Hokkaido Tokai Univ, Dept Marine Sci &amp; Technol, Minami Ku, Sapporo, Hokkaido 0058601, Japan; [Suzuki, Koji] Japan Sci &amp; Technol Agcy, CREST, Kita Ku, Sapporo, Hokkaido 0600810, Japan</t>
  </si>
  <si>
    <t>Hokkaido University; Hokkaido University; Hokkaido University; Research Organization of Information &amp; Systems (ROIS); National Institute of Polar Research (NIPR) - Japan; Tokai University; Japan Science &amp; Technology Agency (JST)</t>
  </si>
  <si>
    <t>Takao, S (corresponding author), Hokkaido Univ, Grad Sch Environm Sci, Kita Ku, North 10 West 5, Sapporo, Hokkaido 0600810, Japan.</t>
  </si>
  <si>
    <t>takao@ees.hokudai.ac.jp</t>
  </si>
  <si>
    <t>Takao, Shintaro/M-8269-2019; Suzuki, Koji/AAD-2630-2022; Suzuki, Koji/A-4349-2013; Suzuki, Koji/GVS-9807-2022</t>
  </si>
  <si>
    <t>Suzuki, Koji/0000-0001-5354-1044; Suzuki, Koji/0000-0001-5354-1044; Hirawake, Toru/0000-0003-0274-6642</t>
  </si>
  <si>
    <t>Japan Society for the Promotion of Science (JSPS); JARE RAMEEC project; JAXA GCOM-C RA4 [JX-PSPC-381949]; Grants-in-Aid for Scientific Research [24121004, 22221001] Funding Source: KAKEN</t>
  </si>
  <si>
    <t>Japan Society for the Promotion of Science (JSPS)(Ministry of Education, Culture, Sports, Science and Technology, Japan (MEXT)Japan Society for the Promotion of Science); JARE RAMEEC project; JAXA GCOM-C RA4; Grants-in-Aid for Scientific Research(Ministry of Education, Culture, Sports, Science and Technology, Japan (MEXT)Japan Society for the Promotion of ScienceGrants-in-Aid for Scientific Research (KAKENHI))</t>
  </si>
  <si>
    <t>We are grateful to the captain and crew of the TR/V Umitaka-Maru, Dr. M. Moteki (Tokyo University of Marine Science and Technology), and many other colleagues on board for their assistance in collecting samples during cruises. We thank Dr. T. Odate (National Institute of Polar Research) for giving a chance to join the JARE RAMEEC (Responses of Antarctic Marine Ecosystems to global Environmental Changes with Carbonate systems) project. We also thank the Distributed Active Archive Center (DAAC) at the Goddard Space Flight Center (GSFC) for the production and distribution of satellite data. We appreciate the editor, Dr. A.-C. Alderkamp, and two anonymous reviewers for providing valuable comments that improved the manuscript significantly. This work was supported in part by the Japan Society for the Promotion of Science (JSPS), the JARE RAMEEC project, and the JAXA GCOM-C RA4 (JX-PSPC-381949).</t>
  </si>
  <si>
    <t>10.1007/s00300-014-1542-6</t>
  </si>
  <si>
    <t>WOS:000343141300002</t>
  </si>
  <si>
    <t>Mystikou, A; Peters, AF; Asensi, AO; Fletcher, KI; Brickle, P; van West, P; Convey, P; Küpper, FC</t>
  </si>
  <si>
    <t>Mystikou, Alexandra; Peters, Akira F.; Asensi, Aldo O.; Fletcher, Kyle I.; Brickle, Paul; van West, Pieter; Convey, Peter; Kuepper, Frithjof C.</t>
  </si>
  <si>
    <t>Seaweed biodiversity in the south-western Antarctic Peninsula: surveying macroalgal community composition in the Adelaide Island/Marguerite Bay region over a 35-year time span</t>
  </si>
  <si>
    <t>Aplanochytrium sp.; Climate change; Desmarestia menziesii; Marine macroalgae; Maritime Antarctic; Ice recession</t>
  </si>
  <si>
    <t>TEMPERATURE REQUIREMENTS; MOLECULAR PHYLOGENY; ALGAE; RHODOPHYTA; MORPHOLOGY; EURYCHASMA; ISLAND; LABYRINTHULOMYCOTA; ASSOCIATIONS; SURVIVAL</t>
  </si>
  <si>
    <t>The diversity of seaweed species of the south-western Antarctic Peninsula region is poorly studied, contrasting with the substantial knowledge available for the northern parts of the Peninsula. However, this is a key region affected by contemporary climate change. Significant consequences of this change include sea ice recession, increased iceberg scouring and increased inputs of glacial melt water, all of which can have major impacts on benthic communities. We present a baseline seaweed species checklist for the southern Adelaide Island and northern Marguerite Bay region, combining data obtained during a small number of surveys completed in 1973-1975 and a 6-week intensive diving-based field campaign in 2010-2011. Overall, with a total of 41 macroalgal species recorded (7 brown, 27 red, 6 green, 1 chrysophyte), the region is species-poor compared to the north of the Antarctic Peninsula, and even more so in comparison with the sub-Antarctic. The key canopy-forming species is Desmarestia menziesii, which is abundant in Antarctic Peninsula waters, but lacking in the sub-Antarctic. Himantothallus grandifolius, which is a common species further north in the Antarctic phytobenthos, was absent in our recent collections. This paper also reports the first record of Aplanochytrium sp. (Labyrinthulomycetes) from this part of Antarctica and in association with Elachista sp.</t>
  </si>
  <si>
    <t>[Mystikou, Alexandra; Fletcher, Kyle I.; Kuepper, Frithjof C.] Univ Aberdeen, Oceanlab, Newburgh AB41 6AA, Scotland; [Mystikou, Alexandra; Fletcher, Kyle I.; van West, Pieter] Univ Aberdeen, Inst Med Sci, Coll Life Sci &amp; Med, Aberdeen Oomycete Lab, Aberdeen AB25 2ZD, Scotland; [Mystikou, Alexandra; Brickle, Paul] South Atlantic Environm Res Inst, Stanley FIQQ1ZZ, Falkland Island, England; [Peters, Akira F.] Bezhin Rosko, F-29250 Santec, Brittany, France; [Convey, Peter] British Antarctic Survey, Cambridge CB3 0ET, England; [Kuepper, Frithjof C.] Scottish Assoc Marine Sci, Oban PA37 1QA, Argyll, Scotland</t>
  </si>
  <si>
    <t>University of Aberdeen; University of Aberdeen; UK Research &amp; Innovation (UKRI); Natural Environment Research Council (NERC); NERC British Antarctic Survey; UHI Millennium Institute</t>
  </si>
  <si>
    <t>Küpper, FC (corresponding author), Univ Aberdeen, Oceanlab, Main St, Newburgh AB41 6AA, Scotland.</t>
  </si>
  <si>
    <t>Fletcher, Kyle/AAN-8757-2021; Convey, Peter/AAV-5728-2020</t>
  </si>
  <si>
    <t>Convey, Peter/0000-0001-8497-9903; Brickle, Paul/0000-0002-9870-3518; Mystikou, Alexandra/0000-0002-7961-3015; Kuepper, Frithjof/0000-0003-1273-7109; van West, Pieter/0000-0002-0767-6017</t>
  </si>
  <si>
    <t>UK Natural Environment Research Council [CGS-70, 2010]; BBSRC, NERC; University of Aberdeen; NERC; Joint Nature Conservancy Council; British Antarctic Survey; University of Konstanz; Biotechnology and Biological Sciences Research Council [BB/J018333/1] Funding Source: researchfish; Natural Environment Research Council [dml010007, 1093492, bas0100025] Funding Source: researchfish; BBSRC [BB/J018333/1] Funding Source: UKRI; NERC [bas0100025, dml010007] Funding Source: UKRI</t>
  </si>
  <si>
    <t>UK Natural Environment Research Council(UK Research &amp; Innovation (UKRI)Natural Environment Research Council (NERC)); BBSRC, NERC(UK Research &amp; Innovation (UKRI)Natural Environment Research Council (NERC)Biotechnology and Biological Sciences Research Council (BBSRC)); University of Aberdeen; NERC(UK Research &amp; Innovation (UKRI)Natural Environment Research Council (NERC)); Joint Nature Conservancy Council; British Antarctic Survey; University of Konstanz;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</si>
  <si>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We are grateful to the UK Natural Environment Research Council for funding to FCK, in particular through WP 4.5 of Oceans 2025 to the Scottish Association for Marine Science and through the Antarctic Funding Initiative Collaborative Gearing Scheme (grant CGS-70, 2010, to FCK and PC). PvW acknowledges funding from the BBSRC, NERC and the University of Aberdeen. PC is supported by NERC funding to the BAS core programme Ecosystems, while PB, AM and FCK would like to thank the Joint Nature Conservancy Council for funding support. We thank David Smyth, Jonathan James, John Withers and Terrie Souster (British Antarctic Survey) for support with diving operations around Rothera in December 2010 and January 2011, Matt von Tersch (BAS), Sharon Duggan (BAS) and Julia Kleinteich (University of Konstanz) for support with logistics and laboratory work while at Rothera. We are grateful to Konstantinos Tsiamis (Hellenic Centre for Marine Research, Anavyssos) for help with identifying seaweed specimens. We also thank Richard Moe for critically reading the manuscript, and three anonymous reviewers for helpful suggestions. Finally, special thanks are due to Dawn Shewring for support with algal culturing and molecular work.</t>
  </si>
  <si>
    <t>10.1007/s00300-014-1547-1</t>
  </si>
  <si>
    <t>WOS:000343141300005</t>
  </si>
  <si>
    <t>Keohane, RO; Lane, M; Oppenheimer, M</t>
  </si>
  <si>
    <t>Keohane, Robert O.; Lane, Melissa; Oppenheimer, Michael</t>
  </si>
  <si>
    <t>The ethics of scientific communication under uncertainty</t>
  </si>
  <si>
    <t>POLITICS PHILOSOPHY &amp; ECONOMICS</t>
  </si>
  <si>
    <t>Uncertainty; ethics; communication; IPCC; expertise</t>
  </si>
  <si>
    <t>CLIMATE-CHANGE; SCIENCE</t>
  </si>
  <si>
    <t>Communication by scientists with policy makers and attentive publics raises ethical issues. Scientists need to decide how to communicate knowledge effectively in a way that nonscientists can understand and use, while remaining honest scientists and presenting estimates of the uncertainty of their inferences. They need to understand their own ethical choices in using scientific information to communicate to audiences. These issues were salient in the Fourth Assessment of the Intergovernmental Panel on Climate Change with respect to possible sea level rise from disintegration of the Greenland and West Antarctic ice sheets. Due to uncertainty, the reported values of projected sea level rise were incomplete, potentially leading some relevant audiences to underestimate future risk. Such judgments should be made in a principled rather than an ad hoc manner. Five principles for scientific communication under such conditions are important: honesty, precision, audience relevance, process transparency, and specification of uncertainty about conclusions. Some of these principles are of intrinsic importance while others are merely instrumental and subject to trade-offs among them. Scientists engaged in assessments under uncertainty should understand these principles and which trade-offs are acceptable.</t>
  </si>
  <si>
    <t>[Keohane, Robert O.] Princeton Univ, Woodrow Wilson Sch, Princeton, NJ 08544 USA; [Lane, Melissa; Oppenheimer, Michael] Princeton Univ, Princeton, NJ 08544 USA; [Lane, Melissa] Princeton Univ, Dept Class, Princeton, NJ 08544 USA; [Lane, Melissa] Princeton Univ, Dept Philosophy, Princeton, NJ 08544 USA</t>
  </si>
  <si>
    <t>Princeton University; Princeton University; Princeton University; Princeton University</t>
  </si>
  <si>
    <t>Lane, M (corresponding author), Princeton Univ, Dept Polit, 245 Corwin Hall, Princeton, NJ 08544 USA.</t>
  </si>
  <si>
    <t>mslane@princeton.edu</t>
  </si>
  <si>
    <t>Oppenheimer, Michael/0000-0002-9708-5914</t>
  </si>
  <si>
    <t>SAGE PUBLICATIONS INC</t>
  </si>
  <si>
    <t>THOUSAND OAKS</t>
  </si>
  <si>
    <t>2455 TELLER RD, THOUSAND OAKS, CA 91320 USA</t>
  </si>
  <si>
    <t>1470-594X</t>
  </si>
  <si>
    <t>1741-3060</t>
  </si>
  <si>
    <t>POLIT PHILOS ECON</t>
  </si>
  <si>
    <t>Polit. Philos. Econ.</t>
  </si>
  <si>
    <t>10.1177/1470594X14538570</t>
  </si>
  <si>
    <t>Ethics; Political Science</t>
  </si>
  <si>
    <t>Social Sciences - Other Topics; Government &amp; Law</t>
  </si>
  <si>
    <t>AR8OZ</t>
  </si>
  <si>
    <t>WOS:000343835900003</t>
  </si>
  <si>
    <t>Hernández-Guerra, A; Pelegrí, JL; Fraile-Nuez, E; Benítez-Barrios, V; Emelianov, M; Pérez-Hernández, MD; Vélez-Belchí, P</t>
  </si>
  <si>
    <t>Hernandez-Guerra, Alonso; Pelegri, Josep L.; Fraile-Nuez, Eugenio; Benitez-Barrios, Veronica; Emelianov, Mikhail; Dolores Perez-Hernandez, Maria; Velez-Belchi, Pedro</t>
  </si>
  <si>
    <t>Meridional overturning transports at 7.5N and 24.5N in the Atlantic Ocean during 1992-93 and 2010-11</t>
  </si>
  <si>
    <t>BOUNDARY CURRENT; FRESH-WATER; HEAT-FLUX; EQUATORIAL ATLANTIC; GENERAL-CIRCULATION; EASTERN BOUNDARY; DECADAL CHANGES; CANARY CURRENT; DEEP-WATER; VARIABILITY</t>
  </si>
  <si>
    <t>Transatlantic hydrographic sections along latitudes 7.5N and 24.5N have been repeated with about 20 years difference, at the beginning of the 1990s and 2010s. For each period, an inverse model is applied to the closed box bound by both sections. The model imposes mass conservation for individual layers, defined by isoneutral surfaces, and the whole water column, using surface Ekman transport and several transport constraints for specific ranges of longitudes and depths. As a result, the velocities at the reference layer for each station pair and the dianeutral velocities between layers are estimated, and the horizontal velocity fields and the water, heat and freshwater transports are calculated; in particular, we find that mass transport per stratum at 24.5N in 2011 is in good agreement with the transport estimates from the RAPID-Watch array. During both realizations the dianeutral velocities downwell from the Upper North Atlantic Deep Water (UNADW) to the Lower North Atlantic Deep Water (LNADW) strata, resulting in the merging of the two southward flowing strata at 24.5N into one deep southward-moving stratum at 7.5N. At 24.5N, there is an increase in southward UNADW transport between 1992 and 2011, compensated by a decrease of southward LNADW transport; a descent in the upper limit of the Antarctic Bottom Water (AABW) from 1992 to 2011 is also inferred. The Atlantic Meridional Overturning Circulation (AMOC) is larger in 1992-93 than in 2010-11, decreasing from 24.7 +/- 1.7 to 20.1 +/- 1.4 Sv at 24.5N and from 29.2 +/- 1.7 to 16.9 +/- 1.5 Sv at 7.5N. Much of this decrease arises because of the northward flow of Antarctic Intermediate Water (AAIW), which was much more intense in 1992-93 than in 2010-11. As a consequence, heat transport at 24.5N is not significantly different in 1992 (1.4 +/- 0.1 PW) and 2011 (1.2 +/- 0.1 PW). The estimation of heat transport at 7.5N strongly depends on the magnitude of the North Brazil Current over the American continental platform. The freshwater flux into the box bounded by the two transoceanic sections decreases significantly from 1992-93 (-0.45 +/- 0.05 Sv) to 2010-11 (-0.36 +/- 0.3 Sv), meaning a decrease in net evaporation over this same area. (C) 2014 Elsevier Ltd. All rights reserved.</t>
  </si>
  <si>
    <t>[Hernandez-Guerra, Alonso; Dolores Perez-Hernandez, Maria] Univ Las Palmas Gran Canaria, Inst Oceanog &amp; Cambio Global IOCAG, Las Palmas Gran Canaria 35017, Spain; [Pelegri, Josep L.; Emelianov, Mikhail] CSIC, Inst Ciencias Mar, Dept Oceanog Fis &amp; Tecnol, E-08003 Barcelona, Spain; [Fraile-Nuez, Eugenio; Benitez-Barrios, Veronica; Velez-Belchi, Pedro] Ctr Oceanog Canarias, Inst Espanol Oceanog, Santa Cruz De Tenerife 38180, Spain</t>
  </si>
  <si>
    <t>Universidad de Las Palmas de Gran Canaria; Consejo Superior de Investigaciones Cientificas (CSIC); CSIC - Centro Mediterraneo de Investigaciones Marinas y Ambientales (CMIMA); CSIC - Instituto de Ciencias del Mar (ICM); Spanish Institute of Oceanography</t>
  </si>
  <si>
    <t>Hernández-Guerra, A (corresponding author), Univ Las Palmas Gran Canaria, Inst Oceanog &amp; Cambio Global IOCAG, Las Palmas Gran Canaria 35017, Spain.</t>
  </si>
  <si>
    <t>alonso.hernandez@ulpgc.es</t>
  </si>
  <si>
    <t>Pérez-Hernández, Maria Dolores/J-5330-2014; Nuez, Eugenio Fraile/R-2258-2019; Hernandez-Guerra, Alonso/A-4747-2008; Emelianov, Mikhail/M-1400-2014; Pelegrí, Josep L/L-5815-2014; Velez-Belchi, Pedro/I-9150-2017</t>
  </si>
  <si>
    <t>Pérez-Hernández, Maria Dolores/0000-0001-7293-9584; Nuez, Eugenio Fraile/0000-0003-4250-4445; Hernandez-Guerra, Alonso/0000-0002-4883-8123; Emelianov, Mikhail/0000-0002-1459-2911; Pelegrí, Josep L/0000-0003-0661-2190; Velez-Belchi, Pedro/0000-0003-2404-5679</t>
  </si>
  <si>
    <t>Spanish Government [MOC2 (CTM2008-06438)]; Feder [CSD2008-00077]; el Programa Nacional de Movilidad de Recursos Humanos del Plan Nacional de I+D+I</t>
  </si>
  <si>
    <t>Spanish Government(Spanish Government); Feder(European Union (EU)Spanish Government); el Programa Nacional de Movilidad de Recursos Humanos del Plan Nacional de I+D+I</t>
  </si>
  <si>
    <t>This work has been performed under the projects MOC2 (CTM2008-06438) and Malaspina (CSD2008-00077), funded by the Spanish Government and Feder. Part of this study was carried out when the first author spent a sabbatical at Scripps Institution of Oceanography with a grant from el Programa Nacional de Movilidad de Recursos Humanos del Plan Nacional de I+D+I. The authors thank the captain and the crew of the R/V Sarmiento de Gamboa and the R/V Hesperides as well as the Unidad Tecnologica Marina (UTM) for their help at sea. Special thanks go to David Sosa Trejo for helping with data treatment and Figs. We are grateful to Eleanor Frajka-Williams and two anonymous Reviewers for a number of constructive comments and suggestions.</t>
  </si>
  <si>
    <t>10.1016/j.pocean.2014.08.016</t>
  </si>
  <si>
    <t>WOS:000343795800008</t>
  </si>
  <si>
    <t>Capron, E; Govin, A; Stone, EJ; Masson-Delmotte, V; Mulitza, S; Otto-Bliesner, B; Rasmussen, TL; Sime, LC; Waelbroeck, C; Wolff, EW</t>
  </si>
  <si>
    <t>Capron, Emilie; Govin, Aline; Stone, Emma J.; Masson-Delmotte, Valerie; Mulitza, Stefan; Otto-Bliesner, Bette; Rasmussen, Tine L.; Sime, Louise C.; Waelbroeck, Claire; Wolff, Eric W.</t>
  </si>
  <si>
    <t>Temporal and spatial structure of multi-millennial temperature changes at high latitudes during the Last Interglacial</t>
  </si>
  <si>
    <t>Last Interglacial period; Marine sediment cores; Ice cores; Data synthesis; Climate model simulations</t>
  </si>
  <si>
    <t>ANTARCTIC ICE-SHEET; OCEAN HEAT TRANSPORTS; EPICA DOME-C; NORTH-ATLANTIC; SEA-LEVEL; NORDIC SEAS; GREENLAND TEMPERATURE; CHRONOLOGY AICC2012; ATMOSPHERIC CH4; CLIMATE</t>
  </si>
  <si>
    <t>The Last Interglacial (LIG, 129-116 thousand of years BP, ka) represents a test bed for climate model feedbacks in warmer-than-present high latitude regions. However, mainly because aligning different palaeoclimatic archives and from different parts of the world is not trivial, a spatio-temporal picture of LIG temperature changes is difficult to obtain. Here, we have selected 47 polar ice core and sub-polar marine sediment records and developed a strategy to align them onto the recent AICC2012 ice core chronology. We provide the first compilation of high-latitude temperature changes across the LIG associated with a coherent temporal framework built between ice core and marine sediment records. Our new data synthesis highlights non-synchronous maximum temperature changes between the two hemispheres with the Southern Ocean and Antarctica records showing an early warming compared to North Atlantic records. We also observe warmer than present-day conditions that occur for a longer time period in southern high latitudes than in northern high latitudes. Finally, the amplitude of temperature changes at high northern latitudes is larger compared to high southern latitude temperature changes recorded at the onset and the demise of the LIG. We have also compiled four data-based time slices with temperature anomalies (compared to present-day conditions) at 115 ka, 120 ka, 125 ka and 130 ka and quantitatively estimated temperature uncertainties that include relative dating errors. This provides an improved benchmark for performing more robust model-data comparison. The surface temperature simulated by two General Circulation Models (CCSM3 and HadCM3) for 130 ka and 125 ka is compared to the corresponding time slice data synthesis. This comparison shows that the models predict warmer than present conditions earlier than documented in the North Atlantic, while neither model is able to produce the reconstructed early Southern Ocean and Antarctic warming. Our results highlight the importance of producing a sequence of time slices rather than one single time slice averaging the LIG climate conditions. Crown Copyright (C) 2014 Published by Elsevier Ltd. This is an open access article under the CC BY license (http://creativecommons.org/licenses/by/3.0/).</t>
  </si>
  <si>
    <t>[Capron, Emilie; Sime, Louise C.] British Antarctic Survey, Cambridge CB3 0ET, England; [Govin, Aline; Mulitza, Stefan] Univ Bremen, Ctr Marine Environm Sci, MARUM, D-28359 Bremen, Germany; [Stone, Emma J.] Univ Bristol, Sch Geog Sci, BRIDGE, Bristol BS8 1SS, Avon, England; [Masson-Delmotte, Valerie; Waelbroeck, Claire] CEA CNRS UVSQ, UMR 8212, Inst Pierre Simon Laplace, Lab Sci Climat &amp; Environm, F-91191 Gif Sur Yvette, France; [Otto-Bliesner, Bette] Natl Ctr Atmospher Res, Climate &amp; Global Dynam Div, Boulder, CO 80305 USA; [Rasmussen, Tine L.] Arctic Univ Norway, UiT, CAGE Ctr Arctic Gas Hydrate Environm &amp; Climate, Tromso, Norway; [Wolff, Eric W.] Univ Cambridge, Dept Earth Sci, Godwin Lab Palaeoclimate Res, Cambridge CB2 3EQ, England</t>
  </si>
  <si>
    <t>UK Research &amp; Innovation (UKRI); Natural Environment Research Council (NERC); NERC British Antarctic Survey; University of Bremen; University of Bristol; CEA; Centre National de la Recherche Scientifique (CNRS); Universite Paris Saclay; Universite Paris Cite; CNRS - National Institute for Earth Sciences &amp; Astronomy (INSU); National Center Atmospheric Research (NCAR) - USA; UiT The Arctic University of Tromso; University of Cambridge</t>
  </si>
  <si>
    <t>Capron, E (corresponding author), British Antarctic Survey, Madingley Rd, Cambridge CB3 0ET, England.</t>
  </si>
  <si>
    <t>ecap@bas.ac.uk</t>
  </si>
  <si>
    <t>Masson-Delmotte, Valerie L/G-1995-2011; Sime, Louise/F-8058-2012; Sime, Louise/AAX-7730-2021; Wolff, Eric W/D-7925-2014; Stone, Emma J/H-9549-2012; Capron, Emilie/ITU-2672-2023; Otto-Bliesner, Bette/AAY-7691-2020; Mulitza, Stefan/G-5357-2011; Govin, Aline/E-6354-2013</t>
  </si>
  <si>
    <t>Masson-Delmotte, Valerie L/0000-0001-8296-381X; Sime, Louise/0000-0002-9093-7926; Sime, Louise/0000-0002-9093-7926; Wolff, Eric W/0000-0002-5914-8531; Stone, Emma J/0000-0002-8633-8074; waelbroeck, claire/0000-0002-7256-5727; Mulitza, Stefan/0000-0002-3842-1447; Govin, Aline/0000-0001-8512-5571</t>
  </si>
  <si>
    <t>Deutsche Forschungsgemeinschaft (DFG) [GO 2122/1-1]; UK-NERC consortium iGlass [NE/I009906/1]; [243908]; Natural Environment Research Council [NE/I009639/1, NE/I009906/1, bas0100024] Funding Source: researchfish; NERC [NE/I009906/1, NE/I009639/1, bas0100024] Funding Source: UKRI</t>
  </si>
  <si>
    <t>Deutsche Forschungsgemeinschaft (DFG)(German Research Foundation (DFG)); UK-NERC consortium iGlass; ; Natural Environment Research Council(UK Research &amp; Innovation (UKRI)Natural Environment Research Council (NERC)); NERC(UK Research &amp; Innovation (UKRI)Natural Environment Research Council (NERC))</t>
  </si>
  <si>
    <t>We are very grateful to two anonymous reviewers and Henning Bauch for their constructive comments that help improving this manuscript. A. Govin was supported by the Deutsche Forschungsgemeinschaft (DFG) under the Special Priority Programme INTERDYNAMIC (EndLIG project, grant GO 2122/1-1). The research leading to these results has received funding from the UK-NERC consortium iGlass (NE/I009906/1) and is also a contribution to the European Union's Seventh Framework programme (FP7/ 2007-2013) under grant agreement 243908, Past4Future. Climate change - Learning from the past climate. This is Past4Future contribution no 79.</t>
  </si>
  <si>
    <t>10.1016/j.quascirev.2014.08.018</t>
  </si>
  <si>
    <t>Green Accepted, Green Published, Green Submitted, hybrid</t>
  </si>
  <si>
    <t>WOS:000344211000009</t>
  </si>
  <si>
    <t>Araneda, JGL</t>
  </si>
  <si>
    <t>Lobos Araneda, Jose Gabriel</t>
  </si>
  <si>
    <t>Leadership Lessons: Shackleton's 10 Strategies in His Great Antarctic Expedition</t>
  </si>
  <si>
    <t>REVISTA GESTION DE LAS PERSONAS Y TECNOLOGIA</t>
  </si>
  <si>
    <t>[Lobos Araneda, Jose Gabriel] USACH, Mantenimiento Ind, Santiago, Chile</t>
  </si>
  <si>
    <t>Araneda, JGL (corresponding author), USACH, Mantenimiento Ind, Santiago, Chile.</t>
  </si>
  <si>
    <t>jglobos@yahoo.com</t>
  </si>
  <si>
    <t>UNIV SANTIAGO CHILE, FAC TECNOLOGICA</t>
  </si>
  <si>
    <t>SANTIA</t>
  </si>
  <si>
    <t>AV ALAMEDA LIBERTADOR BERNARDO O HIGGINS 3363, SANTIA, 00000, CHILE</t>
  </si>
  <si>
    <t>0718-5693</t>
  </si>
  <si>
    <t>REV GEST PERSONAS TE</t>
  </si>
  <si>
    <t>Rev. Gest. Personas Tecnol.</t>
  </si>
  <si>
    <t>Management</t>
  </si>
  <si>
    <t>V6D3O</t>
  </si>
  <si>
    <t>WOS:000420180700010</t>
  </si>
  <si>
    <t>Seasonal dynamics of megafauna on the deep West Antarctic Peninsula shelf in response to variable phytodetrital influx</t>
  </si>
  <si>
    <t>Antarctic Peninsula; megafauna; deposit feeding; time-lapse photography; elasipod holothurians; benthos</t>
  </si>
  <si>
    <t>LABILE ORGANIC-MATTER; ROSS SEA; REPRODUCTIVE-BIOLOGY; OXYGEN-CONSUMPTION; TIME-SERIES; ICE; ASSEMBLAGES; VARIABILITY; ABUNDANCE; ECOSYSTEM</t>
  </si>
  <si>
    <t>The deep West Antarctic Peninsula (WAP) shelf is characterized by intense deposition of phytodetritus during spring/summer months, while very little food material reaches the seafloor during winter. The response of the shelf benthic megafauna to this highly variable food supply is still poorly understood. In order to characterize the deposition of phytodetritus and the megabenthic community response, we deployed a seafloor time-lapse camera at approximately 590m depth on the mid WAP shelf west of Anvers Island for 15 months. Seafloor photographs were taken at intervals of 12 or 24 h nearly continuously from 9 December 1999 (austral winter) to 20 March 2001 (summer) and analysed for phytodetritus deposition and megafaunal dynamics. Seafloor images indicated a marked seasonal arrival of greenish phytodetritus, with large interannual and seasonal variability in the coverage of depositing phytodetrital particles. The surface-deposit-feeding elasipod holothurians Protelpidia murrayi and Peniagone vignoni dominated the epibenthic megafauna throughout the year, frequently constituting more than 80% of the megafaunal abundance, attaining total densities of up to 2.4 individuals m(-2). Elasipod abundances were significantly higher in summer than winter. During summer periods of high phytodetrital flux, Pr. murrayi produced faecal casts at higher rates, indicating intensified population-level feeding activity. In March-June 2000, faecal casts lasted longest, suggesting lower horizontal bioturbation activity during autumn-winter. Our data indicate that the Pr. murrayi population increases its feeding rates in response to increasing amounts and/or lability of organic matter on the sediment surface. Assuming that this species feeds on the top millimetre of the sediment, we estimate that, during periods of high phytodetrital flux, the Pr. murrayi population reworks one square metre of sediment surface in approximately 287 days. We suggest that Pr. murrayi is an important species for organic-carbon recycling on the deep WAP shelf, controlling the availability of deposited labile phytodetritus to the broader shelf benthic community.</t>
  </si>
  <si>
    <t>[Sumida, P. Y. G.] Univ Sao Paulo, Inst Oceanog, Dept Biol Oceanog, Praca Oceanog 191, BR-05508120 Sao Paulo, SP, Brazil; [Polito, P. S.; Vieira, D. R.] Univ Sao Paulo, Inst Oceanog, Dept Phys Oceanog, BR-05508120 Sao Paulo, SP, Brazil; [Smith, C. R.] Univ Hawaii Manoa, Dept Oceanog, Honolulu, HI 96822 USA; [Bernardino, A. F.] Univ Fed Espirito Santo, Dept Oceanog &amp; Ecol, BR-29075910 Vitoria, ES, Brazil</t>
  </si>
  <si>
    <t>Universidade de Sao Paulo; Universidade de Sao Paulo; University of Hawaii System; University of Hawaii Manoa; Universidade Federal do Espirito Santo</t>
  </si>
  <si>
    <t>Sumida, PYG (corresponding author), Univ Sao Paulo, Inst Oceanog, Dept Biol Oceanog, Praca Oceanog 191, BR-05508120 Sao Paulo, SP, Brazil.</t>
  </si>
  <si>
    <t>psumida@usp.br</t>
  </si>
  <si>
    <t>Sumida, Paulo Y G/F-2561-2011; Bernardino, Angelo Fraga/C-6921-2012; Polito, Paulo Simionatto/L-5399-2019</t>
  </si>
  <si>
    <t>Sumida, Paulo Y G/0000-0001-7549-4541; Bernardino, Angelo Fraga/0000-0002-1838-4597; Polito, Paulo Simionatto/0000-0003-2217-3853</t>
  </si>
  <si>
    <t>National Science Foundation [OPP-9815823, PLR-1341669]; CNPq [301412/2013-8, 302526/2012-9]; [FAPESP 03/02292-7]; [CNPq 471161/03-9]</t>
  </si>
  <si>
    <t>National Science Foundation(National Science Foundation (NSF)); CNPq(Conselho Nacional de Desenvolvimento Cientifico e Tecnologico (CNPQ)); ;</t>
  </si>
  <si>
    <t>This project was supported by grants from the National Science Foundation to C.R.S. (OPP-9815823 and PLR-1341669), grants FAPESP 03/02292-7 and CNPq 471161/03-9 to P.Y.G.S. A.F.B. and P.Y.G.S. are supported by CNPq grants 301412/2013-8 and 302526/2012-9, respectively.</t>
  </si>
  <si>
    <t>10.1098/rsos.140294</t>
  </si>
  <si>
    <t>V44EJ</t>
  </si>
  <si>
    <t>WOS:000209732000014</t>
  </si>
  <si>
    <t>Jia, SL; Wang, Q; Li, L; Fang, XK; Shi, YH; Xu, WG; Hu, JX</t>
  </si>
  <si>
    <t>Jia, Shenglan; Wang, Qiang; Li, Li; Fang, Xuekun; Shi, Yehong; Xu, Weiguang; Hu, Jianxin</t>
  </si>
  <si>
    <t>Comparative study on PCDD/F pollution in soil from the Antarctic, Arctic and Tibetan Plateau</t>
  </si>
  <si>
    <t>PCDD/Fs; Soil; Three Poles; FLEXPART model</t>
  </si>
  <si>
    <t>PARTICLE DISPERSION MODEL; DIBENZO-P-DIOXINS; PERSISTENT ORGANIC POLLUTANTS; PCB CONCENTRATIONS; AIR; ATMOSPHERE; DEPOSITION; TRANSPORT; FLEXPART; SAMPLES</t>
  </si>
  <si>
    <t>The concentrations of polychlorinated dibenzo-p-dioxins (PCDDs) and dibenzofurans (PCDFs) in 35 soil samples collected from Fildes Peninsula in the Antarctic, Ny-Alesund in the Arctic, and Zhangmu-Nyalam in the Tibetan Plateau were reported in this study. A comparison of the total concentration and TEQ of PCDD/Fs at the Three Poles was conducted. Both the total concentration and TEQ of PCDD/Fs demonstrates a decreasing trend in the order of Zhangmu-Nyalam (mean: 26.22 pg/g, 0.37 pg I-TEQ/g) &gt; Ny-Alesund (mean: 9.97 pg/g, 0.33 pg I-TEQ/g)&gt; Elides Peninsula (mean: 2.18 pg/g, 0.015 pg I-TEQ/g) (p &lt; 0.05). In all samples, the congener and homologue profiles dominated with higher (seven and eight) chlorinated PCDD/Fs (more than 85% of the total mass percentage of PCDD/Fs) at the Three Poles. Finally, a FLEXPART backward simulation was used to preliminarily identify the potential local and regional anthropogenic sources of PCDD/Fs. The results imply that the air masses passing over surrounding regions with significant PCDD/F emissions might contribute to the occurrence of PCDD/Fs in both the Arctic and Tibetan Plateau. (C) 2014 Elsevier B.V. All rights reserved.</t>
  </si>
  <si>
    <t>[Jia, Shenglan; Li, Li; Fang, Xuekun; Xu, Weiguang; Hu, Jianxin] Peking Univ, Collaborat Innovat Ctr Reg Environm Qual, Coll Environm Sci &amp; Engn, State Key Joint Lab Environm Simulat &amp; Pollut Con, Beijing 100871, Peoples R China; [Wang, Qiang] Cent South Univ, Sch Chem &amp; Chem Engn, Changsha 410083, Hunan, Peoples R China; [Fang, Xuekun] Norwegian Inst Air Res, N-2027 Kjeller, Norway; [Shi, Yehong] Beijing Gen Res Inst Min &amp; Met, Beijing 100160, Peoples R China</t>
  </si>
  <si>
    <t>Peking University; Central South University; NILU</t>
  </si>
  <si>
    <t>Hu, JX (corresponding author), Peking Univ, Collaborat Innovat Ctr Reg Environm Qual, Coll Environm Sci &amp; Engn, State Key Joint Lab Environm Simulat &amp; Pollut Con, Beijing 100871, Peoples R China.</t>
  </si>
  <si>
    <t>jianxin@pku.edu.cn</t>
  </si>
  <si>
    <t>Li, Li/AAH-4031-2019; FANG, XUEKUN/L-1630-2015; Hu, Jianxin/N-3498-2013; Jia, Shenglan/HZL-2241-2023</t>
  </si>
  <si>
    <t>Li, Li/0000-0002-5157-7366; Xu, Weiguang/0000-0002-7060-4673; JIA, SHENGLAN/0000-0001-8135-1555; /0000-0002-7055-0644</t>
  </si>
  <si>
    <t>10.1016/j.scitotenv.2014.07.109</t>
  </si>
  <si>
    <t>WOS:000343613100037</t>
  </si>
  <si>
    <t>Siciliano, SD; Palmer, AS; Winsley, T; Lamb, E; Bissett, A; Brown, MV; van Dorst, J; Ji, MK; Ferrari, BC; Grogan, P; Chu, HY; Snape, I</t>
  </si>
  <si>
    <t>Siciliano, Steven D.; Palmer, Anne S.; Winsley, Tristrom; Lamb, Eric; Bissett, Andrew; Brown, Mark V.; van Dorst, Josie; Ji, Mukan; Ferrari, Belinda C.; Grogan, Paul; Chu, Haiyan; Snape, Ian</t>
  </si>
  <si>
    <t>Soil fertility is associated with fungal and bacterial richness, whereas pH is associated with community composition in polar soil microbial communities</t>
  </si>
  <si>
    <t>SOIL BIOLOGY &amp; BIOCHEMISTRY</t>
  </si>
  <si>
    <t>Arctic; Antarctic; Bacteria; Fungi; Soil properties; pH; Structural equation modelling; Climate change</t>
  </si>
  <si>
    <t>ARCTIC ECOSYSTEMS; CLIMATE-CHANGE; DIVERSITY; PATTERNS; RESPONSES; BIOGEOGRAPHY; LANDSCAPE; GRADIENT; NITROGEN; CARBON</t>
  </si>
  <si>
    <t>Microbial activities in Arctic and Antarctic soils are of particular interest due to uncertainty surrounding the fate of the enormous polar soil organic matter (SOM) pools and the potential to lose unique and vulnerable micro-organisms from these ecosystems. We quantified richness, evenness and taxonomic composition of both fungi and bacteria in 223 Arctic and Antarctic soil samples across 8 locations to test the global applicability of hypotheses concerning edaphic drivers of soil microbial communities that have been primarily developed from studies of bacteria in temperate and tropical systems. We externally validated our model's conclusions with an independent dataset comprising 33 Arctic heath samples. We also explored if our system was responding to large scale climatic or biogeographical processes that we had not measured by evaluating model stability for one location, Mitchell Pennisula, that had been extensively sampled. Soil Fertility (defined as organic matter, nitrogen and chloride content) was the most important edaphic property associated with measures of a-diversity such as microbial richness and evenness (especially for fungi), whereas pH was primarily associated with measures of beta-diversity such as phylogenetic structure and diversity (especially for bacteria). Surprisingly, phosphorus emerged as consistently the second most important driver of all facets of microbial community structure for both fungi and bacteria. Despite the clear importance of edaphic factors in controlling microbial communities, our analyses also indicated that fungal/bacterial interactions play a major, but causally unclear, role in structuring the soil microbial communities of which they are a part. (C) 2014 Elsevier Ltd. All rights reserved.</t>
  </si>
  <si>
    <t>[Siciliano, Steven D.] Univ Saskatchewan, Dept Soil Sci, Saskatoon, SK S7N 5A8, Canada; [Palmer, Anne S.; Winsley, Tristrom; van Dorst, Josie; Snape, Ian] Australian Antarctic Div, Dept Sustainabil Environm Water Populat &amp; Commun, Kingston, Tas 7050, Australia; [Winsley, Tristrom; van Dorst, Josie; Ji, Mukan; Ferrari, Belinda C.] Univ New S Wales, Sch Biotechnol &amp; Biomol Sci, Sydney, NSW 2052, Australia; [Lamb, Eric] Univ Saskatchewan, Dept Plant Sci, Saskatoon, SK S7N 5A8, Canada; [Bissett, Andrew] CSIRO Plant Ind, Canberra, ACT 2601, Australia; [Brown, Mark V.] Univ New S Wales, Sch Biotechnol &amp; Biomol Sci, Evolut &amp; Ecol Res Ctr, Sydney, NSW 2052, Australia; [Grogan, Paul; Chu, Haiyan] Queens Univ, Dept Biol, Kingston, ON, Canada; [Chu, Haiyan] Chinese Acad Sci, Inst Soil Sci, Nanjing 210008, Jiangsu, Peoples R China</t>
  </si>
  <si>
    <t>University of Saskatchewan; Australian Antarctic Division; University of New South Wales Sydney; University of Saskatchewan; Commonwealth Scientific &amp; Industrial Research Organisation (CSIRO); Plant Industry; University of New South Wales Sydney; Queens University - Canada; Chinese Academy of Sciences; Nanjing Institute of Soil Science, CAS</t>
  </si>
  <si>
    <t>Siciliano, SD (corresponding author), Univ Saskatchewan, Dept Soil Sci, Saskatoon, SK S7N 5A8, Canada.</t>
  </si>
  <si>
    <t>Steven.siciliano@usask.ca; anne.palmer@aad.gov.au; tristrom.winsley@aad.gov.au; eric.lamb@usask.ca; Andrew.Bissett@csiro.au; markbrown@unsw.edu.au; j.vandorst@unsw.edu.au; rn.ji@unsw.edu.au; ferrari@unsw.edu.au; groganp@queensu.ca; hychu@issas.ac.cn; ian.snape@aad.gov.au</t>
  </si>
  <si>
    <t>Ferrari, Belinda/AAI-3022-2020; Siciliano, Steven D/G-3370-2011; Ji, Mukan/AAI-5743-2020; Lamb, Eric G/D-9319-2011; Bissett, Andrew/AFR-3887-2022</t>
  </si>
  <si>
    <t>Ferrari, Belinda/0000-0001-5043-3726; Bissett, Andrew/0000-0001-7396-1484; Ji, Mukan/0000-0001-8139-2875; Siciliano, Steven/0000-0002-8994-3341; Chu, Haiyan/0000-0001-9004-8750; Lamb, Eric/0000-0001-5201-4541; van Dorst, Josie/0000-0002-9353-8787</t>
  </si>
  <si>
    <t>International Polar Year Program grants; NSERC Discovery grants</t>
  </si>
  <si>
    <t>International Polar Year Program grants; NSERC Discovery grants(Natural Sciences and Engineering Research Council of Canada (NSERC))</t>
  </si>
  <si>
    <t>This work was supported by International Polar Year Program grants to SDS and IS as well as NSERC Discovery grants to SDS and IS. Logistical support for these polar programs was provided by PCSP and the AAD. Comments on the manuscript by NF and PT are gratefully appreciated.</t>
  </si>
  <si>
    <t>0038-0717</t>
  </si>
  <si>
    <t>SOIL BIOL BIOCHEM</t>
  </si>
  <si>
    <t>Soil Biol. Biochem.</t>
  </si>
  <si>
    <t>10.1016/j.soilbio.2014.07.005</t>
  </si>
  <si>
    <t>AS0EH</t>
  </si>
  <si>
    <t>WOS:000343950600002</t>
  </si>
  <si>
    <t>The biogeophysical effects of extreme afforestation in modeling future climate</t>
  </si>
  <si>
    <t>THEORETICAL AND APPLIED CLIMATOLOGY</t>
  </si>
  <si>
    <t>MCGILL PALEOCLIMATE MODEL; LAND-COVER CHANGE; CO2 CONCENTRATIONS; CARBON SINK; PART II; VEGETATION; SCALE; SYSTEM; DEFORESTATION; FEEDBACKS</t>
  </si>
  <si>
    <t>Afforestation has been deployed as a mitigation strategy for global warming due to its substantial carbon sequestration, which is partly counterbalanced with its biogeophysical effects through modifying the fluxes of energy, water, and momentum at the land surface. To assess the potential biophysical effects of afforestation, a set of extreme experiments in an Earth system model of intermediate complexity, the McGill Paleoclimate Model-2 (MPM-2), is designed. Model results show that latitudinal afforestation not only has a local warming effect but also induces global and remote warming over regions beyond the forcing originating areas. Precipitation increases in the northern hemisphere and decreases in southern hemisphere in response to afforestation. The local surface warming over the forcing originating areas in northern hemisphere is driven by decreases in surface albedo and increases in precipitation. The remote surface warming in southern hemisphere is induced by decreases in surface albedo and precipitation. The results suggest that the potential impact of afforestation on regional and global climate depended critically on the location of the forest expansion. That is, afforestation in 0 degrees-15 degrees N leaves a relatively minor impact on global and regional temperature; afforestation in 45 degrees-60 degrees N results in a significant global warming, while afforestation in 30 degrees-45 degrees N results in a prominent regional warming. In addition, the afforestation leads to a decrease in annual mean meridional oceanic heat transport with a maximum decrease in forest expansion of 30 degrees-45 degrees N. These results can help to compare afforestation effects and find areas where afforestation mitigates climate change most effectively combined with its carbon drawdown effects.</t>
  </si>
  <si>
    <t>[Wang, Ye] Nanjing Univ Aeronaut &amp; Astronaut, Coll Civil Aviat, Nanjing 210016, Jiangsu, Peoples R China; [Wang, Ye; Yan, Xiaodong] Chinese Acad Sci, Key Lab Reg Climate Environm East Asia, Beijing 10029, Peoples R China; [Yan, Xiaodong] Beijing Normal Univ, State Key Lab Earth Surface Proc &amp; Resource Ecol, Coll Global Change &amp; Earth Syst Sci, Beijing 100875, Peoples R China; [Wang, Zhaomin] British Antarctic Survey, Cambridge CB3 0ET, England</t>
  </si>
  <si>
    <t>Nanjing University of Aeronautics &amp; Astronautics; Chinese Academy of Sciences; Beijing Normal University; UK Research &amp; Innovation (UKRI); Natural Environment Research Council (NERC); NERC British Antarctic Survey</t>
  </si>
  <si>
    <t>NUAA (Nanjing University of Aeronautics and Astronautics) Youth Science and Technology Innovation Foundation [3082013NS2013068]; NERC [bas0100028] Funding Source: UKRI; Natural Environment Research Council [bas0100028] Funding Source: researchfish</t>
  </si>
  <si>
    <t>NUAA (Nanjing University of Aeronautics and Astronautics) Youth Science and Technology Innovation Foundation; NERC(UK Research &amp; Innovation (UKRI)Natural Environment Research Council (NERC)); Natural Environment Research Council(UK Research &amp; Innovation (UKRI)Natural Environment Research Council (NERC))</t>
  </si>
  <si>
    <t>This research was supported by NUAA (Nanjing University of Aeronautics and Astronautics) Youth Science and Technology Innovation Foundation (grant no. 3082013NS2013068).</t>
  </si>
  <si>
    <t>SPRINGER WIEN</t>
  </si>
  <si>
    <t>WIEN</t>
  </si>
  <si>
    <t>SACHSENPLATZ 4-6, PO BOX 89, A-1201 WIEN, AUSTRIA</t>
  </si>
  <si>
    <t>0177-798X</t>
  </si>
  <si>
    <t>1434-4483</t>
  </si>
  <si>
    <t>THEOR APPL CLIMATOL</t>
  </si>
  <si>
    <t>Theor. Appl. Climatol.</t>
  </si>
  <si>
    <t>10.1007/s00704-013-1085-8</t>
  </si>
  <si>
    <t>AT3CM</t>
  </si>
  <si>
    <t>WOS:000344813300012</t>
  </si>
  <si>
    <t>Brümmer, B; Kirchgässner, A; Müller, G</t>
  </si>
  <si>
    <t>Bruemmer, Burghard; Kirchgaessner, Amelie; Mueller, Gerd</t>
  </si>
  <si>
    <t>The atmospheric boundary layer structure over the open and ice-covered Baltic Sea: in situ measurements compared to simulations with the regional model REMO</t>
  </si>
  <si>
    <t>WATER-BUDGET</t>
  </si>
  <si>
    <t>The regional model REMO, which is the atmospheric component of the coupled atmosphere-ice-ocean-land climate model system BALTIMOS, is tested with respect to its ability to simulate the atmospheric boundary layer over the open and ice-covered Baltic Sea. REMO simulations are compared to ship, radiosonde, and aircraft observations taken during eight field experiments. The main results of the comparisons are: (1) The sharpness and strength of the temperature inversion are underestimated by REMO. Over open water, this is connected with an overestimation of cloud coverage and moisture content above the inversion. (2) The vertical temperature stratification in the lowest 200 m over sea ice is too stable. (3) The horizontal inhomogeneity of sea ice concentration as observed by aircraft could not be properly represented by the prescribed ice concentration in REMO; large differences in the surface heat fluxes arise especially under cold-air advection conditions. The results of the comparisons suggest a reconsideration of the parameterization of subgrid-scale vertical exchange both under unstable und stable conditions.</t>
  </si>
  <si>
    <t>[Bruemmer, Burghard; Mueller, Gerd] Univ Hamburg, Inst Meteorol, Hamburg, Germany; [Kirchgaessner, Amelie] British Antarctic Survey, Cambridge CB3 0ET, England</t>
  </si>
  <si>
    <t>University of Hamburg; UK Research &amp; Innovation (UKRI); Natural Environment Research Council (NERC); NERC British Antarctic Survey</t>
  </si>
  <si>
    <t>Brümmer, B (corresponding author), Univ Hamburg, Inst Meteorol, Hamburg, Germany.</t>
  </si>
  <si>
    <t>burghard.bruemmer@zmaw.de</t>
  </si>
  <si>
    <t>Kirchgaessner, Amelie/JGL-9010-2023</t>
  </si>
  <si>
    <t>Kirchgaessner, Amelie/0000-0001-7483-3652</t>
  </si>
  <si>
    <t>German Ministry of Research and Development; Natural Environment Research Council [bas0100023] Funding Source: researchfish; NERC [bas0100023] Funding Source: UKRI</t>
  </si>
  <si>
    <t>German Ministry of Research and Development; Natural Environment Research Council(UK Research &amp; Innovation (UKRI)Natural Environment Research Council (NERC)); NERC(UK Research &amp; Innovation (UKRI)Natural Environment Research Council (NERC))</t>
  </si>
  <si>
    <t>This paper was supported by the German Ministry of Research and Development under grant DEKLIM/BALTIMOS. We thank Jouko Launiainen from the Finnish Institute of Marine Research in Helsinki for preparing the RV Aranda data and Philip Lorenz from the Max-Planck-Institute for Meteorology in Hamburg for preparing the REMO simulations.</t>
  </si>
  <si>
    <t>10.1007/s00704-009-0177-y</t>
  </si>
  <si>
    <t>AT7FS</t>
  </si>
  <si>
    <t>WOS:000345102900005</t>
  </si>
  <si>
    <t>Otero, RA; Jimenez-Huidobro, P; Soto-Acuña, S; Yury-Yáñez, RE</t>
  </si>
  <si>
    <t>Otero, Rodrigo A.; Jimenez-Huidobro, Paulina; Soto-Acuna, Sergio; Yury-Yanez, Roberto E.</t>
  </si>
  <si>
    <t>Evidence of a giant helmeted frog (Australobatrachia, Calyptocephalellidae) from Eocene levels of the Magallanes Basin, southernmost Chile</t>
  </si>
  <si>
    <t>JOURNAL OF SOUTH AMERICAN EARTH SCIENCES</t>
  </si>
  <si>
    <t>Helmeted frog; Calyptocephalellidae; Gigantism; Paleogene; Weddellian province</t>
  </si>
  <si>
    <t>PALEOGENE PIPID FROG; EARLY PLIOCENE; SOUTH-AMERICA; ANURA; PATAGONIA; OLIGOCENE; ONTOGENY; RECORD; GENUS</t>
  </si>
  <si>
    <t>The fossil record of frogs from South America has improved dramatically in recent years. Here we describe a distal fragment of a large-sized humerus recovered from the middle-to-upper Eocene of southernmost Chile. The large distally located ventral condyle, and the presence of two epicondyles (radial and ulnar) confirm its identity as an anuran humerus. Comparisons with humeri from extant and fossil South American neobatrachians suggest a phylogentic affinity to calyptocephalellids (Australobatrachia). If correct, the new fossil represents the first occurrence of this family in high latitudes of South America and the first amphibian recovered from the Magallanes (=Austral) Basin. The humerus also represents evidence for one of the largest frogs known to date from anywhere in the world. Such exceptional body size may reflect an unusually hot and damp palaeoenvironment. (C) 2014 Elsevier Ltd. All rights reserved.</t>
  </si>
  <si>
    <t>[Otero, Rodrigo A.; Soto-Acuna, Sergio] Univ Chile, Fac Ciencias, Dept Biol, Red Paleontol UChile,Lab Ontogenia &amp; Filogenia, Santiago, Chile; [Jimenez-Huidobro, Paulina] Univ Alberta, Dept Biol Sci, Edmonton, AB T6G 2E9, Canada; [Soto-Acuna, Sergio] Museo Nacl Hist Nat, Area Paleontol, Santiago, Chile; [Yury-Yanez, Roberto E.] Univ Chile, Fac Ciencias, Dept Ciencias Ecol, Lab Zool Vertebrados, Santiago, Chile</t>
  </si>
  <si>
    <t>Universidad de Chile; University of Alberta; Universidad de Chile</t>
  </si>
  <si>
    <t>Otero, RA (corresponding author), Univ Chile, Fac Ciencias, Dept Biol, Red Paleontol UChile,Lab Ontogenia &amp; Filogenia, Santiago, Chile.</t>
  </si>
  <si>
    <t>otero2112@gmail.com; jimenezh@ualberta.ca; arcosaurio@gmail.com; robyury@ug.uchile.cl</t>
  </si>
  <si>
    <t>Soto Acuna, Sergio/0000-0002-9311-9355; Otero, Rodrigo/0000-0002-3046-2973</t>
  </si>
  <si>
    <t>Antarctic Ring Project (Anillos de Ciencia Antartica, Conicyt-Chile) [ACT-105]; Universidad de Chile [Domeyko II UR-C12/1]</t>
  </si>
  <si>
    <t>Antarctic Ring Project (Anillos de Ciencia Antartica, Conicyt-Chile)(Comision Nacional de Investigacion Cientifica y Tecnologica (CONICYT)CONICYT PIA/ANILLOS); Universidad de Chile</t>
  </si>
  <si>
    <t>Fieldwork, logistics and research were supported by the Antarctic Ring Project (Anillos de Ciencia Antartica ACT-105, Conicyt-Chile). Jose Luis Oyarzun (Puerto Natales) is especially thanked for the logistics and help in the field. Additional support was provided by the Domeyko II UR-C12/1 grant Red Paleontologica U-Chile of the Universidad de Chile. The authors specially thank to Dr. M. Sallaberry (Laboratorio de Zoologia de Vertebrados, Universidad de Chile) for granting access to osteological material of extant amphibians. Thanks to Dr. M. Jones (University of Adelaide) for reviewing an early version of the manuscript. Dr. J. D. Gardner (curator of Paleoherpethology, Royal Tyrrell Museum of Paleontology, Canada) is especially acknowledged for the valuable comments and suggestions that improved this manuscript.</t>
  </si>
  <si>
    <t>0895-9811</t>
  </si>
  <si>
    <t>J S AM EARTH SCI</t>
  </si>
  <si>
    <t>J. South Am. Earth Sci.</t>
  </si>
  <si>
    <t>10.1016/j.jsames.2014.06.010</t>
  </si>
  <si>
    <t>AQ0NI</t>
  </si>
  <si>
    <t>WOS:000342479600009</t>
  </si>
  <si>
    <t>Besson, DZ; Kennedy, DM; Ratzlaff, K; Young, R</t>
  </si>
  <si>
    <t>Besson, D. Z.; Kennedy, D. M.; Ratzlaff, K.; Young, R.</t>
  </si>
  <si>
    <t>Design, modeling and testing of the Askaryan Radio Array South Pole autonomous renewable power stations</t>
  </si>
  <si>
    <t>Antarctica; Askaryan Radio Array; Autonomous power</t>
  </si>
  <si>
    <t>We describe the design, construction and operation of the Askaryan Radio Array (ARA) Autonomous Renewable Power Stations, initially installed at the South Pole in December, 2010 with the goal of providing an independently operating 100W power source capable of year-round operation in extreme environments. In addition to particle astrophysics applications at the South Pole, such a station can easily be, and has since been, extended to operation elsewhere, as described herein. (C) 2014 Elsevier B.V. All rights reserved,</t>
  </si>
  <si>
    <t>[Besson, D. Z.; Kennedy, D. M.] Univ Kansas, Dept Phys &amp; Astron, Lawrence, KS 66045 USA; [Besson, D. Z.] Moscow Engn &amp; Phys Inst, Moscow 115409, Russia; [Ratzlaff, K.; Young, R.] Univ Kansas, Instrumentat Design Lab, Lawrence, KS 66045 USA</t>
  </si>
  <si>
    <t>University of Kansas; National Research Nuclear University MEPhI (Moscow Engineering Physics Institute); University of Kansas</t>
  </si>
  <si>
    <t>Kennedy, DM (corresponding author), Univ Kansas, Dept Phys &amp; Astron, 1082 Malott Hall 1251 Wescoe Hall Dr, Lawrence, KS 66045 USA.</t>
  </si>
  <si>
    <t>zedlam@ku.edu; dmkennedy@ku.edu; ratzlaff@ku.edu; rwyoung@ku.edu</t>
  </si>
  <si>
    <t>Ratzlaff, Kenneth/G-6221-2017</t>
  </si>
  <si>
    <t>National Science Foundation [NSF OPP-1002483]; Russian Ministry of Education and Science; Megagrant program of Russia [14.A12.31.0006]</t>
  </si>
  <si>
    <t>National Science Foundation(National Science Foundation (NSF)); Russian Ministry of Education and Science(Ministry of Education and Science, Russian Federation); Megagrant program of Russia</t>
  </si>
  <si>
    <t>The authors would like to acknowledge the support of the National Science Foundation under Grant NSF OPP-1002483 in addition to technical and logistical support provided by Raytheon Polar Services Corporation, Antarctic Support Contract, South Pole Station, and Ice-Cube personnel. D.Z.B acknowledges support from the Russian Ministry of Education and Science. This work has been supported by Megagrant 2013 program of Russia, agreement 14.A12.31.0006 from 24.06.2013.</t>
  </si>
  <si>
    <t>10.1016/j.nima.2014.06.005</t>
  </si>
  <si>
    <t>AP3ON</t>
  </si>
  <si>
    <t>WOS:000341986200067</t>
  </si>
  <si>
    <t>Nascimento, JM; Oliveira, MDL; Franco, OL; Migliolo, L; de Melo, CP; Andrade, CAS</t>
  </si>
  <si>
    <t>Nascimento, Jessica M.; Oliveira, Maria D. L.; Franco, Octavio L.; Migliolo, Ludovico; de Melo, Celso P.; Andrade, Cesar A. S.</t>
  </si>
  <si>
    <t>Elucidation of mechanisms of interaction of a multifunctional peptide Pa-MAP with lipid membranes</t>
  </si>
  <si>
    <t>BIOCHIMICA ET BIOPHYSICA ACTA-BIOMEMBRANES</t>
  </si>
  <si>
    <t>Pleuronectes americanus; Multifunctional peptide; Antimicrobial; Membrane; Electrical impedance spectroscopy</t>
  </si>
  <si>
    <t>ELECTROCHEMICAL IMPEDANCE SPECTROSCOPY; HOST-DEFENSE PEPTIDES; ANTIMICROBIAL PEPTIDES; BILAYERS; ORGANIZATION; ALAMETHICIN; STABILITY; AFFINITY; DESIGN; LL-37</t>
  </si>
  <si>
    <t>This work aims to investigate the possible mechanism of action of the homologue peptide Pa-MAP based on the Antarctic fish Pleuronectes americanus, through a study by electrical impedance spectroscopy (EIS) of models of bilayer lipid membranes supported (BLM-s) on solid substrates. For comparison and validation of the data obtained by EIS, we also conducted a study evaluating the human peptide LL-37, whose mechanism of action is well described in the literature: its dielectric response was found to be similar to that of Pa-MAP. The results obtained indicate that Pa-MAP has a good potential for use as a membrane-disrupting peptide and also suggest that the corresponding mechanism of action occurs according to the carpet model followed by a detergent-like effect. The addition of either one of these peptides at different concentrations resulted in a drastic decrease in the membrane's resistance, after just 1 min of exposure. Additionally, it was seen that the peptides Pa-MAP and LL-37 may act on membranes with different charges, in an indication of a possible broad spectrum antimicrobial activity. These interactions with different membrane compositions have been attributed to the peptides' structure, mainly due to the presence of many hydrophobic amino acid residues, as observed by in silico studies. Here, we describe the Pa-MAP mechanism of action for the first time. Furthermore, we report the data demonstrating that EIS can be used for studies of peptide-membranes interaction, even when small changes on the surface of the electrode can be detected. (C) 2014 Elsevier B.V. All rights reserved.</t>
  </si>
  <si>
    <t>[Nascimento, Jessica M.; Andrade, Cesar A. S.] Univ Fed Pernambuco, Programa Posgrad Inovacao Terapeut, BR-50670901 Recife, PE, Brazil; [Oliveira, Maria D. L.; Andrade, Cesar A. S.] Univ Fed Pernambuco, Dept Bioquim, BR-50670901 Recife, PE, Brazil; [Franco, Octavio L.; Migliolo, Ludovico] Univ Catol Brasilia, Ctr Anal Prote &amp; Bioquim Brasilia, Brasilia, DF, Brazil; [de Melo, Celso P.] Univ Fed Pernambuco, Dept Fis, BR-50670901 Recife, PE, Brazil</t>
  </si>
  <si>
    <t>Universidade Federal de Pernambuco; Universidade Federal de Pernambuco; Universidade Federal de Pernambuco</t>
  </si>
  <si>
    <t>Andrade, CAS (corresponding author), Univ Fed Pernambuco, Dept Bioquim, BR-50670901 Recife, PE, Brazil.</t>
  </si>
  <si>
    <t>csrandrade@gmail.com</t>
  </si>
  <si>
    <t>Franco, Octavio L/T-3020-2017; MIGLIOLO, LUDOVICO/AAV-6913-2021; Oliveira, Maria/AAM-4055-2020; Andrade, Cesar/ABF-4362-2021; Migliolo, Ludovico/E-8775-2015; de Melo, Celso/I-3418-2015</t>
  </si>
  <si>
    <t>MIGLIOLO, LUDOVICO/0000-0002-6606-2189; Migliolo, Ludovico/0000-0002-6606-2189; Souza de Andrade, Cesar Augusto/0000-0002-3271-2817; de Melo, Celso/0000-0002-2715-2448; Franco, Octavio/0000-0001-9546-0525; Lima de Oliveira, Maria Danielly/0000-0002-8572-4846</t>
  </si>
  <si>
    <t>Rede de Nanobiotecnologia/CAPES; INCT_IF (Institut Nacional de Ciencia e Tecnologia para Inovacao Farmaceutica); CNPq [310305/2012-8, 310361/2012-5]; FAPDF; FACEPE; CAPES</t>
  </si>
  <si>
    <t>Rede de Nanobiotecnologia/CAPES; INCT_IF (Institut Nacional de Ciencia e Tecnologia para Inovacao Farmaceutica); CNPq(Conselho Nacional de Desenvolvimento Cientifico e Tecnologico (CNPQ)); FAPDF(Fundacao de Apoio a Pesquisa do Distrito Federal (FAPDF)); FACEPE(Fundacao de Amparo a Ciencia e Tecnologia do Estado de Pernambuco (FACEPE)); CAPES(Coordenacao de Aperfeicoamento de Pessoal de Nivel Superior (CAPES))</t>
  </si>
  <si>
    <t>The authors are grateful for the support from the Rede de Nanobiotecnologia/CAPES, INCT_IF (Institut Nacional de Ciencia e Tecnologia para Inovacao Farmaceutica), CNPq (grant 310305/2012-8 and 310361/2012-5), FAPDF and FACEPE. J.M. Nascimento would like to thank CAPES for a PhD scholarship. Moreover, the authors are also grateful for the technical assistance of Prof. Etelino F. de Melo from the Instituto Federal Tecnologico de Alagoas for SEM measurements.</t>
  </si>
  <si>
    <t>0005-2736</t>
  </si>
  <si>
    <t>1879-2642</t>
  </si>
  <si>
    <t>BBA-BIOMEMBRANES</t>
  </si>
  <si>
    <t>Biochim. Biophys. Acta-Biomembr.</t>
  </si>
  <si>
    <t>10.1016/j.bbamem.2014.08.002</t>
  </si>
  <si>
    <t>AQ0MM</t>
  </si>
  <si>
    <t>WOS:000342477400015</t>
  </si>
  <si>
    <t>Song, Y; Yu, YQ; Lin, PF</t>
  </si>
  <si>
    <t>Song Yi; Yu Yongqiang; Lin Pengfei</t>
  </si>
  <si>
    <t>The hiatus and accelerated warming decades in CMIP5 simulations</t>
  </si>
  <si>
    <t>ADVANCES IN ATMOSPHERIC SCIENCES</t>
  </si>
  <si>
    <t>global warming; decadal variability; CMIP5; hiatus</t>
  </si>
  <si>
    <t>GLOBAL CLIMATE MODEL; EARTH SYSTEM MODEL; INDONESIAN THROUGHFLOW; NORTH-ATLANTIC; OCEAN CIRCULATION; SOUTHERN-OCEAN; COUPLED MODEL; SEA-LEVEL; VARIABILITY; PACIFIC</t>
  </si>
  <si>
    <t>Observed hiatus or accelerated warming phenomena are compared with numerical simulations from the Coupled Model Intercomparison Project Phase 5 (CMIP5) archives, and the associated physical mechanisms are explored based on the CMIP5 models. Decadal trends in total ocean heat content (OHC) are strongly constrained by net top-of-atmosphere (TOA) radiation. During hiatus decades, most CMIP5 models exhibit a significant decrease in the SST and upper OHC and a significant increase of heat penetrating into the subsurface or deep ocean, opposite to the accelerated warming decades. The shallow meridional overturning of the Pacific subtropical cell experiences a significant strengthening (slowdown) for the hiatus (accelerated warming) decades associated with the strengthened (weakened) trade winds over the tropical Pacific. Both surface heating and ocean dynamics contribute to the decadal changes in SST over the Indian Ocean, and the Indonesian Throughflow has a close relationship with the changes of subsurface temperature in the Indian Ocean. The Atlantic Meridional Overturing Circulation (Antarctic Bottom Water) tends to weaken (strengthen) during hiatus decades, opposite to the accelerated warming decades. In short, the results highlight the important roles of air-sea interactions and ocean circulations for modulation of surface and subsurface temperature.</t>
  </si>
  <si>
    <t>[Song Yi; Yu Yongqiang; Lin Pengfei] Chinese Acad Sci, Inst Atmospher Phys, State Key Lab Numer Modeling Atmospher Sci &amp; Geop, Beijing 100029, Peoples R China; [Song Yi] Univ Chinese Acad Sci, Coll Earth Sci, Beijing 100049, Peoples R China</t>
  </si>
  <si>
    <t>Chinese Academy of Sciences; Institute of Atmospheric Physics, CAS; Chinese Academy of Sciences; University of Chinese Academy of Sciences, CAS</t>
  </si>
  <si>
    <t>Yu, YQ (corresponding author), Chinese Acad Sci, Inst Atmospher Phys, State Key Lab Numer Modeling Atmospher Sci &amp; Geop, Beijing 100029, Peoples R China.</t>
  </si>
  <si>
    <t>yyq@lasg.iap.ac.cn</t>
  </si>
  <si>
    <t>Lin, Pengfei/AAJ-5379-2020; Yu, Yongqiang/K-7808-2012</t>
  </si>
  <si>
    <t>Lin, Pengfei/0000-0003-2361-0066; Yu, Yongqiang/0000-0001-8596-3583</t>
  </si>
  <si>
    <t>National Key Program for Developing Basic Sciences [2010CB950502]; Strategic Priority Research Program Climate Change: Carbon Budget and Relevant Issues of the Chinese Academy of Sciences [XDA05110302]; National Natural Science Foundation of China [41376019]; Jiangsu Collaborative Innovation Center for Climate Change</t>
  </si>
  <si>
    <t>National Key Program for Developing Basic Sciences; Strategic Priority Research Program Climate Change: Carbon Budget and Relevant Issues of the Chinese Academy of Sciences(Chinese Academy of Sciences); National Natural Science Foundation of China(National Natural Science Foundation of China (NSFC)); Jiangsu Collaborative Innovation Center for Climate Change</t>
  </si>
  <si>
    <t>We would like to thank the two anonymous reviewers for their comments, which were very helpful in improving the manuscript. This study was jointly supported by the National Key Program for Developing Basic Sciences (Grant No. 2010CB950502), the Strategic Priority Research Program Climate Change: Carbon Budget and Relevant Issues of the Chinese Academy of Sciences (Grant No. XDA05110302), the National Natural Science Foundation of China (Grant No. 41376019), and the Jiangsu Collaborative Innovation Center for Climate Change.</t>
  </si>
  <si>
    <t>0256-1530</t>
  </si>
  <si>
    <t>1861-9533</t>
  </si>
  <si>
    <t>ADV ATMOS SCI</t>
  </si>
  <si>
    <t>Adv. Atmos. Sci.</t>
  </si>
  <si>
    <t>10.1007/s00376-014-3265-6</t>
  </si>
  <si>
    <t>AP2MW</t>
  </si>
  <si>
    <t>WOS:000341907500007</t>
  </si>
  <si>
    <t>Peña-Rodríguez, S; Pontevedra-Pombal, X; Gayoso, EGR; Moretto, A; Mansilla, R; Cutillas-Barreiro, L; Arias-Estévez, M; Nóvoa-Muñoz, JC</t>
  </si>
  <si>
    <t>Pena-Rodriguez, Susana; Pontevedra-Pombal, Xabier; Garcia-Rodeja Gayoso, Eduardo; Moretto, Alicia; Mansilla, Romina; Cutillas-Barreiro, Laura; Arias-Estevez, Manuel; Carlos Novoa-Munoz, Juan</t>
  </si>
  <si>
    <t>Mercury distribution in a toposequence of sub-Antarctic forest soils of Tierra del Fuego (Argentina) as consequence of the prevailing soil processes</t>
  </si>
  <si>
    <t>Sub-Antarctic forest soils; Mercury; Podzolization; Polycyclism; Non-crystalline Al and Fe compounds</t>
  </si>
  <si>
    <t>ORGANIC-MATTER; ATMOSPHERIC DEPOSITION; METHYL MERCURY; METHYLMERCURY; UPLAND; POOLS; COMPLEXATION; GEOCHEMISTRY; ECOSYSTEMS; WATERSHEDS</t>
  </si>
  <si>
    <t>The total content, distribution and assessment of Hg sources in five soils of a toposequence of sub-Antarctic forest soils in Tierra del Fuego were explained as a combination of pedogenetic processes and the interactions between Hg and the soil compounds. The soils of the toposequence were mainly podzols and podzolic soils, strongly acidic (water pH &lt; 5.0), organic matter rich in 0 horizons (239-444 g kg(-1)) and non-crystalline compounds dominate Al and Fe distribution. The total Hg (Hg-T) values ranged between 12 and 375 ng g(-1) and diminished with soil depth although the secondary peaks of the HgT were observed in illuvial (Bhs or Bs) or buried A horizons. The total Hg was significantly correlated to the total contents of C, N and S (r&gt;0.71) and to the contents of the non-crystalline Al and Fe compounds (0.44-0.71), whereas the Hg/C ratio increases with soil depth up to values of 113 mu g Hg g(-1) C. Exogenic Hg, i.e. Hg deposited from the atmosphere (Hg-Exo), constitutes over 87% of the HgT in the 0 and A horizons, whilst lithogenic Hg (Hg) is 36% of the average HgT. Podzolization seems to control the distribution of the HgT in the mid-slope and upslope soils (P480, P590, P630), as suggested by the HgT peaks in the Bhs or Bs horizons, where illuviated organic matter and non-crystalline Al and Fe compounds favour Hg retention. In the downslope soils (P340 and P220), both podzolization and polycyclism (that result in soils formed by two or more different and contrasting processes derived from a substantial change in soil formations factors, that lead to the accumulation of features over their lifetime), seem to influence the HgT depth pattern in light of the high values observed in the A and Bhs horizons of the buried soils. The significant correlation between the Hg/C and C-p/C ratios strengthens the efficiency of humified organic matter to complex Hg, whereas the peaks of the Hg/C ratio in the Bhs and Bs horizons also indicate that Al and Fe compounds are also involved in Hg retention. Polycyclic events, i.e. those contrasting soil processes that lead to different chemical and morphological signatures within the soil profile, could justify high Hg-Lit values in the deeper horizons of the downslope soils, whilst the peaks of Hg-Exo in the Bhs or Bs horizons could be considered to be a consequence of Hg mobilization and the subsequent retention by Al and Fe compounds during podzolization which is supported by the significant correlations of these soil compounds with Hg-Exo. Environmentally, illuvial horizons and buried A horizons could act as a safety mechanism delaying the arrival of Hg to stream waters. (C) 2014 Elsevier B.V. All rights reserved.</t>
  </si>
  <si>
    <t>[Pena-Rodriguez, Susana; Cutillas-Barreiro, Laura; Arias-Estevez, Manuel; Carlos Novoa-Munoz, Juan] Univ Vigo, Fac Ciencias, Area Edafol &amp; Quim Agr, Orense 32004, Spain; [Pontevedra-Pombal, Xabier; Garcia-Rodeja Gayoso, Eduardo] Univ Santiago, Fac Biol, Dept Edafol &amp; Quim Agr, Santiago 15782, Spain; [Moretto, Alicia; Mansilla, Romina] CADIC CONICET, Ctr Austral Invest Cient, RA-9410 Ushuaia, Tierra Del Fueg, Argentina; [Moretto, Alicia] Univ Natl Tierra del Fuego, RA-9410 Ushuaia, Tierra Del Fueg, Argentina</t>
  </si>
  <si>
    <t>Universidade de Vigo; Universidade de Santiago de Compostela; Consejo Nacional de Investigaciones Cientificas y Tecnicas (CONICET)</t>
  </si>
  <si>
    <t>Nóvoa-Muñoz, JC (corresponding author), Univ Vigo, Fac Ciencias, Area Edafol &amp; Quim Agr, As Lagoas S-N, Orense 32004, Spain.</t>
  </si>
  <si>
    <t>edjuanca@uvigo.es</t>
  </si>
  <si>
    <t>Estévez, Manuel Arias/M-8629-2016; García-Rodeja Gayoso, Eduardo/IVV-6279-2023; Pontevedra-Pombal, Xabier/C-7831-2012; Nóvoa-Muñoz, J. C./A-9181-2009</t>
  </si>
  <si>
    <t>Estévez, Manuel Arias/0000-0002-9162-1587; García-Rodeja Gayoso, Eduardo/0000-0002-9553-0711; Pontevedra-Pombal, Xabier/0000-0002-1095-6167; Nóvoa-Muñoz, J. C./0000-0003-3062-4191; Pena-Rodriguez, Susana/0000-0002-0823-3568</t>
  </si>
  <si>
    <t>Fundacion BBVA [BIOCON05/119-CARBOCLIM]; Project PICTO FORESTAL [Resol. ANPCyT 225/07, cod. 36861]; CIA3, FEDER founds through the programme of Consolidation and Arrangement of Research Units from Conselleria de Educacion (Xunta de Galicia); Department of Innovation and Industry (Xunta de Galicia) - Integrated Operational Programme for Galicia of EU</t>
  </si>
  <si>
    <t>Fundacion BBVA(BBVA Foundation); Project PICTO FORESTAL; CIA3, FEDER founds through the programme of Consolidation and Arrangement of Research Units from Conselleria de Educacion (Xunta de Galicia); Department of Innovation and Industry (Xunta de Galicia) - Integrated Operational Programme for Galicia of EU</t>
  </si>
  <si>
    <t>This research was partially funded by Fundacion BBVA (Project BIOCON05/119-CARBOCLIM) and by the Project PICTO FORESTAL (Resol. ANPCyT 225/07, cod. 36861). The stays of S. Pena-Rodriguez and J. C. Novoa-Munoz in Ushuaia (Argentina) was enabled by the financial support of CIA3 which was granted by FEDER founds through the programme of Consolidation and Arrangement of Research Units from Conselleria de Educacion (Xunta de Galicia). The stay of X. Pontevedra-Pombal in Ushuaia (Argentina) was funded by the Department of Innovation and Industry (Xunta de Galicia) co-financed by the Integrated Operational Programme for Galicia of EU.</t>
  </si>
  <si>
    <t>10.1016/j.geoderma.2014.04.040</t>
  </si>
  <si>
    <t>AN1AS</t>
  </si>
  <si>
    <t>WOS:000340315700015</t>
  </si>
  <si>
    <t>Candy, S; Ziegler, P; Welsford, D</t>
  </si>
  <si>
    <t>Candy, Steven; Ziegler, Philippe; Welsford, Dirk</t>
  </si>
  <si>
    <t>A nonparametric model of empirical length distributions to inform stratification of fishing effort for integrated assessments</t>
  </si>
  <si>
    <t>Length frequency data; Generalised Additive Mixed Models; Fishery stratification</t>
  </si>
  <si>
    <t>FISHERIES STOCK ASSESSMENT; TOOTHFISH; AGE</t>
  </si>
  <si>
    <t>Length frequency data (LFD) are an important input to integrated stock assessments, and statistical tests for variables that significantly influence the length distribution of fish can assist in the definition of effort strata, typically denoted as fisheries or sub-fisheries, in order to account for important systematic differences due to availability and/or gear-specific selectivity of size classes. Here, a nonparametric model of the probability density function of lengths is described which, instead of fitting to LFD directly, is fitted to the set of length quantiles for a pre-determined set of corresponding probabilities p (in this instance 0.05, 0.1-0.9 in 0.1 increments, and 0.95). These length quantile data (LQD) can be constructed with individual hauls as sampling units or after pooling hauls to sampling units defined by combinations of covariates such as gear type, spatial block, depth strata, or the sex of sampled fish. The length quantiles are modelled as a Gaussian response variable using a Generalised Additive Mixed Model (GAMM) with smoothing splines fitted for each combination of the covariates (i.e. gear type, depth strata and sex). Graphical presentation of the fitted splines along with standard error of difference bounds were used to investigate where differences were significant in order to assist in the optimal definition of sub-fisheries. The model has the advantage of greater generality and sensitivity in detecting differences compared to modelling a single quantile such as the median. In addition, fitting splines allows flexible and parsimonious modelling of length distributions of any shape. The model is demonstrated using LQD from commercial fishing for Patagonian toothfish at Heard Island. Crown Copyright (C) 2014 Published by Elsevier B.V. All rights reserved.</t>
  </si>
  <si>
    <t>[Candy, Steven; Ziegler, Philippe; Welsford, Dirk] Australian Antarctic Div, Dept Sustainabil Environm Water Populat &amp; Communi, Kingston, Tas 7050, Australia</t>
  </si>
  <si>
    <t>Candy, S (corresponding author), Australian Antarctic Div, Dept Sustainabil Environm Water Populat &amp; Communi, 203 Channel Highway, Kingston, Tas 7050, Australia.</t>
  </si>
  <si>
    <t>steve.candy@aad.gov.au</t>
  </si>
  <si>
    <t>Welsford, Dirk/0000-0001-5379-5052; Ziegler, Philippe/0000-0001-5940-9394</t>
  </si>
  <si>
    <t>10.1016/j.fishres.2014.05.002</t>
  </si>
  <si>
    <t>AM9SH</t>
  </si>
  <si>
    <t>WOS:000340220800004</t>
  </si>
  <si>
    <t>Brucker, L; Dinnat, EP; Picard, G; Champollion, N</t>
  </si>
  <si>
    <t>Brucker, Ludovic; Dinnat, Emmanuel P.; Picard, Ghislain; Champollion, Nicolas</t>
  </si>
  <si>
    <t>Effect of Snow Surface Metamorphism on Aquarius L-Band Radiometer Observations at Dome C, Antarctica</t>
  </si>
  <si>
    <t>Aquarius; cryosphere; L-band; microwave radiometry</t>
  </si>
  <si>
    <t>MICROWAVE BRIGHTNESS TEMPERATURE; MODELING TIME-SERIES; PLATEAU; EMISSION; ACCUMULATION; FIELD</t>
  </si>
  <si>
    <t>The Antarctic Plateau presents ideal characteristics to study the relationship between microwave observations and snow/ice properties. It is also a promising target for radiometer calibration and sensor intercalibration, which are critical for applications requiring subkelvin accuracy, such as sea surface salinity retrievals. This paper presents the spaceborne Aquarius L-band radiometric observations collected since August 2011 over the Antarctic Plateau, and it focuses on their temporal evolutions at Dome C (75.1 degrees S, 123.35 degrees E). Aquarius operates three radiometers with a sensitivity of 0.15 K (over the oceans), allowing us to analyze small variations in brightness temperature (TB) and changes with incidence angles. Over the Antarctic Plateau, Aquarius TBs have a relatively low annual standard deviation (0.2-0.9 K) where melting never occurs. However, the analysis of the TB time series at Dome C revealed significant variations (up to 2.5 K) in summer. First, these variations are compared with a remote sensing grain index (GI) based on high-frequency (89 and 150 GHz) shallow-penetration TB channels. Variations in the ratio of TBs observed at horizontal and vertical polarizations are synchronous with GI changes. Second, Aquarius TB variations are compared with the presence of hoar crystals on the surface identified using surface-based near-infrared photographs. The largest and longest changes in TBs correspond to periods with hoar crystals on the surface. Therefore, in spite of the deep penetration of the L-band radiation, evolutions of the snow properties near the surface, which usually change rapidly and irregularly, do influence L-band observations. Collection of accurate snow surface measurements and thorough analyses of the L-band observations are thus needed to use the Antarctic Plateau as a calibration/inter-calibration target.</t>
  </si>
  <si>
    <t>[Brucker, Ludovic; Dinnat, Emmanuel P.] NASA, Goddard Space Flight Ctr, Cryospher Sci Lab, Greenbelt, MD 20771 USA; [Brucker, Ludovic] Univ Space Res Assoc, Goddard Earth Sci Technol &amp; Res Studies &amp; Invest, Columbia, MD 21044 USA; [Dinnat, Emmanuel P.] Chapman Univ, Sch Earth &amp; Environm Sci, Orange, CA 92866 USA; [Picard, Ghislain; Champollion, Nicolas] Univ Grenoble Alpes, CNRS, Lab Glaciol &amp; Geophys Environm, F-38041 Grenoble, France</t>
  </si>
  <si>
    <t>National Aeronautics &amp; Space Administration (NASA); NASA Goddard Space Flight Center; Universities Space Research Association (USRA); Chapman University System; Chapman University; Centre National de la Recherche Scientifique (CNRS); Communaute Universite Grenoble Alpes; Universite Grenoble Alpes (UGA)</t>
  </si>
  <si>
    <t>Brucker, L (corresponding author), NASA, Goddard Space Flight Ctr, Cryospher Sci Lab, Greenbelt, MD 20771 USA.</t>
  </si>
  <si>
    <t>ludovic.brucker@nasa.gov; emmanuel.dinnat@nasa.gov; ghislain.picard@lgge.obs.ujf-grenoble.fr; nicolas.champollion@lgge.obs.ujf-grenoble.fr</t>
  </si>
  <si>
    <t>Brucker, Ludovic/L-5412-2019; Champollion, Nicolas/U-4188-2017; Brucker, Ludovic/A-8029-2010; Picard, Ghislain/D-4246-2013; Champollion, Nicolas/B-7921-2014; Dinnat, Emmanuel/D-7064-2012; Brucker, Ludovic/ACJ-3763-2022</t>
  </si>
  <si>
    <t>Brucker, Ludovic/0000-0001-7102-8084; Picard, Ghislain/0000-0003-1475-5853; Champollion, Nicolas/0000-0001-7988-4694; Dinnat, Emmanuel/0000-0001-9003-1182;</t>
  </si>
  <si>
    <t>10.1109/TGRS.2014.2312102</t>
  </si>
  <si>
    <t>AN0MN</t>
  </si>
  <si>
    <t>WOS:000340278800051</t>
  </si>
  <si>
    <t>Ban, NC; Maxwell, SM; Dunn, DC; Hobday, AJ; Bax, NJ; Ardron, J; Gjerde, KM; Game, ET; Devillers, R; Kaplan, DM; Dunstan, PK; Halpin, PN; Pressey, RL</t>
  </si>
  <si>
    <t>Ban, Natalie C.; Maxwell, Sara M.; Dunn, Daniel C.; Hobday, Alistair J.; Bax, Nicholas J.; Ardron, Jeff; Gjerde, Kristina M.; Game, Edward T.; Devillers, Rodolphe; Kaplan, David M.; Dunstan, Piers K.; Halpin, Patrick N.; Pressey, Robert L.</t>
  </si>
  <si>
    <t>Better integration of sectoral planning and management approaches for the interlinked ecology of the open oceans</t>
  </si>
  <si>
    <t>High seas; Areas beyond national jurisdiction; Marine conservation; Sustainable fisheries; Marine protected areas; Benthic-pelagic interlinkages</t>
  </si>
  <si>
    <t>MARINE PROTECTED AREAS; FORAGING BEHAVIOR; NORTH PACIFIC; BY-CATCH; CONSERVATION; ATLANTIC; HABITAT; TUNA; BIODIVERSITY; CHALLENGES</t>
  </si>
  <si>
    <t>Open oceans are one of the least protected, least studied and most inadequately managed ecosystems on Earth. Three themes were investigated that differentiate the open ocean (areas beyond national jurisdiction and deep area within exclusive economic zones) from other realms and must be considered when developing planning and management options: ecosystem interactions, especially between benthic and pelagic systems; potential effects of human activities in open oceans on ecological linkages; and policy context and options. A number of key ecological factors differentiate open oceans from coastal systems for planners and managers: (1) many species are widely distributed and, especially for those at higher trophic levels, wide ranging; (2) the sizes and boundaries of biogeographical domains (patterns of co-occurrence of species, habitats and ecosystem processes) vary significantly by depth; (3) habitat types exhibit a wide range of stabilities, from ephemeral (e.g., surface frontal systems) to hyper-stable (e.g., deep sea); and (4) vertical and horizontal linkages are prevalent. Together, these ecological attributes point to interconnectedness between open ocean habitats across large spatial scales. Indeed, human activities - especially fishing, shipping, and potentially deep-sea mining and oil and gas extraction - have effects far beyond the parts of the ocean in which they operate. While managing open oceans in an integrated fashion will be challenging, the ecological characteristics of the system demand it. A promising avenue forward is to integrate aspects of marine spatial planning (MSP), systematic conservation planning (SCP), and adaptive management. These three approaches to planning and management need to be integrated to meet the unique needs of open ocean systems, with MSP providing the means to meet a diversity of stakeholder needs, SCP providing the structured process to determine and prioritise those needs and appropriate responses, and adaptive management providing rigorous monitoring and evaluation to determine whether actions or their modifications meet both ecological and defined stakeholder needs. The flexibility of MSP will be enhanced by the systematic approach of SCP, while the rigorous monitoring of adaptive management will enable continued improvement as new information becomes available and further experience is gained. (C) 2013 Elsevier Ltd. All rights reserved.</t>
  </si>
  <si>
    <t>[Ban, Natalie C.; Devillers, Rodolphe; Pressey, Robert L.] James Cook Univ, Australian Res Council Ctr Excellence Coral Reef, Townsville, Qld 4811, Australia; [Ban, Natalie C.] Univ Victoria, Sch Environm Studies, Victoria, BC V8W 3R4, Canada; [Maxwell, Sara M.] Stanford Univ, Hopkins Marine Stn, Pacific Grove, CA 93950 USA; [Maxwell, Sara M.] Marine Conservat Inst, Seattle, WA 98103 USA; [Dunn, Daniel C.; Halpin, Patrick N.] Duke Univ, Marine Geospatial Ecol Lab, Beaufort, NC 28516 USA; [Hobday, Alistair J.; Bax, Nicholas J.; Dunstan, Piers K.] CSIRO Wealth Oceans Flagship, Hobart, Tas 7001, Australia; [Bax, Nicholas J.] Univ Tasmania, Inst Marine &amp; Antarctic Studies, Hobart, Tas 7001, Australia; [Ardron, Jeff] Inst Adv Sustainabil Studies, D-14467 Potsdam, Germany; [Gjerde, Kristina M.] IUCN Global Marine &amp; Polar Programme, Cambridge, MA 02138 USA; [Gjerde, Kristina M.] World Commiss Protected Areas, Cambridge, MA 02138 USA; [Game, Edward T.] Nature Conservancy, Conservat Sci, West End, Qld 4101, Australia; [Devillers, Rodolphe] Mem Univ Newfoundland, Dept Geog, St John, NF A1B 3X9, Canada; [Kaplan, David M.] Univ Montpellier 2, IFREMER, UMR EME 212, IRD, F-34203 Sete, France</t>
  </si>
  <si>
    <t>James Cook University; University of Victoria; Stanford University; Duke University; Commonwealth Scientific &amp; Industrial Research Organisation (CSIRO); University of Tasmania; Nature Conservancy; Memorial University Newfoundland; Ifremer; Institut de Recherche pour le Developpement (IRD); Universite de Montpellier</t>
  </si>
  <si>
    <t>Ban, NC (corresponding author), James Cook Univ, Australian Res Council Ctr Excellence Coral Reef, Townsville, Qld 4811, Australia.</t>
  </si>
  <si>
    <t>nban@uvic.ca</t>
  </si>
  <si>
    <t>Ardron, Jeff/ABI-7397-2020; Game, Edward/AAD-2289-2020; Kaplan, David/G-5230-2010; Devillers, Rodolphe/R-3700-2019; Hobday, Alistair/A-1460-2012; Devillers, Rodolphe/AAR-3509-2021; Ban, Natalie C/C-6938-2009; Dunstan, Piers/B-7309-2016; Bax, Nicholas/A-2321-2012</t>
  </si>
  <si>
    <t>Game, Edward/0000-0003-4707-9281; Devillers, Rodolphe/0000-0003-0784-847X; Devillers, Rodolphe/0000-0003-0784-847X; Dunstan, Piers/0000-0002-2568-5945; Bax, Nicholas/0000-0002-9697-4963; Maxwell, Sara/0000-0002-4425-9378; Kaplan, David M./0000-0001-6087-359X; Dunn, Daniel/0000-0001-8932-0681; Ban, Natalie/0000-0002-4682-2144</t>
  </si>
  <si>
    <t>10.1016/j.marpol.2013.11.024</t>
  </si>
  <si>
    <t>WOS:000338607800017</t>
  </si>
  <si>
    <t>Cecilio, CM; Gherardi, DFM; Souza, RB; Correa-Ramirez, M</t>
  </si>
  <si>
    <t>Cecilio, C. M.; Gherardi, D. F. M.; Souza, R. B.; Correa-Ramirez, M.</t>
  </si>
  <si>
    <t>Spatio-Temporal Variability of the Eddy Kinetic Energy in the South Atlantic Ocean</t>
  </si>
  <si>
    <t>IEEE GEOSCIENCE AND REMOTE SENSING LETTERS</t>
  </si>
  <si>
    <t>Agulhas eddy corridor (AEC); Agulhas leakage (AL); Eddy kinetic energy (EKE); South Atlantic Ocean (SAO)</t>
  </si>
  <si>
    <t>AGULHAS; CIRCULATION; ALTIMETER; PATHWAYS; CLIMATE; EDDIES</t>
  </si>
  <si>
    <t>The spatio-temporal variability of the eddy kinetic energy (EKE) in the South Atlantic Ocean (SAO) is investigated using 19 years of satellite altimetry observations. The EKE in this region presents different significant frequency modes. The interannual to intrannual cycles dominate the EKE variability spectrum. Spatial patterns of the EKE variance were also determined and associated with the propagation of the Agulhas Current eddies across the SAO. At the annual frequency, EKE anomalies are generated in the Agulhas leakage (AL) region and propagate westward. The interannual signal was associated with the Antarctic oscillation and displays a stationary spatial oscillation pattern in the Agulhas eddy corridor (AEC). This is the first time that a full spectral analysis of the EKE variability in the SAO is produced. Results show that the AEC is an important feature in the SAO, with low (high) frequencies associated to the west (east) part of the basin. The AL is a significant source of mesoscale variability to the South Atlantic subtropical gyre.</t>
  </si>
  <si>
    <t>[Cecilio, C. M.; Gherardi, D. F. M.] Natl Inst Space Res, BR-12227010 Sao Jose Dos Campos, SP, Brazil; [Souza, R. B.] Natl Inst Space Res, BR-97105970 Santa Maria, RS, Brazil; [Correa-Ramirez, M.] Pontificia Univ Catolica Valparaiso, Valparaiso, Chile</t>
  </si>
  <si>
    <t>Instituto Nacional de Pesquisas Espaciais (INPE); Instituto Nacional de Pesquisas Espaciais (INPE); Pontificia Universidad Catolica de Valparaiso</t>
  </si>
  <si>
    <t>Cecilio, CM (corresponding author), Natl Inst Space Res, BR-12227010 Sao Jose Dos Campos, SP, Brazil.</t>
  </si>
  <si>
    <t>catarinacecilio@gmail.com; douglas@dsr.inpe.br; ronald@dsr.inpe.br; marco.correa.r@gmail.com</t>
  </si>
  <si>
    <t>Correa, Marco/L-6416-2019; de Souza, Ronald Buss/AAP-7586-2021; Souza, Ronald Buss de/R-5867-2016; Gherardi, Douglas Francisco Marcolino/I-1079-2015</t>
  </si>
  <si>
    <t>Correa, Marco/0000-0002-4714-9553; de Souza, Ronald Buss/0000-0003-3346-3370; Souza, Ronald Buss de/0000-0003-3346-3370; Gherardi, Douglas Francisco Marcolino/0000-0003-3471-7213</t>
  </si>
  <si>
    <t>National Institutes of Science and Technology Program Cryosphere Project [CNPq 704222/2009]</t>
  </si>
  <si>
    <t>National Institutes of Science and Technology Program Cryosphere Project</t>
  </si>
  <si>
    <t>The authors would like to thank I. Porto da Silveira, C. S. Fonteles, and the anonymous reviewers for the discussions and suggestions that greatly improved the manuscript. This letter is a contribution for the National Institutes of Science and Technology Program Cryosphere Project (CNPq 704222/2009).</t>
  </si>
  <si>
    <t>1545-598X</t>
  </si>
  <si>
    <t>1558-0571</t>
  </si>
  <si>
    <t>IEEE GEOSCI REMOTE S</t>
  </si>
  <si>
    <t>IEEE Geosci. Remote Sens. Lett.</t>
  </si>
  <si>
    <t>10.1109/LGRS.2014.2317414</t>
  </si>
  <si>
    <t>AI9SV</t>
  </si>
  <si>
    <t>WOS:000337277500032</t>
  </si>
  <si>
    <t>Hill, NA; Barrett, N; Lawrence, E; Hulls, J; Dambacher, JM; Nichol, S; Williams, A; Hayes, KR</t>
  </si>
  <si>
    <t>Hill, Nicole A.; Barrett, Neville; Lawrence, Emma; Hulls, Justin; Dambacher, Jeffrey M.; Nichol, Scott; Williams, Alan; Hayes, Keith R.</t>
  </si>
  <si>
    <t>Quantifying Fish Assemblages in Large, Offshore Marine Protected Areas: An Australian Case Study</t>
  </si>
  <si>
    <t>SPECIES RICHNESS; PERFORMANCE; MANAGEMENT; ABUNDANCE; HOTSPOTS; MAP</t>
  </si>
  <si>
    <t>As the number of marine protected areas (MPAs) increases globally, so does the need to assess if MPAs are meeting their management goals. Integral to this assessment is usually a long-term biological monitoring program, which can be difficult to develop for large and remote areas that have little available fine-scale habitat and biological data. This is the situation for many MPAs within the newly declared Australian Commonwealth Marine Reserve (CMR) network which covers approximately 3.1 million km(2) of continental shelf, slope, and abyssal habitat, much of which is remote and difficult to access. A detailed inventory of the species, types of assemblages present and their spatial distribution within individual MPAs is required prior to developing monitoring programs to measure the impact of management strategies. Here we use a spatially-balanced survey design and non-extractive baited video observations to quantitatively document the fish assemblages within the continental shelf area (a multiple use zone, IUCN VI) of the Flinders Marine Reserve, within the Southeast marine region. We identified distinct demersal fish assemblages, quantified assemblage relationships with environmental gradients (primarily depth and habitat type), and described their spatial distribution across a variety of reef and sediment habitats. Baited videos recorded a range of species from multiple trophic levels, including species of commercial and recreational interest. The majority of species, whilst found commonly along the southern or south-eastern coasts of Australia, are endemic to Australia, highlighting the global significance of this region. Species richness was greater on habitats containing some reef and declined with increasing depth. The trophic breath of species in assemblages was also greater in shallow waters. We discuss the utility of our approach for establishing inventories when little prior knowledge is available and how such an approach may inform future monitoring efforts within the CMR network.</t>
  </si>
  <si>
    <t>[Hill, Nicole A.; Barrett, Neville; Hulls, Justin] Univ Tasmania, Inst Marine &amp; Antarctic Studies, Hobart, Tas, Australia; [Hill, Nicole A.; Barrett, Neville; Hulls, Justin; Dambacher, Jeffrey M.; Hayes, Keith R.] CSIRO, Digital Prod Flagship, Brisbane, Qld, Australia; [Nichol, Scott] Geosci Australia, Canberra, ACT, Australia; [Williams, Alan] CSIRO, Oceans &amp; Atmosphere Flagship, Hobart, Tas, Australia</t>
  </si>
  <si>
    <t>University of Tasmania; Commonwealth Scientific &amp; Industrial Research Organisation (CSIRO); Geoscience Australia; Commonwealth Scientific &amp; Industrial Research Organisation (CSIRO)</t>
  </si>
  <si>
    <t>Hill, NA (corresponding author), Univ Tasmania, Inst Marine &amp; Antarctic Studies, Hobart, Tas, Australia.</t>
  </si>
  <si>
    <t>Nicole.Hill@utas.edu.au</t>
  </si>
  <si>
    <t>Lawrence, Emma/A-5584-2009; Williams, Alan/C-6999-2012; Hill, Nicole/AAI-7323-2021; Barrett, Neville/J-7593-2014; Hayes, Keith/A-4550-2009</t>
  </si>
  <si>
    <t>Williams, Alan/0000-0002-2867-7713; Hill, Nicole/0000-0001-9329-6717; Barrett, Neville/0000-0002-6167-1356; Hayes, Keith/0000-0003-4094-3575</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</si>
  <si>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The funders had no role in study design, data collection and analysis, decision to publish, or preparation of the manuscript.</t>
  </si>
  <si>
    <t>OCT 31</t>
  </si>
  <si>
    <t>e110831</t>
  </si>
  <si>
    <t>10.1371/journal.pone.0110831</t>
  </si>
  <si>
    <t>AS0BN</t>
  </si>
  <si>
    <t>WOS:000343943700048</t>
  </si>
  <si>
    <t>Marcott, SA; Bauska, TK; Buizert, C; Steig, EJ; Rosen, JL; Cuffey, KM; Fudge, TJ; Severinghaus, JP; Ahn, J; Kalk, ML; McConnell, JR; Sowers, T; Taylor, KC; White, JWC; Brook, EJ</t>
  </si>
  <si>
    <t>Marcott, Shaun A.; Bauska, Thomas K.; Buizert, Christo; Steig, Eric J.; Rosen, Julia L.; Cuffey, Kurt M.; Fudge, T. J.; Severinghaus, Jeffery P.; Ahn, Jinho; Kalk, Michael L.; McConnell, Joseph R.; Sowers, Todd; Taylor, Kendrick C.; White, James W. C.; Brook, Edward J.</t>
  </si>
  <si>
    <t>Centennial-scale changes in the global carbon cycle during the last deglaciation</t>
  </si>
  <si>
    <t>NATURE</t>
  </si>
  <si>
    <t>VOSTOK ICE CORE; ATMOSPHERIC CO2; ANTARCTIC ICE; POLAR ICE; CHRONOLOGY AICC2012; GREENLAND; CLIMATE; AIR; OCEAN; AGE</t>
  </si>
  <si>
    <t>Global climate and the concentration of atmospheric carbon dioxide (CO2) are correlated over recent glacial cycles(1,2). The combination of processes responsible for a rise in atmospheric CO2 at the last glacial termination(1,3) (23,000 to 9,000 years ago), however, remains uncertain(1-3). Establishing the timing and rate of CO2 changes in the past provides critical insight into the mechanisms that influence the carbon cycle and helps put present and future anthropogenic emissions in context. Here we present CO2 and methane (CH4) records of the last deglaciation from a new high-accumulation West Antarctic ice core with unprecedented temporal resolution and precise chronology. We show that although low-frequency CO2 variations parallel changes in Antarctic temperature, abrupt CO2 changes occur that have a clear relationship with abrupt climate changes in the Northern Hemisphere. A significant proportion of the direct radiative forcing associated with the rise in atmospheric CO2 occurred in three sudden steps, each of 10 to 15 parts per million. Every step took place in less than two centuries and was followed by no notable change in atmospheric CO2 for about 1,000 to 1,500 years. Slow, millennial-scale ventilation of Southern Ocean CO2-rich, deep-ocean water masses is thought to have been fundamental to the rise in atmospheric CO2 associated with the glacial termination(4), given the strong covariance of CO2 levels and Antarctic temperatures(5). Our data establish a contribution from an abrupt, centennial-scale mode of CO2 variability that is not directly related to Antarctic temperature. We suggest that processes operating on centennial timescales, probably involving the Atlantic meridional overturning circulation, seem to be influencing global carbon-cycle dynamics and are at present not widely considered in Earth system models.</t>
  </si>
  <si>
    <t>[Marcott, Shaun A.; Bauska, Thomas K.; Buizert, Christo; Rosen, Julia L.; Kalk, Michael L.; Brook, Edward J.] Oregon State Univ, Coll Earth Ocean &amp; Atmospher Sci, Corvallis, OR 97331 USA; [Marcott, Shaun A.] Univ Wisconsin Madison, Dept Geosci, Madison, WI 53706 USA; [Steig, Eric J.; Fudge, T. J.] Univ Washington, Dept Earth &amp; Space Sci, Seattle, WA 98195 USA; [Cuffey, Kurt M.] Univ Calif Berkeley, Dept Geog, Berkeley, CA 94720 USA; [Severinghaus, Jeffery P.] Univ Calif San Diego, Scripps Inst Oceanog, San Diego, CA 92037 USA; [Ahn, Jinho] Seoul Natl Univ, Sch Earth &amp; Environm Sci, Seoul 151742, South Korea; [McConnell, Joseph R.; Taylor, Kendrick C.] Nevada Syst Higher Educ, Desert Res Inst, Reno, NV 89512 USA; [Sowers, Todd] Penn State Univ, Earth &amp; Environm Syst Inst, University Pk, PA 16802 USA; [White, James W. C.] Univ Colorado, INSTAAR, Boulder, CO 80309 USA</t>
  </si>
  <si>
    <t>Oregon State University; University of Wisconsin System; University of Wisconsin Madison; University of Washington; University of Washington Seattle; University of California System; University of California Berkeley; University of California System; University of California San Diego; Scripps Institution of Oceanography; Seoul National University (SNU); Nevada System of Higher Education (NSHE); Desert Research Institute NSHE; Pennsylvania Commonwealth System of Higher Education (PCSHE); Pennsylvania State University; Pennsylvania State University - University Park; University of Colorado System; University of Colorado Boulder</t>
  </si>
  <si>
    <t>Marcott, SA (corresponding author), Oregon State Univ, Coll Earth Ocean &amp; Atmospher Sci, Corvallis, OR 97331 USA.</t>
  </si>
  <si>
    <t>smarcott@wisc.edu</t>
  </si>
  <si>
    <t>Brook, Edward/AAB-7807-2021; Marcott, Shaun A/L-7098-2015; Steig, Eric J/G-9088-2015; White, James W.C./A-7845-2009; Taylor, Kendrick/A-3469-2016</t>
  </si>
  <si>
    <t>Marcott, Shaun A/0000-0003-3264-0523; Buizert, Christo/0000-0002-2227-1747; Taylor, Kendrick/0000-0001-8535-1261; Fudge, Tyler/0000-0002-6818-7479; Bauska, Thomas/0000-0003-1901-0367</t>
  </si>
  <si>
    <t>US National Science Foundation (NSF) [0739766-ANT, 1043518-ANT, 1043092-ANT, 0839093-ANT, 1142166-ANT]; NSF [0230396, 0440817, 0944348, 0944266]; NSF Office of Polar Programs through Ice Drilling Program Office; NSF Office of Polar Programs through Ice Drilling Design and Operations group; Korea Meteorological Administration Research and Development Program [CATER 2012-7030]; Directorate For Geosciences; Division Of Polar Programs [0944191] Funding Source: National Science Foundation; Directorate For Geosciences; Office of Polar Programs (OPP) [0944197, 1043167, 0944348, 1043518, 1043522] Funding Source: National Science Foundation; Directorate For Geosciences; Office of Polar Programs (OPP) [1246465, 1043092, 1142166] Funding Source: National Science Foundation; Office Of Internatl Science &amp;Engineering; Office Of The Director [0968391] Funding Source: National Science Foundation</t>
  </si>
  <si>
    <t>US National Science Foundation (NSF)(National Science Foundation (NSF)); NSF(National Science Foundation (NSF)); NSF Office of Polar Programs through Ice Drilling Program Office; NSF Office of Polar Programs through Ice Drilling Design and Operations group; Korea Meteorological Administration Research and Development Program(Korea Meteorological Administration (KMA)); Directorate For Geosciences; Division Of Polar Programs(National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Office Of Internatl Science &amp;Engineering; Office Of The Director(National Science Foundation (NSF)NSF - Office of the Director (OD))</t>
  </si>
  <si>
    <t>This work is supported by the US National Science Foundation (NSF) (grants 0739766-ANT, 1043518-ANT, 1043092-ANT, 0839093-ANT and 1142166-ANT). We appreciate the support of the WAIS Divide Science Coordination Office at the Desert Research Institute (DRI) of Reno, Nevada, and the University of New Hampshire for the collection and distribution of the WAIS Divide ice core and related tasks (NSF grants 0230396, 0440817, 0944348 and 0944266). Additional support for this research came from the NSF Office of Polar Programs through their support of the Ice Drilling Program Office and the Ice Drilling Design and Operations group; the US National Ice Core Laboratory, for curation of the core; Raytheon Polar Services, for logistics support in Antarctica; the 109th New York Air National Guard, for airlift to Antarctica; and the Korea Meteorological Administration Research and Development Program(CATER 2012-7030). We thank T. Alig, J. Edwards and J. Lee for assisting with CO2 and CH4 measurements; the DRI ultratrace ice-core lab, including D. Pasteris, M. Sigl and O. Maselli for their contribution to the aerosol records; and I. Fung for discussions and providing software for carbon uptake calculations.</t>
  </si>
  <si>
    <t>0028-0836</t>
  </si>
  <si>
    <t>1476-4687</t>
  </si>
  <si>
    <t>Nature</t>
  </si>
  <si>
    <t>OCT 30</t>
  </si>
  <si>
    <t>10.1038/nature13799</t>
  </si>
  <si>
    <t>AR8BW</t>
  </si>
  <si>
    <t>WOS:000343801500046</t>
  </si>
  <si>
    <t>Rintoul, SR; Sokolov, S; Williams, MJM; Molino, BP; Rosenberg, M; Bindoff, NL</t>
  </si>
  <si>
    <t>Rintoul, S. R.; Sokolov, S.; Williams, M. J. M.; Molino, B. Pena; Rosenberg, M.; Bindoff, N. L.</t>
  </si>
  <si>
    <t>Antarctic Circumpolar Current transport and barotropic transition at Macquarie Ridge</t>
  </si>
  <si>
    <t>Antarctic Circumpolar Current; Southern Ocean; barotropic; Macquarie Ridge; transport; topographic interaction</t>
  </si>
  <si>
    <t>DYNAMICAL BALANCE; CURRENT SOUTH; MEAN-FLOW; VARIABILITY; TOPOGRAPHY; OCEAN; JETS; CIRCULATION; IMPACT; FLUX</t>
  </si>
  <si>
    <t>Theory and numerical simulations suggest that topographic interactions are central to the dynamics of the Antarctic Circumpolar Current (ACC), but few observations are available to test these ideas. We use direct velocity measurements, satellite altimetry, and an ocean state estimate to investigate the interaction of the ACC with the Macquarie Ridge. Satellite altimeter data show that the Subantarctic Front crosses the ridge through a gap immediately north of Macquarie Island. Yearlong current meter records reveal strong deep mean flow (&gt;0.2ms(-1) at 3000m) and substantial transport (52 8 x 10(6)m(3)s(-1)) in the 50km wide gap. The ACC becomes much more barotropic at the ridge. Acceleration of the deep jet is balanced by the ageostrophic along-gap pressure gradient, convergence of zonal momentum by the mean vertical velocity, and dissipation. The study helps explain how the ACC negotiates large topographic obstacles and highlights the role of local, nonlinear processes in the dynamical balance of the ACC.</t>
  </si>
  <si>
    <t>[Rintoul, S. R.; Sokolov, S.; Bindoff, N. L.] CSIRO, Oceans &amp; Atmosphere Flagship, Hobart, Tas, Australia; [Rintoul, S. R.; Sokolov, S.; Bindoff, N. L.] Ctr Australian Weather &amp; Climate Res, Hobart, Tas, Australia; [Rintoul, S. R.; Sokolov, S.; Molino, B. Pena; Rosenberg, M.; Bindoff, N. L.] Univ Tasmania, Antarctic Climate &amp; Ecosyst Cooperat Res Ctr, Hobart, Tas, Australia; [Williams, M. J. M.] Natl Inst Water &amp; Atmospher Res, Wellington, New Zealand; [Bindoff, N. L.] ARC Ctr Excellence Climate Syst Sci, Hobart, Tas, Australia; [Bindoff, N. L.] Univ Tasmania, Inst Marine &amp; Antarctic Studies, Hobart, Tas, Australia</t>
  </si>
  <si>
    <t>Commonwealth Scientific &amp; Industrial Research Organisation (CSIRO); Commonwealth Scientific &amp; Industrial Research Organisation (CSIRO); University of Tasmania; Antarctic Climate &amp; Ecosystems Cooperative Research Centre (ACE CRC); National Institute of Water &amp; Atmospheric Research (NIWA) - New Zealand; ARC Centre of Excellence for Climate System Science; University of Tasmania</t>
  </si>
  <si>
    <t>Rintoul, SR (corresponding author), CSIRO, Oceans &amp; Atmosphere Flagship, Hobart, Tas, Australia.</t>
  </si>
  <si>
    <t>Steve.Rintoul@csiro.au</t>
  </si>
  <si>
    <t>Bindoff, Nathaniel Lee/C-8050-2011; Bindoff, Nathaniel Lee/IVV-0333-2023; Rintoul, Stephen R/A-1471-2012</t>
  </si>
  <si>
    <t>Bindoff, Nathaniel Lee/0000-0001-5662-9519; Bindoff, Nathaniel Lee/0000-0001-5662-9519; Rintoul, Stephen R/0000-0002-7055-9876</t>
  </si>
  <si>
    <t>Cooperative Research Centre program of the Australian Government, through the Antarctic Climate and Ecosystems Cooperative Research Centre; Australian Government Department of the Environment; Bureau of Meteorology; CSIRO through the Australian Climate Change Science Program; NIWA under the National Climate Centre Research Climate Observations program; ARC Centre of Excellence for Climate System Science [CE110001028]</t>
  </si>
  <si>
    <t>Cooperative Research Centre program of the Australian Government, through the Antarctic Climate and Ecosystems Cooperative Research Centre(Australian GovernmentDepartment of Industry, Innovation and ScienceCooperative Research Centres (CRC) Programme); Australian Government Department of the Environment(Australian Government); Bureau of Meteorology(Bureau of Meteorology - Australia); CSIRO through the Australian Climate Change Science Program; NIWA under the National Climate Centre Research Climate Observations program; ARC Centre of Excellence for Climate System Science(Australian Research Council)</t>
  </si>
  <si>
    <t>We thank the Captain and crew of R/V Tangaroa for their assistance in deploying and recovering the moorings and Matthew Mazloff for providing the SOSE output. We thank Chris Hughes and an anonymous reviewer for their useful comments and suggestions. The work was supported in part by the Cooperative Research Centre program of the Australian Government, through the Antarctic Climate and Ecosystems Cooperative Research Centre; by the Australian Government Department of the Environment, the Bureau of Meteorology and CSIRO through the Australian Climate Change Science Program; and by NIWA through core funding under the National Climate Centre Research Climate Observations program. N.L.B. acknowledges support from the ARC Centre of Excellence for Climate System Science (CE110001028). The data are available from the Antarctic Climate and Ecosystems Cooperative Centre (mark. rosenberg@utas.edu.au).</t>
  </si>
  <si>
    <t>OCT 28</t>
  </si>
  <si>
    <t>10.1002/2014GL061880</t>
  </si>
  <si>
    <t>AU0WO</t>
  </si>
  <si>
    <t>WOS:000345343100034</t>
  </si>
  <si>
    <t>Echegoyen, Y; Boyle, EA; Lee, JM; Gamo, T; Obata, H; Norisuye, K</t>
  </si>
  <si>
    <t>Echegoyen, Yolanda; Boyle, Edward A.; Lee, Jong-Mi; Gamo, Toshitaka; Obata, Hajime; Norisuye, Kazuhiro</t>
  </si>
  <si>
    <t>Recent distribution of lead in the Indian Ocean reflects the impact of regional emissions</t>
  </si>
  <si>
    <t>Indian Ocean; Pb content; anthropogenic emissions; GEOTRACES; lead</t>
  </si>
  <si>
    <t>ARABIAN SEA; SURFACE WATERS; ISOTOPIC COMPOSITIONS; TEMPORAL VARIABILITY; TRACE-METALS; PB-210; ATLANTIC; SEAWATER; FLUXES; PO-210</t>
  </si>
  <si>
    <t>Humans have injected lead (Pb) massively into the earth surface environment in a temporally and spatially evolving pattern. A significant fraction is transported by the atmosphere into the surface ocean where we can observe its transport by ocean currents and sinking particles. This study of the Indian Ocean documents high Pb concentrations in the northern and tropical surface waters and extremely low Pb levels in the deep water. North of 20 degrees S, dissolved Pb concentrations decrease from 42 to 82 pmol/kg in surface waters to 1.5-3.3 pmol/kg in deep waters. South of 20 degrees S, surface water Pb concentrations decrease from 21 pmol/kg at 31 degrees S to 7 pmol/kg at 62 degrees S. This surface Pb concentration gradient reflects a southward decrease in anthropogenic Pb emissions. The upper waters of the north and central Indian Ocean have high Pb concentrations resulting from recent regional rapid industrialization and a late phase-out of leaded gasoline, and these concentrations are now higher than currently seen in the central North Pacific and North Atlantic oceans. The Antarctic sector of the Indian Ocean shows very low concentrations due to limited regional anthropogenic Pb emissions, high scavenging rates, and rapid vertical mixing, but Pb still occurs at higher levels than would have existed centuries ago. Penetration of Pb into the northern and central Indian Ocean thermocline waters is minimized by limited ventilation. Pb concentrations in the deep Indian Ocean are comparable to the other oceans at the same latitude, and deep waters of the central Indian Ocean match the lowest observed oceanic Pb concentrations.</t>
  </si>
  <si>
    <t>[Echegoyen, Yolanda; Boyle, Edward A.; Lee, Jong-Mi] MIT, Dept Earth Atmospher &amp; Planetary Sci, Cambridge, MA 02139 USA; [Lee, Jong-Mi] MIT, Woods Hole Oceanog Inst, Joint Program Oceanog, Woods Hole, MA 02543 USA; [Gamo, Toshitaka; Obata, Hajime] Univ Tokyo, Atmosphere &amp; Ocean Res Inst, Kashiwa, Chiba 2778564, Japan; [Norisuye, Kazuhiro] Niigata Univ, Fac Sci, Dept Environm Sci, Nishi Ku, Niigata 9502181, Japan</t>
  </si>
  <si>
    <t>Massachusetts Institute of Technology (MIT); Massachusetts Institute of Technology (MIT); Woods Hole Oceanographic Institution; University of Tokyo; Niigata University</t>
  </si>
  <si>
    <t>Boyle, EA (corresponding author), MIT, Dept Earth Atmospher &amp; Planetary Sci, Cambridge, MA 02139 USA.</t>
  </si>
  <si>
    <t>eaboyle@mit.edu</t>
  </si>
  <si>
    <t>Echegoyen, Yolanda/GZL-0388-2022</t>
  </si>
  <si>
    <t>Lee, Jong-Mi/0000-0002-3837-3043; Echegoyen Sanz, Yolanda/0000-0002-3729-460X</t>
  </si>
  <si>
    <t>Spanish Ministry of Science and Innovation; Singapore National Research Foundation; Steel Foundation for Environmental Protection Technology; Ministry of Education, Culture, Sports, Science, and Technology of Japan; Grants-in-Aid for Scientific Research [23253001] Funding Source: KAKEN</t>
  </si>
  <si>
    <t>Spanish Ministry of Science and Innovation(Spanish Government); Singapore National Research Foundation(National Research Foundation, Singapore); Steel Foundation for Environmental Protection Technology(Steel Industry Foundation for the Advancement of Environmental Protection Technology);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</si>
  <si>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crew, officers, and onboard scientists of R/V Hakuho Maru during the KH-09-5 cruise for their help with sampling and routine analyses. Y.E. thanks the Spanish Ministry of Science and Innovation for a postdoctoral Ministry of Science and Innovation-Fulbright grant. MIT laboratory expenses were supported by a grant from the Singapore National Research Foundation to the Singapore Massachusetts Institute of Technology Alliance for Research and Technology-Center for Environmental Sensing and Modeling project. Sample collection was supported by grants from the Steel Foundation for Environmental Protection Technology and from Grant-in-Aid of Scientific Research, the Ministry of Education, Culture, Sports, Science, and Technology of Japan.</t>
  </si>
  <si>
    <t>10.1073/pnas.1417370111</t>
  </si>
  <si>
    <t>AR6ZL</t>
  </si>
  <si>
    <t>WOS:000343729500032</t>
  </si>
  <si>
    <t>Tagliabue, A; Williams, RG; Rogan, N; Achterberg, EP; Boyd, PW</t>
  </si>
  <si>
    <t>Tagliabue, Alessandro; Williams, Richard G.; Rogan, Nicholas; Achterberg, Eric P.; Boyd, Philip W.</t>
  </si>
  <si>
    <t>A ventilation-based framework to explain the regeneration-scavenging balance of iron in the ocean</t>
  </si>
  <si>
    <t>iron; ocean; ventilation; biogeochemistry</t>
  </si>
  <si>
    <t>NORTH-ATLANTIC OCEAN; SOUTHERN-OCEAN; DISSOLVED IRON; BIOGEOCHEMISTRY; REMINERALIZATION; PHYTOPLANKTON; PHOSPHATE; ISOTOPES; IMPACT; CYCLE</t>
  </si>
  <si>
    <t>Our understanding of the processes driving the patterns of dissolved iron (DFe) in the ocean interior, either in observations or models, is complicated by the combined influences of subduction from the surface mixed layer, notable subsurface sources, regeneration, and scavenging loss. We describe a ventilation-based framework to quantify these processes in a global ocean biogeochemical model including diagnostics along potential density surfaces. There is a prevailing control of subsurface DFe by the subduction of surface DFe as preformed DFe augmented by benthic sources of DFe from hydrothermal activity and sediments. Unlike phosphate, there is often a first-order balance with a near cancelation between regeneration and scavenging with the remaining net regeneration controlled by the ventilation of surface excesses in Fe-binding ligands. This DFe framework provides a more stringent test of how the total DFe distribution is mechanistically controlled within a model and may be subsequently used to interpret observed DFe distributions.</t>
  </si>
  <si>
    <t>[Tagliabue, Alessandro; Williams, Richard G.; Rogan, Nicholas] Univ Liverpool, Sch Environm Sci, Dept Earth Ocean &amp; Ecol Sci, Liverpool L69 3BX, Merseyside, England; [Achterberg, Eric P.] GEOMAR Helmholtz Ctr Ocean Res Kiel, Kiel, Germany; [Boyd, Philip W.] Univ Tasmania, Inst Marine &amp; Antarctic Studies, Hobart, Tas, Australia</t>
  </si>
  <si>
    <t>University of Liverpool; Helmholtz Association; GEOMAR Helmholtz Center for Ocean Research Kiel; University of Tasmania</t>
  </si>
  <si>
    <t>Tagliabue, A (corresponding author), Univ Liverpool, Sch Environm Sci, Dept Earth Ocean &amp; Ecol Sci, Liverpool L69 3BX, Merseyside, England.</t>
  </si>
  <si>
    <t>a.tagliabue@liverpool.ac.uk</t>
  </si>
  <si>
    <t>Williams, Richard G/K-4111-2016; Achterberg, Eric P/C-5820-2009; Boyd, Philip/J-7624-2014</t>
  </si>
  <si>
    <t>Williams, Richard G/0000-0002-3180-7558; Boyd, Philip/0000-0001-7850-1911; Tagliabue, Alessandro/0000-0002-3572-3634</t>
  </si>
  <si>
    <t>UK NERC [NE/E003818/1]; N8 consortium; EPSRC [EP/K000225/1]; EPSRC [EP/K000225/1, EP/K000209/1] Funding Source: UKRI; NERC [NE/E004067/1, NE/D011108/1, NE/H02087X/1, NE/E006833/1, NE/E005489/1, NE/G015732/1, NE/E003818/1] Funding Source: UKRI; Engineering and Physical Sciences Research Council [EP/K000225/1, EP/K000209/1] Funding Source: researchfish; Natural Environment Research Council [NE/E006833/1, NE/D011108/1, NE/E003818/1, NE/G015732/1, NE/H02087X/1, NE/E005489/1, NE/E004067/1] Funding Source: researchfish</t>
  </si>
  <si>
    <t>UK NERC(UK Research &amp; Innovation (UKRI)Natural Environment Research Council (NERC)); N8 consortium; EPSRC(UK Research &amp; Innovation (UKRI)Engineering &amp; Physical Sciences Research Council (EPSRC));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</si>
  <si>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We acknowledge support by UK NERC grant NE/E003818/1 Fe Biogeochemistry in the High latitude North Atlantic Ocean. This work made use of the facilities of N8 HPC provided and funded by the N8 consortium and EPSRC (grant EP/K000225/1), which is coordinated by the Universities of Leeds and Manchester. We thank two anonymous reviewers for their comments that improved the manuscript.</t>
  </si>
  <si>
    <t>10.1002/2014GL061066</t>
  </si>
  <si>
    <t>Green Accepted, Green Published, Bronze</t>
  </si>
  <si>
    <t>WOS:000345343100031</t>
  </si>
  <si>
    <t>Thibodeau, B; Bauch, D; Kassens, H; Timokhov, LA</t>
  </si>
  <si>
    <t>Thibodeau, Benoit; Bauch, Dorothea; Kassens, Heidemarie; Timokhov, Leonid A.</t>
  </si>
  <si>
    <t>Interannual variations in river water content and distribution over the Laptev Sea between 2007 and 2011: The Arctic Dipole connection</t>
  </si>
  <si>
    <t>hydrology; Arctic Ocean; Laptev Sea; oxygen isotope; river water; arctic dipole</t>
  </si>
  <si>
    <t>BEAUFORT GYRE; ICE</t>
  </si>
  <si>
    <t>Five years of oxygen isotope and hydrological surveys reveal interannual variations in the inventory and distribution of river water over the Laptev Sea. In 2007, 2009, and 2010 relatively low amounts of river water (1500km(3)) were found and were mostly located in the southeastern Laptev Sea. In 2008 and 2011, high amounts of river water (similar to 1600km(3) and similar to 2000km(3)) were found, especially in the central and northern part of the shelf, suggesting a northward export of this water. This temporal pattern is coherent with the summer Arctic Dipole index that was higher in 2008 and 2011. Our results suggest that the Arctic Dipole might influence the export of river water from the Laptev Sea. Moreover, the river water inventory in the Laptev Sea seems related to the freshwater content of the Arctic Ocean with a 2years lag.</t>
  </si>
  <si>
    <t>[Thibodeau, Benoit] Akad Wissensch &amp; Literatur, Mainz, Germany; [Thibodeau, Benoit; Bauch, Dorothea; Kassens, Heidemarie] GEOMAR Helmholtz Zentrum Ozeanforsch, Kiel, Germany; [Timokhov, Leonid A.] Arctic &amp; Antarctic Res Inst, St Petersburg 199226, Russia</t>
  </si>
  <si>
    <t>Helmholtz Association; GEOMAR Helmholtz Center for Ocean Research Kiel; Arctic &amp; Antarctic Research Institute</t>
  </si>
  <si>
    <t>Thibodeau, B (corresponding author), Akad Wissensch &amp; Literatur, Mainz, Germany.</t>
  </si>
  <si>
    <t>bthibodeau@geomar.de</t>
  </si>
  <si>
    <t>Thibodeau, Benoit/B-5629-2008</t>
  </si>
  <si>
    <t>Thibodeau, Benoit/0000-0003-0422-2308</t>
  </si>
  <si>
    <t>BMBF [03G0639D]; Roshydromet; Russian Ministry of Education and Science; DFG [BA1689/2-1]</t>
  </si>
  <si>
    <t>BMBF(Federal Ministry of Education &amp; Research (BMBF)); Roshydromet; Russian Ministry of Education and Science(Ministry of Education and Science, Russian Federation); DFG(German Research Foundation (DFG))</t>
  </si>
  <si>
    <t>The data for this paper can be found in the supporting information. This work was part of the German-Russian cooperation System Laptev Sea funded by BMBF (03G0639D) as well as by Roshydromet and the Russian Ministry of Education and Science. D. B. acknowledges support from DFG under grant BA1689/2-1. We thank the captains and crews of RV Ivan Petrov (2007 and 2008), RV Jacob Smirnitsky (2009 and 2011), and RV Nikolay Evgenov (2010). We thank A. Nikulina and T. Csernok for their help with sampling and support for the salinity measurements. We are grateful to M. Janout for his comments. Figures were generated using ODV [Schlitzer, 2002]. We also thank two anonymous reviewers for their helpful comments.</t>
  </si>
  <si>
    <t>10.1002/2014GL061814</t>
  </si>
  <si>
    <t>WOS:000345343100032</t>
  </si>
  <si>
    <t>Libois, Q; Picard, G; Arnaud, L; Morin, S; Brun, E</t>
  </si>
  <si>
    <t>Libois, Quentin; Picard, Ghislain; Arnaud, Laurent; Morin, Samuel; Brun, Eric</t>
  </si>
  <si>
    <t>Modeling the impact of snow drift on the decameter-scale variability of snow properties on the Antarctic Plateau</t>
  </si>
  <si>
    <t>Antarctic Plateau; snow drift; spatial variability; metamorphism</t>
  </si>
  <si>
    <t>SURFACE MASS-BALANCE; DOME-C; EAST ANTARCTICA; ALBEDO FEEDBACK; VAPOR TRANSPORT; DEPTH-HOAR; ICE; ACCUMULATION; DENSITY; PRECIPITATION</t>
  </si>
  <si>
    <t>The annual accumulation and the physical properties of snow close to the surface on the Antarctic Plateau are characterized by a large decameter-scale variability resulting from snow drift that is not simulated by one-dimensional snow evolution models. Here, the detailed snowpack model Crocus was adapted to Antarctic conditions and then modified to account for this drift-induced variability using a stochastic snow redistribution scheme. For this, 50 simulations were run in parallel and were allowed to exchange snow mass according to rules driven by wind speed. These simple rules were developed and calibrated based on in situ pictures of the snow surface recorded for two years. The simulation performed with this new model shows three substantial improvements with respect to standard Crocus simulations. First, significant and rapid variations of snow height observed in hourly measurements are well reproduced, highlighting the crucial role of snow drift in snow accumulation. Second, the statistics of annual accumulation is also simulated successfully, including the years with net ablation which are as frequent as 15% in the observations and 11% in the simulation. Last, the simulated vertical profiles of snow density and specific surface area down to 50cm depth were compared to 98 profiles measured at DomeC during the summer 2012-2013. The observed spatial variability is partly reproduced by the new model, especially close to the surface. The erosion/deposition processes explain why layers with density lower than 250kgm(-3) or specific surface area larger than 30m(2)kg(-1) can be found deeper than 10cm.</t>
  </si>
  <si>
    <t>[Libois, Quentin; Picard, Ghislain; Arnaud, Laurent] Univ Grenoble Alpes, LGGE, UMR5183, F-38041 Grenoble, France; [Libois, Quentin; Picard, Ghislain; Arnaud, Laurent] CNRS, LGGE, UMR5183, F-38041 Grenoble, France; [Morin, Samuel] Meteo France, CNRS, CNRM, Ctr Etud Neige,GAME UMR 3589, Grenoble, France; [Brun, Eric] Meteo France, CNRS, CNRM, GMGEC,GAME UMR 3589, Grenoble, France</t>
  </si>
  <si>
    <t>Communaute Universite Grenoble Alpes; Universite Grenoble Alpes (UGA); Centre National de la Recherche Scientifique (CNRS); Communaute Universite Grenoble Alpes; Universite Grenoble Alpes (UGA); Meteo France; Centre National de la Recherche Scientifique (CNRS); CNRS - National Institute for Earth Sciences &amp; Astronomy (INSU); Meteo France; Centre National de la Recherche Scientifique (CNRS); CNRS - National Institute for Earth Sciences &amp; Astronomy (INSU)</t>
  </si>
  <si>
    <t>Libois, Q (corresponding author), Univ Grenoble Alpes, LGGE, UMR5183, F-38041 Grenoble, France.</t>
  </si>
  <si>
    <t>quentin.libois@lgge.obs.ujf-grenoble.fr</t>
  </si>
  <si>
    <t>Picard, Ghislain/D-4246-2013; Morin, Samuel/E-8005-2011</t>
  </si>
  <si>
    <t>Picard, Ghislain/0000-0003-1475-5853; Morin, Samuel/0000-0002-1781-687X; libois, quentin/0000-0001-8963-4170; arnaud, laurent/0000-0002-4432-4205</t>
  </si>
  <si>
    <t>ANR [1-JS56-005-01-11JS56-005-01 MON-ISNOW]; French and Italian (PNRA) Polar Intitutes; Institut National des Sciences de l'Univers (INSU)</t>
  </si>
  <si>
    <t>ANR(Agence Nationale de la Recherche (ANR)); French and Italian (PNRA) Polar Intitutes; Institut National des Sciences de l'Univers (INSU)</t>
  </si>
  <si>
    <t>The authors wish to thank W. Colgan and two anonymous referees for their very useful suggestions and comments. LGGE and CNRM-GAME/CEN are part of LabEx OSUG@2020 (ANR10 LABX56). This study was supported by the ANR program 1-JS56-005-01-11JS56-005-01 MON-ISNOW. We are grateful to the French Polar Institute (IPEV) for the logistic support at Concordia station in Antarctica through the CALVA-Neige programme and to the GLACIOCLIM-SAMBA observatory which is supported by the French and Italian (PNRA) Polar Intitutes, and the Institut National des Sciences de l'Univers (INSU). We are grateful to Matthieu Lafaysse for helpful discussions about Crocus and to Vincent Vionnet for his suggestions regarding the representation of snow transport by the wind. We thank Sophie Tyteca for providing the processed ERA-Interim forcings at Dome C. Christophe Genthon and Helene Barral are also thanked for making available the wind speed measurements at Dome C. Olivier Saint-Jean participated in the analysis of the pictures of the snow surface. These pictures are freely available from http://www-lgge.obs.ujf-grenoble.fr/similar to picard/pauto/. The density and SSA measurements are available upon request from the authors.</t>
  </si>
  <si>
    <t>OCT 27</t>
  </si>
  <si>
    <t>10.1002/2014JD022361</t>
  </si>
  <si>
    <t>AU0FE</t>
  </si>
  <si>
    <t>WOS:000345298100018</t>
  </si>
  <si>
    <t>Willis, J</t>
  </si>
  <si>
    <t>Willis, Jay</t>
  </si>
  <si>
    <t>Whales maintained a high abundance of krill; both are ecosystem engineers in the Southern Ocean</t>
  </si>
  <si>
    <t>Individual-based model; Ecosystem model; Cetacean</t>
  </si>
  <si>
    <t>DIEL VERTICAL MIGRATION; ANTARCTIC KRILL; EUPHAUSIA-SUPERBA; POPULATION-STRUCTURE; ZOOPLANKTON; PREDATORS; EVOLUTION; DYNAMICS; SURVIVAL; MUTUALISMS</t>
  </si>
  <si>
    <t>Krill abundance was predicted to rise after the end of commercial whaling in the Southern Ocean due to the release of predatory pressure from 2 million whales that were killed between 1915 and 1970, but contrary to expectations, there has been a substantial decline in abundance of krill since the end of whaling. I presented a model 7 yr ago which explained how krill behaviour, in response to the threat of predation by whales, may provide an answer to this paradox. The original model contained a speculative link: a mechanism by which krill could detect the presence of whales over a wide area, and therefore could behave in response to a credible threat. Recently, iron has been implicated in a positive feedback cycle between whales, krill and primary production. The cycle depends on the buoyant faeces of whales fertilising surface layers. This is both a plausible way for krill to detect whales over a wide area and an explanation for enhanced feeding at the surface, but this was not incorporated in the original model. Thus, nutrient retention and behavioural control are probably an example of niche construction and ecosystem engineering by both krill and whales. In this paper I revisit and update the simple model of krill mentioned above. The model is calibrated against known system states and is used to imply the ecosystem level changes caused by commercial whaling. This improved model may explain the reduction in krill abundance after the end of commercial whaling. Untested hypotheses which can be falsified in designed experiments are listed.</t>
  </si>
  <si>
    <t>Turnpenny Horsfield Associates Ltd, Southampton SO40 7AA, Hants, England</t>
  </si>
  <si>
    <t>Willis, J (corresponding author), Turnpenny Horsfield Associates Ltd, Southampton SO40 7AA, Hants, England.</t>
  </si>
  <si>
    <t>jkwillis@gmail.com</t>
  </si>
  <si>
    <t>Willis, Jay/0000-0003-0701-7262</t>
  </si>
  <si>
    <t>OCT 22</t>
  </si>
  <si>
    <t>10.3354/meps10922</t>
  </si>
  <si>
    <t>AS6TF</t>
  </si>
  <si>
    <t>WOS:000344394400005</t>
  </si>
  <si>
    <t>Thomas, L; Kendrick, GA; Stat, M; Travaille, KL; Shedrawi, G; Kennington, WJ</t>
  </si>
  <si>
    <t>Thomas, L.; Kendrick, G. A.; Stat, M.; Travaille, K. L.; Shedrawi, G.; Kennington, W. J.</t>
  </si>
  <si>
    <t>Population genetic structure of the Pocillopora damicornis morphospecies along Ningaloo Reef, Western Australia</t>
  </si>
  <si>
    <t>Ningaloo Reef; Pocillopora damicornis; Dispersal; Resilience</t>
  </si>
  <si>
    <t>GREAT-BARRIER-REEF; BROODING CORAL; ASEXUAL REPRODUCTION; GENOTYPIC DIVERSITY; FLOW; CONNECTIVITY; DISPERSAL; INDIVIDUALS; DIFFERENTIATION; HYBRIDIZATION</t>
  </si>
  <si>
    <t>The effective management of a coral reef system relies on a detailed understanding of the population structure of dominant habitat-forming species. For some corals, however, high levels of phenotypic plasticity have made species delineation based on morphological characteristics alone unreliable, suggesting that previous studies of population genetic structure may have been influenced by the inclusion of multiple genetic lineages in the analyses. We examined the population structure of the Pocillopora damicornis morphospecies along the World Heritage Ningaloo Coast, Western Australia, and recovered 2 mitochondrial haplotypes from sympatrically occurring colonies possessing morphological characteristics consistent with taxonomic classification of P. damicornis. Despite a high degree of genetic differentiation between these lineages, we detected low levels of unidirectional admixture between them, suggesting that reproductive barriers are not fully developed. We found dual modes of reproduction for both lineages with considerable variation in the contribution of sexual reproduction among sample sites. Lastly, we identified a high dispersal potential of sexually produced propagules in the most common lineage with positive spatial autocorrelation detected over distances up to 60 km. Based on these results, it appears that populations of P. damicornis have a high capacity to recover from environmental perturbations as long as the effects of disturbances are patchy across Ningaloo Reef.</t>
  </si>
  <si>
    <t>[Thomas, L.; Kendrick, G. A.; Stat, M.] Univ Western Australia, Oceans Inst, Crawley, WA 6009, Australia; [Thomas, L.; Kendrick, G. A.] Univ Western Australia, Sch Plant Biol, Crawley, WA 6009, Australia; [Stat, M.] Univ Western Australia, Ctr Microscopy Characterisat &amp; Anal, Crawley, WA 6009, Australia; [Stat, M.] Univ Western Australia, Australian Inst Marine Sci, Crawley, WA 6009, Australia; [Stat, M.] CSIRO Marine &amp; Atmospher Res, Mt Claremont, WA 6010, Australia; [Shedrawi, G.] Dept Pk &amp; Wildlife, Kensington, WA 6151, Australia; [Kennington, W. J.] Univ Western Australia, Ctr Evolutionary Biol, Sch Anim Biol, Crawley, WA 6009, Australia</t>
  </si>
  <si>
    <t>University of Western Australia; University of Western Australia; University of Western Australia; University of Western Australia; Australian Institute of Marine Science; Commonwealth Scientific &amp; Industrial Research Organisation (CSIRO); University of Western Australia</t>
  </si>
  <si>
    <t>Thomas, L (corresponding author), Univ Western Australia, Oceans Inst, Crawley, WA 6009, Australia.</t>
  </si>
  <si>
    <t>luke.thomas@uwa.edu.au</t>
  </si>
  <si>
    <t>Stat, Michael/K-5290-2012; Kendrick, Gary Andrew/B-3460-2011; Kennington, Jason/H-5182-2014</t>
  </si>
  <si>
    <t>Kendrick, Gary Andrew/0000-0002-0276-6064; Shedrawi, George/0000-0002-4507-7293; Kennington, Jason/0000-0001-6100-6543; Thomas Travaille, Kendra/0000-0002-4459-2875; Thomas, Luke/0000-0001-8978-8831; Stat, Michael/0000-0002-1663-3422</t>
  </si>
  <si>
    <t>Australian Government's National Environmental Research Program (NERP); UWA-AIMS-CSIRO collaborative agreement</t>
  </si>
  <si>
    <t>Australian Government's National Environmental Research Program (NERP)(Australian Government); UWA-AIMS-CSIRO collaborative agreement</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</si>
  <si>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and a postdoctoral fellowship to M. S. from the UWA-AIMS-CSIRO collaborative agreement. Authors also acknowledge Stuart Fields and Richard Evans for help facilitating the collaboration between DPaW and the Oceans Institute, as well as DPaW Exmouth regional staff (Peter Barnes, Huw Dilley and Matt Smith) for field logistics and assistance. Also, thanks to Yvette Hitchen for contribution to laboratory analysis and Christopher Nutt for assisting with sample collection. The manuscript was greatly improved by comments from 3 anonymous reviewers.</t>
  </si>
  <si>
    <t>10.3354/meps10893</t>
  </si>
  <si>
    <t>WOS:000344394400009</t>
  </si>
  <si>
    <t>Cimino, MA; Fraser, WR; Patterson-Fraser, DL; Saba, VS; Oliver, MJ</t>
  </si>
  <si>
    <t>Cimino, Megan A.; Fraser, William R.; Patterson-Fraser, Donna L.; Saba, Vincent S.; Oliver, Matthew J.</t>
  </si>
  <si>
    <t>Large-scale climate and local weather drive interannual variability in Adelie penguin chick fledging mass</t>
  </si>
  <si>
    <t>Adelie penguin; Antarctic Oscillation; AAO; Chick fledging mass; Interannual variability</t>
  </si>
  <si>
    <t>WEST ANTARCTIC PENINSULA; ANOMALOUS ATMOSPHERIC CIRCULATION; KRILL EUPHAUSIA-SUPERBA; GUILLEMOT URIA-AALGE; SEA-ICE CONDITIONS; PYGOSCELIS-ADELIAE; SOUTHERN-OCEAN; FOOD-WEB; REPRODUCTIVE SUCCESS; POPULATION-DYNAMICS</t>
  </si>
  <si>
    <t>The fledging mass of penguin chicks can be an indicator of food availability and environmental conditions at a penguin colony. For the period 1989 to 2011, we analyzed predictor variables of environmental and food resource factors acting on multiple spatial scales near Palmer Station, Antarctica, that may influence the interannual variability in Adelie penguin chick fledging mass (CFM). To understand the influence of parental Adelie penguin diet on CFM, we modeled the energy density and krill demographics of penguin diet samples. We found a weak but significant positive relationship between the proportion of immature krill in adult penguin diets and CFM, which may indicate that krill recruitment and prey availability to adults influences CFM. However, the impact of large-scale climate and local weather outweighed the impact of parental diet characteristics on CFM. CFM was negatively associated with a positive Antarctic Oscillation (or Southern Annular Mode) and increased westerly winds and was positively associated with increased air temperature. The mechanistic relationship between climate, local weather, and CFM could include direct and indirect impacts, such as increased thermo-regulative costs for unattended chicks, decreased chick feeding frequency, and smaller meal mass for chicks driven by the geophysical transport of krill by climate and wind events.</t>
  </si>
  <si>
    <t>[Cimino, Megan A.; Oliver, Matthew J.] Univ Delaware, Coll Earth Ocean &amp; Environm, Lewes, DE 19958 USA; [Fraser, William R.; Patterson-Fraser, Donna L.] Polar Oceans Res Grp, Sheridan, MT 59749 USA; [Saba, Vincent S.] Princeton Univ, NOAA, Natl Marine Fisheries Serv, Northeast Fisheries Sci Ctr,Geophys Fluid Dynam L, Princeton, NJ 08540 USA</t>
  </si>
  <si>
    <t>University of Delaware; National Oceanic Atmospheric Admin (NOAA) - USA; Princeton University</t>
  </si>
  <si>
    <t>Cimino, MA (corresponding author), Univ Delaware, Coll Earth Ocean &amp; Environm, Lewes, DE 19958 USA.</t>
  </si>
  <si>
    <t>mcimino@udel.edu</t>
  </si>
  <si>
    <t>Saba, Vincent/A-3799-2010</t>
  </si>
  <si>
    <t>Saba, Vincent/0000-0002-2974-4826</t>
  </si>
  <si>
    <t>National Marine Fisheries Service; National Science Foundation [8918324, 9011927, 9103429, 9320115, 9505596, 9632763, 9910095, 0130525, 0217282, 0224727, 0523261, 0741351, 0823101]; NASA [NNX09AK24G]; NASA [114034, NNX09AK24G] Funding Source: Federal RePORTER; Directorate For Geosciences; Division Of Polar Programs [0130525] Funding Source: National Science Foundation; Directorate For Geosciences; Office of Polar Programs (OPP) [1440435, 1326167] Funding Source: National Science Foundation; Office Of The Director; Office of Polar Programs [9320115, 9103429] Funding Source: National Science Foundation; Office Of The Director; Office of Polar Programs [8918324] Funding Source: National Science Foundation</t>
  </si>
  <si>
    <t>National Marine Fisheries Service; National Science Foundation(National Science Foundation (NSF)); NASA(National Aeronautics &amp; Space Administration (NASA)); NASA(National Aeronautics &amp; Space Administration (NASA)); Directorate For Geosciences; Division Of Polar Programs(National Science Foundation (NSF)NSF - Directorate for Geosciences (GEO)); Directorate For Geosciences; Office of Polar Programs (OPP)(National Science Foundation (NSF)NSF - Directorate for Geosciences (GEO)); Office Of The Director; Office of Polar Programs(National Science Foundation (NSF)NSF - Office of the Director (OD)NSF - Directorate for Geosciences (GEO)); Office Of The Director; Office of Polar Programs(National Science Foundation (NSF)NSF - Office of the Director (OD)NSF - Directorate for Geosciences (GEO))</t>
  </si>
  <si>
    <t>The research described in this paper was supported by long-term funding from the National Marine Fisheries Service and National Science Foundation grants 8918324, 9011927, 9103429, 9320115, 9505596, 9632763, 9910095, 0130525, 0217282, 0224727, 0523261, 0741351, and 0823101 and NASA grant NNX09AK24G. We thank Tony Amos for tide data, Xiaojun Yuan for the ADP index, and Sharon Stammerjohn for sea ice data.</t>
  </si>
  <si>
    <t>10.3354/meps10928</t>
  </si>
  <si>
    <t>WOS:000344394400020</t>
  </si>
  <si>
    <t>Goutte, A; Charrassin, JB; Cherel, Y; Carravieri, A; De Grissac, S; Massé, G</t>
  </si>
  <si>
    <t>Goutte, A.; Charrassin, J. -B.; Cherel, Y.; Carravieri, A.; De Grissac, S.; Masse, G.</t>
  </si>
  <si>
    <t>Importance of ice algal production for top predators: new insights using sea-ice biomarkers</t>
  </si>
  <si>
    <t>Ice proxy; Penguin; Petrel; Pinniped; Southern Ocean</t>
  </si>
  <si>
    <t>ENVIRONMENTAL-CHANGE; ADELIE PENGUINS; FEEDING ECOLOGY; BLUE PETRELS; DIET; KERGUELEN; KRILL; LAND</t>
  </si>
  <si>
    <t>Antarctic seals and seabirds are strongly dependent on sea-ice cover to complete their life history. In polar ecosystems, sea ice provides a habitat for ice-associated diatoms that ensures a substantial production of organic matter. Recent studies have presented the potential of highly branched isoprenoids (HBIs) for tracing carbon flows from ice algae to higher-trophic-level organisms. However, to our knowledge, this new method has never been applied to sub-Antarctic species and Antarctic seals. Moreover, seasonal variations in HBI levels have never been investigated in Antarctic predators, despite a likely shift in food source from ice-derived to pelagic organic matter after sea-ice retreat. In the present study, we described HBI levels in a community of seabirds and seals breeding in Adelie Land, Antarctica. We then validated that sub-Antarctic seabirds had lower levels of diene, a HBI of sea-ice diatom origin, and higher levels of triene, a HBI of phytoplanktonic origin, compared with Antarctic seabirds. Finally, we explored temporal changes in HBI levels after the ice break up in summer. The level of diene relative to triene in Adelie penguin chicks increased and then declined during the breeding season, which was consistent with the short and intense proliferation of sea-ice algae in spring, followed by the pelagic phytoplankton bloom in summer. HBI biomarkers in Antarctic seabirds and seals thus indicate a shift from ice-algal derived organic matter to a pelagic carbon source during the summer breeding season.</t>
  </si>
  <si>
    <t>[Goutte, A.; Charrassin, J. -B.; Masse, G.] Univ Paris 06, CNRS, Inst Rech Dev, LOCEAN IPSL,Museum Natl Hist Nat,UMR 7159, F-75005 Paris, France; [Goutte, A.; Cherel, Y.; Carravieri, A.; De Grissac, S.] CNRS, Ctr Etud Biol Chize, UPR 1934, F-79360 Beauvoir sur Niort, France; [Masse, G.] CNRS, Quebec City, PQ G1V 0A6, Canada; [Masse, G.] Univ Laval, UMI 3376, Takuvik, PQ G1V 0A6, Canada</t>
  </si>
  <si>
    <t>Sorbonne Universite; Museum National d'Histoire Naturelle (MNHN); Centre National de la Recherche Scientifique (CNRS); CNRS - National Institute for Earth Sciences &amp; Astronomy (INSU); Institut de Recherche pour le Developpement (IRD); Centre National de la Recherche Scientifique (CNRS); Laval University</t>
  </si>
  <si>
    <t>Goutte, A (corresponding author), Univ Paris 06, CNRS, Inst Rech Dev, LOCEAN IPSL,Museum Natl Hist Nat,UMR 7159, F-75005 Paris, France.</t>
  </si>
  <si>
    <t>agoutte@gmail.com</t>
  </si>
  <si>
    <t>Goutte, Aurelie/F-7572-2017; Goutte, Aurelie/JZT-6808-2024; de Grissac, Sophie/Q-6666-2017</t>
  </si>
  <si>
    <t>Goutte, Aurelie/0000-0001-8322-5843</t>
  </si>
  <si>
    <t>European Research Council (ICEPROXY) [203441]; French Institute Paul-Emile Victor (IPEV) [1010, 109]; European Research Council (ERC) [203441] Funding Source: European Research Council (ERC)</t>
  </si>
  <si>
    <t>European Research Council (ICEPROXY); French Institute Paul-Emile Victor (IPEV); European Research Council (ERC)(European Research Council (ERC)Spanish Government)</t>
  </si>
  <si>
    <t>This work was funded by the European Research Council (ICEPROXY, project number 203441) and was logistically supported by the French Institute Paul-Emile Victor (IPEV project number 1010, G. Masse; 109, H. Weimerskirch). We thank C. Blanc for her help as a veterinary surgeon, A.M. Thierry for collecting samples in the field, and C. Robineau and V. Klein for their excellent technical assistance in lipid purification. We thank the reviewers for their constructive comments on the manuscript.</t>
  </si>
  <si>
    <t>10.3354/meps10971</t>
  </si>
  <si>
    <t>WOS:000344394400021</t>
  </si>
  <si>
    <t>Xavier, JC; Walker, K; Elliott, G; Cherel, Y; Thompson, D</t>
  </si>
  <si>
    <t>Xavier, Jose C.; Walker, Kath; Elliott, Graeme; Cherel, Yves; Thompson, David</t>
  </si>
  <si>
    <t>Cephalopod fauna of South Pacific waters: new information from breeding New Zealand wandering albatrosses</t>
  </si>
  <si>
    <t>Squid; Histioteuthidae; Onychoteuthidae; Distribution; Biodiversity; Predatory sampling; Diomedea antipodensis; Seabird; Southern Ocean</t>
  </si>
  <si>
    <t>CLIMATE-CHANGE; INTERANNUAL VARIATIONS; STOMACH-CONTENTS; EAST-COAST; DIET; OCEAN; PREY; FISHERIES; PREDATOR; ECOLOGY</t>
  </si>
  <si>
    <t>Cephalopods play an important ecological role in the Southern Ocean, being the main prey group of numerous top predators. However, their basic ecology and biogeography is still poorly known, particularly in the lightly sampled Pacific sector of the Southern Ocean. We collected and analysed information on cephalopods in that area, using Antipodean and Gibson's wandering albatrosses (Diomedea antipodensis antipodensis and D. antipodensis gibsoni, respectively) breeding at Antipodes Islands and Auckland Islands, respectively, in the New Zealand subantarctic islands as samplers, as they are known from tracking studies to cover huge areas of the Pacific sector of the Southern Ocean (Antipodean wandering albatrosses mostly forage east of New Zealand, whereas Gibson's wandering albatrosses forage west of New Zealand). A total of 9111 cephalopod beaks, from 41 cephalopod taxa, were identified from boluses (voluntarily regurgitated items by chicks). The families Histioteuthidae (e.g. Histioteuthis atlantica) and Onychoteuthidae (e.g. Moroteuthis robsoni) were the most important cephalopods numerically and by reconstructed mass, respectively, in both wandering albatross species. Combining this information with previously gathered data on cephalopods in the Atlantic and Indian sectors of the Southern Ocean, we provide evidence from predators of the circumpolar distribution of numerous key cephalopod species in the Southern Ocean, and provide new information on poorly known cephalopods (i.e. relevance in the diet of wandering albatrosses, sizes consumed, biodiversity in the South Pacific, assemblages according to predator breeding sites) in one of the most remote ocean areas in the planet.</t>
  </si>
  <si>
    <t>[Xavier, Jose C.] Univ Coimbra, Inst Marine Res, Dept Life Sci, P-3001401 Coimbra, Portugal; [Xavier, Jose C.] British Antarctic Survey, NERC, Cambridge CB3 0ET, England; [Walker, Kath; Elliott, Graeme] Albatross Res, Nelson 7011, New Zealand; [Cherel, Yves] Univ La Rochelle, CNRS, Ctr Etud Biol Chize, UMR 7372, F-79360 Villiers En Bois, France; [Thompson, David] Natl Inst Water &amp; Atmospher Res Ltd, Wellington 6021, New Zealand</t>
  </si>
  <si>
    <t>Universidade de Coimbra; UK Research &amp; Innovation (UKRI); Natural Environment Research Council (NERC); NERC British Antarctic Survey; La Rochelle Universite; Centre National de la Recherche Scientifique (CNRS); CNRS - Institute of Ecology &amp; Environment (INEE); National Institute of Water &amp; Atmospheric Research (NIWA) - New Zealand</t>
  </si>
  <si>
    <t>Xavier, JC (corresponding author), Univ Coimbra, Inst Marine Res, Dept Life Sci, P-3001401 Coimbra, Portugal.</t>
  </si>
  <si>
    <t>jccx@cantab.net</t>
  </si>
  <si>
    <t>Xavier, José/KFB-6739-2024</t>
  </si>
  <si>
    <t>/0000-0002-9621-6660</t>
  </si>
  <si>
    <t>Conservation Services Programme of the New Zealand Department of Conservation; Natural Environment Research Council [bas0100025] Funding Source: researchfish; NERC [bas0100025] Funding Source: UKRI</t>
  </si>
  <si>
    <t>Conservation Services Programme of the New Zealand Department of Conservation; Natural Environment Research Council(UK Research &amp; Innovation (UKRI)Natural Environment Research Council (NERC)); NERC(UK Research &amp; Innovation (UKRI)Natural Environment Research Council (NERC))</t>
  </si>
  <si>
    <t>We thank Josh Kemp and Chris Rickard for collecting the samples from Antipodes Island and Soniya McArtney, Sadie Mills and Kareen Schnabel for their contributions in preparing and facilitating the analyses of the beak samples at the National Institute of Water and Atmospheric Research (NIWA). The collection work was supported by the Conservation Services Programme of the New Zealand Department of Conservation and analyses by the Ministry of Science and Higher Education, Portugal (Fundacao para a Ciencia e a Tecnologia) and the British Antarctic Survey, under the research programmes CEPH (within the British Antarctic Survey Ecosystems Program), Scientific Committee for Antarctic Research program (SCAR) AnT-ERA, Portuguese Polar Program PROPOLAR and Integrating Climate and Ecosystem Dynamics of the Southern Ocean (ICED).</t>
  </si>
  <si>
    <t>10.3354/meps10957</t>
  </si>
  <si>
    <t>WOS:000344394400011</t>
  </si>
  <si>
    <t>Pond, DW; Tarling, GA; Mayor, DJ</t>
  </si>
  <si>
    <t>Pond, David W.; Tarling, Geraint A.; Mayor, Daniel J.</t>
  </si>
  <si>
    <t>Hydrostatic Pressure and Temperature Effects on the Membranes of a Seasonally Migrating Marine Copepod</t>
  </si>
  <si>
    <t>HOMEOVISCOUS ADAPTATION; BIOLOGICAL-MEMBRANES; FATTY-ACIDS; DEEP; SEA; LIPIDS; GROWTH; LIFE</t>
  </si>
  <si>
    <t>Marine planktonic copepods of the order Calanoida are central to the ecology and productivity of high latitude ecosystems, representing the interface between primary producers and fish. These animals typically undertake a seasonal vertical migration into the deep sea, where they remain dormant for periods of between three and nine months. Descending copepods are subject to low temperatures and increased hydrostatic pressures. Nothing is known about how these organisms adapt their membranes to these environmental stressors. We collected copepods (Calanoides acutus) from the Southern Ocean at depth horizons ranging from surface waters down to 1000 m. Temperature and/or pressure both had significant, additive effects on the overall composition of the membrane phospholipid fatty acids (PLFAs) in C. acutus. The most prominent constituent of the PLFAs, the polyunsaturated fatty acid docosahexanoic acid [DHA - 22: 6(n-3)], was affected by a significant interaction between temperature and pressure. This moiety increased with pressure, with the rate of increase being greater at colder temperatures. We suggest that DHA is key to the physiological adaptations of vertically migrating zooplankton, most likely because the biophysical properties of this compound are suited to maintaining membrane order in the cold, high pressure conditions that persist in the deep sea. As copepods cannot synthesise DHA and do not feed during dormancy, sufficient DHA must be accumulated through ingestion before migration is initiated. Climate-driven changes in the timing and abundance of the flagellated microplankton that supply DHA to copepods have major implications for the capacity of these animals to undertake their seasonal life cycle successfully.</t>
  </si>
  <si>
    <t>[Pond, David W.] Scottish Assoc Marine Sci, Oban, Argyll, Scotland; [Tarling, Geraint A.] British Antarctic Survey, NERC, Cambridge CB3 0ET, England; [Mayor, Daniel J.] Univ Aberdeen, Oceanlab, Inst Biol &amp; Environm Sci, Newburgh, Aberdeen, Scotland</t>
  </si>
  <si>
    <t>UHI Millennium Institute; UK Research &amp; Innovation (UKRI); Natural Environment Research Council (NERC); NERC British Antarctic Survey; University of Aberdeen</t>
  </si>
  <si>
    <t>Pond, DW (corresponding author), Scottish Assoc Marine Sci, Oban, Argyll, Scotland.</t>
  </si>
  <si>
    <t>David.Pond@sams.ac.uk</t>
  </si>
  <si>
    <t>Mayor, Daniel/HDN-8520-2022</t>
  </si>
  <si>
    <t>Mayor, Daniel/0000-0002-1295-0041</t>
  </si>
  <si>
    <t>Marine Alliance for Science and Technology for Scotland (MASTS); NERC [NE/J007803/1]; NERC [NE/J007803/1, NE/K001833/1, NE/G014744/1, bas0100025] Funding Source: UKRI; Natural Environment Research Council [NE/G014744/1, NE/J007803/1, bas0100025, NE/K001833/1] Funding Source: researchfish</t>
  </si>
  <si>
    <t>Marine Alliance for Science and Technology for Scotland (MASTS);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</si>
  <si>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thank the officers and crew of the RRS James Clark Ross for their assistance and professionalism whilst at sea. This research was supported by grants from the Marine Alliance for Science and Technology for Scotland (MASTS) and the NERC (NE/J007803/1). The research is also a contribution to the ECOSYSTEMS programme of the British Antarctic Survey. The funders had no role in study design, data collection and analysis, decision to publish, or preparation of the manuscript.</t>
  </si>
  <si>
    <t>e111043</t>
  </si>
  <si>
    <t>10.1371/journal.pone.0111043</t>
  </si>
  <si>
    <t>AR6DY</t>
  </si>
  <si>
    <t>gold, Green Published, Green Accepted, Green Submitted</t>
  </si>
  <si>
    <t>WOS:000343674800097</t>
  </si>
  <si>
    <t>Aftergood, S</t>
  </si>
  <si>
    <t>Aftergood, Steven</t>
  </si>
  <si>
    <t>Record-high Antarctic sea ice</t>
  </si>
  <si>
    <t>OCT 17</t>
  </si>
  <si>
    <t>AQ7ZY</t>
  </si>
  <si>
    <t>WOS:000343041100007</t>
  </si>
  <si>
    <t>Keyon, ASA; Guijt, RM; Bolch, CJS; Breadmore, MC</t>
  </si>
  <si>
    <t>Keyon, Aemi S. Abdul; Guijt, Rosanne M.; Bolch, Christopher J. S.; Breadmore, Michael C.</t>
  </si>
  <si>
    <t>Transient isotachophoresis-capillary zone electrophoresis with contactless conductivity and ultraviolet detection for the analysis of paralytic shellfish toxins in mussel samples</t>
  </si>
  <si>
    <t>JOURNAL OF CHROMATOGRAPHY A</t>
  </si>
  <si>
    <t>Capacitively coupled contactless conductivity detector; Capillary electrophoresis; Transient isotachophoresis; Paralytic shellfish toxins</t>
  </si>
  <si>
    <t>LIQUID-CHROMATOGRAPHIC DETERMINATION; DINOFLAGELLATE GYMNODINIUM-CATENATUM; POISONING TOXINS; MASS-SPECTROMETRY; PRECHROMATOGRAPHIC OXIDATION; ENZYME-IMMUNOASSAY; SAXITOXIN ANALOGS; INORGANIC-IONS; PSP TOXINS; FLUORESCENCE</t>
  </si>
  <si>
    <t>The accumulation of paralytic shellfish toxins (PSTs) in contaminated shellfish is a serious health risk making early detection important to improve shellfish safety and biotoxin management. Capillary electrophoresis (CE) has been proven as a high resolution separation technique compatible with miniaturization, making it an attractive choice in the development of portable instrumentation for early, on-site detection of PSTs. In this work, capillary zone electrophoresis (CZE) with capacitively coupled contactless conductivity detector ((CD)-D-4) and UV detection were examined with counter-flow transient isotachophoresis (tITP) to improve the sensitivity and deal with the high conductivity sample matrix. The high sodium concentration in the sample was used as the leading ion while L-alanine was used as the terminating electrolyte (TE) and background electrolyte (BGE) in which the toxins were separated. Careful optimization of the injected sample volume and duration of the counter-flow resulted in limit of detections (LODs) ranging from 74.2 to 1020 ng/mL for tITP-CZE-(CD)-D-4 and 141 to 461 ng/mL for tITP-CZE-UV, an 8-97 fold reduction compared to conventional CZE. The LODs were adequate for the analysis of PSTs in shellfish samples close to the regulatory limit. Intra-day and inter-day repeatability values (percentage relative standard deviation, n =3) of tITP-CZE-(CD)-D-4 and tITP-CZE-UV methods for both migration time and peak height were in the range of 0.82-11% and 0.76-10%, respectively. The developed method was applied to the analysis of a contaminated mussel sample and validated against an Association of Official Analytical Chemists (AOAC)-approved method for PSTs analysis by high performance liquid chromatography (HPLC) with fluorescence detection (FLD) after pre-column oxidation of the sample. The method presented has potential for incorporation in to field-deployable devices for the early detection of PSTs on-site. (C) 2014 Elsevier B.V. All rights reserved.</t>
  </si>
  <si>
    <t>[Keyon, Aemi S. Abdul; Breadmore, Michael C.] Univ Tasmania, Sch Phys Sci, Australian Ctr Res Separat Sci, Hobart, Tas 7001, Australia; [Keyon, Aemi S. Abdul; Guijt, Rosanne M.] Univ Tasmania, Pharm Sch Med, Australian Ctr Res Separat Sci, Hobart, Tas 7001, Australia; [Keyon, Aemi S. Abdul; Bolch, Christopher J. S.] Univ Tasmania, Inst Marine &amp; Antarctic Studies, Hobart, Tas 7250, Australia; [Keyon, Aemi S. Abdul] Univ Teknol Malaysia, Fac Sci, Dept Chem, Utm Johor Bahru 81310, Johor, Malaysia</t>
  </si>
  <si>
    <t>University of Tasmania; University of Tasmania; University of Tasmania; Universiti Teknologi Malaysia</t>
  </si>
  <si>
    <t>Breadmore, MC (corresponding author), Univ Tasmania, Sch Chem, Australian Ctr Res Separat Sci, GPO Box 252-75, Hobart, Tas 7001, Australia.</t>
  </si>
  <si>
    <t>mcb@utas.edu.au</t>
  </si>
  <si>
    <t>Abdul Keyon, Aemi Syazwani/KGK-4372-2024; Guijt, Rosanne/R-2428-2017; Bolch, Christopher J/J-7619-2014; Breadmore, Michael/J-7628-2014</t>
  </si>
  <si>
    <t>Guijt, Rosanne/0000-0003-0011-5708; Breadmore, Michael/0000-0001-5591-4326</t>
  </si>
  <si>
    <t>Australian Research Council, (ARC) [DP0984745, FT130100101]; University of Tasmania; Ministry of Education Malaysia (MOE); Universiti Teknologi Malaysia</t>
  </si>
  <si>
    <t>Australian Research Council, (ARC)(Australian Research Council); University of Tasmania; Ministry of Education Malaysia (MOE); Universiti Teknologi Malaysia</t>
  </si>
  <si>
    <t>The authors would like to thank the Australian Research Council, (ARC), for a QEII Fellowship (DP0984745) and Future Fellowship (FT130100101) and the University of Tasmania for funding support. We also acknowledge scholarships from the Ministry of Education Malaysia (MOE) and Universiti Teknologi Malaysia for A.S.A.K. We would like to thank Department of Primary Industries, Parks, Water and Environment of Tasmania (DPIPWE) and Advanced Analytical Australia Sydney for the contribution of HPLC-FLD results on mussel sample.</t>
  </si>
  <si>
    <t>0021-9673</t>
  </si>
  <si>
    <t>1873-3778</t>
  </si>
  <si>
    <t>J CHROMATOGR A</t>
  </si>
  <si>
    <t>J. Chromatogr. A</t>
  </si>
  <si>
    <t>10.1016/j.chroma.2014.08.074</t>
  </si>
  <si>
    <t>Biochemical Research Methods; Chemistry, Analytical</t>
  </si>
  <si>
    <t>AR1QH</t>
  </si>
  <si>
    <t>WOS:000343359200033</t>
  </si>
  <si>
    <t>Longpré, MA; Stix, J; Burkert, C; Hansteen, T; Kutterolf, S</t>
  </si>
  <si>
    <t>Longpre, Marc-Antoine; Stix, John; Burkert, Cosima; Hansteen, Thor; Kutterolf, Steffen</t>
  </si>
  <si>
    <t>Sulfur budget and global climate impact of the A.D. 1835 eruption of Cosiguina volcano, Nicaragua</t>
  </si>
  <si>
    <t>TREE-RING EVIDENCE; EXPLOSIVE VOLCANISM; STRATOSPHERIC AEROSOLS; TEMPERATURE-CHANGES; SUMMER-TEMPERATURE; EAST ANTARCTICA; RECORD; MAGMA; MELT; GAS</t>
  </si>
  <si>
    <t>Large explosive volcanic eruptions can inject massive amounts of sulfuric gases into the Earth's atmosphere and, in so doing, affect global climate. The January 1835 eruption of Cosiguina volcano, Nicaragua, ranks among the Americas' largest and most explosive historical eruptions, but whether it had effects on global climate remains ambiguous. New petrologic analyses of the Cosigna deposits reveal that the eruption released enough sulfur to explain a prominent circa A. D. 1835 sulfate anomaly in ice cores from both the Arctic and Antarctic. A compilation of temperature-sensitive tree ring chronologies indicates appreciable cooling of the Earth's surface in response to the eruption, consistent with instrumental temperature records. We conclude that this eruption represents one of the most important sulfur- producing events of the last few centuries and had a sizable climate impact rivaling that of the 1991 eruption of Mount Pinatubo.</t>
  </si>
  <si>
    <t>[Longpre, Marc-Antoine] CUNY, Sch Earth &amp; Environm Sci, Queens Coll, New York, NY 10021 USA; [Stix, John] McGill Univ, Dept Earth &amp; Planetary Sci, Montreal, PQ, Canada; [Burkert, Cosima; Hansteen, Thor; Kutterolf, Steffen] GEOMAR Helmholtz Ctr Ocean Res, Kiel, Germany</t>
  </si>
  <si>
    <t>City University of New York (CUNY) System; Queens College NY (CUNY); McGill University; Helmholtz Association; GEOMAR Helmholtz Center for Ocean Research Kiel</t>
  </si>
  <si>
    <t>Longpré, MA (corresponding author), CUNY, Sch Earth &amp; Environm Sci, Queens Coll, New York, NY 10021 USA.</t>
  </si>
  <si>
    <t>mlongpre@qc.cuny.edu</t>
  </si>
  <si>
    <t>Longpré, Marc-Antoine/D-5027-2013; Hansteen, Thor/M-2987-2019</t>
  </si>
  <si>
    <t>Hansteen, Thor/0000-0003-1991-5107; Kutterolf, Steffen/0000-0002-0645-3399; Longpre, Marc-Antoine/0000-0001-7792-5448</t>
  </si>
  <si>
    <t>Natural Sciences and Engineering Research Council of Canada; German Research Foundation</t>
  </si>
  <si>
    <t>Natural Sciences and Engineering Research Council of Canada(Natural Sciences and Engineering Research Council of Canada (NSERC)CGIAR); German Research Foundation(German Research Foundation (DFG))</t>
  </si>
  <si>
    <t>Data and methods to support this article are available as supporting information. Correspondence with M. Carr sparked our interest in this topic. L. Shi provided invaluable support and advice for microprobe analyses. Comments by S. Self, B. Scaillet, and three anonymous readers on an earlier manuscript version, as well as formal reviews by two anonymous referees, helped improved this paper. This research was funded by the Natural Sciences and Engineering Research Council of Canada and the German Research Foundation.</t>
  </si>
  <si>
    <t>OCT 16</t>
  </si>
  <si>
    <t>10.1002/2014GL061205</t>
  </si>
  <si>
    <t>AT4MP</t>
  </si>
  <si>
    <t>WOS:000344913800017</t>
  </si>
  <si>
    <t>Richter, A; Popov, SV; Schröder, L; Schwabe, J; Ewert, H; Scheinert, M; Horwath, M; Dietrich, R</t>
  </si>
  <si>
    <t>Richter, Andreas; Popov, Sergey V.; Schroeder, Ludwig; Schwabe, Joachim; Ewert, Heiko; Scheinert, Mirko; Horwath, Martin; Dietrich, Reinhard</t>
  </si>
  <si>
    <t>Subglacial Lake Vostok not expected to discharge water</t>
  </si>
  <si>
    <t>EAST ANTARCTICA; ALTIMETRY DATA; ICE; THICKNESS; INVENTORY; SURFACE; FIELD; MODEL</t>
  </si>
  <si>
    <t>The question whether Antarctica's largest lake, subglacial Lake Vostok, exchanges water is of interdisciplinary relevance but has been undecided so far. We present the potential pathway, outlet location, and threshold height of subglacial water discharge from this lake based on a quantitative evaluation of the fluid potential. If water left Lake Vostok, it would flow toward Ross Ice Shelf. Discharge would occur first to the east of the southern tip of the lake. At this location the bedrock threshold is 91 +/- 23m higher than the hydrostatic equipotential level of Lake Vostok. It is concluded that Lake Vostok is not likely to reach this level within climatic timescales and that no discharge of liquid water is to be expected. We show that in absence of the ice sheet the Lake Vostok depression would harbor a lake significantly deeper and larger than the present aquifer.</t>
  </si>
  <si>
    <t>[Richter, Andreas; Schroeder, Ludwig; Schwabe, Joachim; Ewert, Heiko; Scheinert, Mirko; Horwath, Martin; Dietrich, Reinhard] Tech Univ Dresden, Inst Planetare Geodasie, D-01062 Dresden, Germany; [Popov, Sergey V.] Polar Marine Geosurvey Expedit, St Petersburg, Russia</t>
  </si>
  <si>
    <t>Technische Universitat Dresden</t>
  </si>
  <si>
    <t>Richter, Andreas/ABD-6833-2020; Horwath, Martin/ABH-4320-2020; Popov, Sergey V./I-2319-2013; Popov, Sergey/IYJ-2371-2023</t>
  </si>
  <si>
    <t>Richter, Andreas/0000-0002-7900-4893; Popov, Sergey V./0000-0002-1830-8658; Popov, Sergey/0000-0002-1830-8658; Scheinert, Mirko/0000-0002-0892-8941; Richter, Andreas/0000-0002-8588-9755</t>
  </si>
  <si>
    <t>For the grid calculus and the figure preparation the Generic Mapping Tools [Wessel and Smith, 1991] were used. The BEDMAP2 data sets, including the Antarctic bedrock elevation, ice thickness, and geoid models used in this work are available at https://secure.antarctica.ac.uk/data/bedmap2/. The regional geoid model used in this work is available as Schwabe et al. [2014]: Regional geoid model for the area of the subglacial Lake Vostok. doi:10.1594/PANGAEA.817028, supplement to Schwabe et al. [2014]: Regional geoid modeling in the area of subglacial Lake Vostok, Antarctica. Journal of Geodynamics, 75, 9-21, doi:10.1016/j.jog.2013.12.002. The regional digital elevation model is available as supporting information to Ewert et al. [2012]: Precise analysis of ICESat altimetry data and assessment of the hydrostatic equilibrium for subglacial Lake Vostok, East Antarctica. Geophysical Journal International, 191(2), 557-568, doi:10.1111/j.1365-246X.2012.05649.x at: http://onlinelibrary.wiley.com/doi/10.1111/j.1365-246X.2012.05649.x/suppinfo. A complete set of aerogeophysical data over the Lake Vostok area [Studinger et al., 2003], including ice thickness data used in this work, is available at http://www.ig.utexas.edu/research/projects/soar/data/LVS/SOAR_lvs.htm. We thank Kazuo Shibuya and an anonymous reviewer for valuable comments. This work was partly funded by the German Research Foundation DFG (grants DI 473/20, DI 473/34, and DI 473/38) and the Russian Foundation for Basic Research (grant 10-05-91330-NNIO-a).</t>
  </si>
  <si>
    <t>10.1002/2014GL061433</t>
  </si>
  <si>
    <t>WOS:000344913800031</t>
  </si>
  <si>
    <t>Kobs, S; Holland, DM; Zagorodnov, V; Stern, A; Tyler, SW</t>
  </si>
  <si>
    <t>Kobs, Scott; Holland, David M.; Zagorodnov, Victor; Stern, Alon; Tyler, Scott W.</t>
  </si>
  <si>
    <t>Novel monitoring of Antarctic ice shelf basal melting using a fiber-optic distributed temperature sensing mooring</t>
  </si>
  <si>
    <t>PINE ISLAND GLACIER; BENEATH; CIRCULATION; PROJECT</t>
  </si>
  <si>
    <t>Measuring basal melting of ice shelves is challenging and represents a critical component toward understanding ocean-ice interactions and climate change. In November 2011, moorings containing fiber-optic cables for distributed temperature sensing (DTS) were installed through the McMurdo Ice Shelf, Antarctica, (similar to 200 m) and extending similar to 600 m into the ice shelf cavity. The high spatial resolution of DTS allows for transient monitoring of the thermal gradient within the ice shelf. The gradient near the ice-ocean interface is extrapolated to the in situ freezing temperature in order to continuously track the ice-ocean interface. Seasonal melt rates are calculated to be similar to 1.0 mm d(-1) and 8.6 mm d(-1), and maximum melting corresponds to the arrival of seasonal warm surface water in the ice shelf cavity between January and April. The development of continuous, surface-based techniques for measuring basal melting represents a significant advance in monitoring ice shelf stability and ice-ocean interactions.</t>
  </si>
  <si>
    <t>[Kobs, Scott; Tyler, Scott W.] Univ Nevada, Dept Geol Sci &amp; Engn, Reno, NV 89557 USA; [Holland, David M.; Stern, Alon] NYU, Courant Inst Math Sci, New York, NY USA; [Zagorodnov, Victor] Ohio State Univ, Byrd Polar Res Ctr, Columbus, OH 43210 USA</t>
  </si>
  <si>
    <t>Nevada System of Higher Education (NSHE); University of Nevada Reno; New York University; University System of Ohio; Ohio State University</t>
  </si>
  <si>
    <t>Tyler, SW (corresponding author), Univ Nevada, Dept Geol Sci &amp; Engn, Reno, NV 89557 USA.</t>
  </si>
  <si>
    <t>styler@unr.edu</t>
  </si>
  <si>
    <t>Office of Polar Programs of the National Science Foundation (NSF) [ANT-10431154]; [ANT-1043217]; [ANT-1043395]; Directorate For Geosciences; Division Of Earth Sciences [1128999] Funding Source: National Science Foundation; Division Of Earth Sciences; Directorate For Geosciences [1337486, 1129003] Funding Source: National Science Foundation</t>
  </si>
  <si>
    <t>Office of Polar Programs of the National Science Foundation (NSF)(National Science Foundation (NSF)); ; ; Directorate For Geosciences; Division Of Earth Sciences(National Science Foundation (NSF)NSF - Directorate for Geosciences (GEO)); Division Of Earth Sciences; Directorate For Geosciences(National Science Foundation (NSF)NSF - Directorate for Geosciences (GEO))</t>
  </si>
  <si>
    <t>Funding for this project has been provided by the Office of Polar Programs of the National Science Foundation (NSF) under grant ANT-10431154, and support was provided to V.Z. and D.M.H. by grants ANT-1043217 and ANT-1043395. The authors would like to thank the reviewers for their valuable comments and suggestions. Additional instrument support was provided by the CTEMPs facility under EAR-1128999, and engineering services were provided by the UNAVCO facility with support from the NSF and NASA under NSF Cooperative agreement EAR-0735156. The full calibrated temperature data sets from mooring BH2, along with documentation on the calibration procedures and parameters will be available at both http://efdl_5.cims.nyu.edu/dts_mcm/ and the National Snow and Ice Data Center. Conservative temperature was calculated using the Thermodynamic Equation of Seawater - 2010, Gibbs-SeaWater (GSW) Oceanographic Toolbox [McDougall and Barker, 2011], TEOS-10 GSWv3.01 MATLAB toolbox, www.teos-10.org/software.htm.</t>
  </si>
  <si>
    <t>10.1002/2014GL061155</t>
  </si>
  <si>
    <t>WOS:000344913800032</t>
  </si>
  <si>
    <t>Grima, C; Blankenship, DD; Young, DA; Schroeder, DM</t>
  </si>
  <si>
    <t>Grima, Cyril; Blankenship, Donald D.; Young, Duncan A.; Schroeder, Dustin M.</t>
  </si>
  <si>
    <t>Surface slope control on firn density at Thwaites Glacier, West Antarctica: Results from airborne radar sounding</t>
  </si>
  <si>
    <t>AMUNDSEN SEA EMBAYMENT; SNOW ACCUMULATION; ICE-SHEET; MICROWAVE-FREQUENCIES; DIELECTRIC-PROPERTIES; VARIABILITY; MODEL; REFLECTIVITY; MARS; MHZ</t>
  </si>
  <si>
    <t>We derive the surface density variations over Thwaites Glacier from a statistical analysis of airborne High-Capability Radar Sounder surface returns acquired in the 2004-2005 summer. We produce a 5 km gridded map with an estimated +/- 12.5 kg m(-3) accuracy. The background pattern of densities decreases inland from similar to 480 kg m(-3) to similar to 350 kg m(-3). A remarkable similar to 30 km wide vein-shaped anomaly of up to 570 kg m(-3) is located similar to 100 km from the coastline. Density anomalies correspond with surface slope breaks but are not necessarily coincident with smaller slopes. They could result from complex wind-driven snow redistribution and/or refreezing of former snowmelt. This inversion technique can significantly improve surface mass balance calculations to understanding of glacier dynamics at regional scales and is valuable to verify and improve Antarctic climate models. It is also a promising approach for future surface analysis of icy moons by planetary radars.</t>
  </si>
  <si>
    <t>[Grima, Cyril; Blankenship, Donald D.; Young, Duncan A.; Schroeder, Dustin M.] Univ Texas Austin, Inst Geophys, Austin, TX 78712 USA; [Schroeder, Dustin M.] CALTECH, Jet Prop Lab, Pasadena, CA USA</t>
  </si>
  <si>
    <t>University of Texas System; University of Texas Austin; California Institute of Technology; National Aeronautics &amp; Space Administration (NASA); NASA Jet Propulsion Laboratory (JPL)</t>
  </si>
  <si>
    <t>Grima, C (corresponding author), Univ Texas Austin, Inst Geophys, Austin, TX 78712 USA.</t>
  </si>
  <si>
    <t>cyril.grima@gmail.com</t>
  </si>
  <si>
    <t>Grima, Cyril/V-2597-2019; Young, Duncan A./G-6256-2010</t>
  </si>
  <si>
    <t>Grima, Cyril/0000-0001-7135-3055; Schroeder, Dustin/0000-0003-1916-3929</t>
  </si>
  <si>
    <t>G. Unger Vetlesen Foundation; NASA's Instrument Concepts for Europa Exploration grant [13-ICEE13-00018]; National Aeronautics and Space Administration</t>
  </si>
  <si>
    <t>G. Unger Vetlesen Foundation; NASA's Instrument Concepts for Europa Exploration grant; National Aeronautics and Space Administration(National Aeronautics &amp; Space Administration (NASA))</t>
  </si>
  <si>
    <t>We thank Brooke Medley for sharing accumulation rate data and two reviewers whose comments improved the manuscript. The data will be made available through NSIDC's ADGC. This work was supported by the G. Unger Vetlesen Foundation and NASA's Instrument Concepts for Europa Exploration grant 13-ICEE13-00018. Part of the research was carried out at the Jet Propulsion Laboratory, California Institute of Technology, under a contract with the National Aeronautics and Space Administration. This is UTIG contribution.</t>
  </si>
  <si>
    <t>10.1002/2014GL061635</t>
  </si>
  <si>
    <t>WOS:000344913800033</t>
  </si>
  <si>
    <t>Tortell, PD; Asher, EC; Ducklow, HW; Goldman, JAL; Dacey, JWH; Grzymski, JJ; Young, JN; Kranz, SA; Bernard, KS; Morel, FMM</t>
  </si>
  <si>
    <t>Tortell, Philippe D.; Asher, Elizabeth C.; Ducklow, Hugh W.; Goldman, Johanna A. L.; Dacey, John W. H.; Grzymski, Joseph J.; Young, Jodi N.; Kranz, Sven A.; Bernard, Kim S.; Morel, Francois M. M.</t>
  </si>
  <si>
    <t>Metabolic balance of coastal Antarctic waters revealed by autonomous pCO2 and ΔO2/Ar measurements</t>
  </si>
  <si>
    <t>OLIGOTROPHIC OCEAN; GRAZING IMPACT; CARBONIC-ACID; LONG-TERM; PRODUCTIVITY; WEST; MICROZOOPLANKTON; DISSOCIATION; PARAMETERS; CONSTANTS</t>
  </si>
  <si>
    <t>We use autonomous gas measurements to examine the metabolic balance (photosynthesis minus respiration) of coastal Antarctic waters during the spring/summer growth season. Our observations capture the development of a massive phytoplankton bloom and reveal striking variability in pCO(2) and biological oxygen saturation (Delta O-2/Ar) resulting from large shifts in community metabolism on time scales ranging from hours to weeks. Diel oscillations in surface gases are used to derive a high-resolution time series of net community production (NCP) that is consistent with C-14-based primary productivity estimates and with the observed seasonal evolution of phytoplankton biomass. A combination of physical mixing, grazing, and light availability appears to drive variability in coastal Antarctic NCP, leading to strong shifts between net autotrophy and heterotrophy on various time scales. Our approach provides insight into the metabolic responses of polar ocean ecosystems to environmental forcing and could be employed to autonomously detect climate-dependent changes in marine primary productivity.</t>
  </si>
  <si>
    <t>[Tortell, Philippe D.; Asher, Elizabeth C.] Univ British Columbia, Dept Earth Ocean &amp; Atmospher Sci, Vancouver, BC V5Z 1M9, Canada; [Tortell, Philippe D.] Univ British Columbia, Dept Bot, Vancouver, BC, Canada; [Ducklow, Hugh W.] Columbia Univ, Lamont Doherty Earth Observ, Palisades, NY USA; [Goldman, Johanna A. L.; Young, Jodi N.; Kranz, Sven A.; Morel, Francois M. M.] Princeton Univ, Dept Geosci, Princeton, NJ 08544 USA; [Dacey, John W. H.] Woods Hole Oceanog Inst, Dept Biol, Woods Hole, MA 02543 USA; [Grzymski, Joseph J.] Univ Nevada, Desert Res Inst, Div Earth &amp; Ecosyst Sci, Reno, NV 89506 USA; [Bernard, Kim S.] Oregon State Univ, Coll Earth Ocean &amp; Atmospher Sci, Corvallis, OR 97331 USA</t>
  </si>
  <si>
    <t>University of British Columbia; University of British Columbia; Columbia University; Princeton University; Woods Hole Oceanographic Institution; Nevada System of Higher Education (NSHE); University of Nevada Reno; Desert Research Institute NSHE; Oregon State University</t>
  </si>
  <si>
    <t>Tortell, PD (corresponding author), Univ British Columbia, Dept Earth Ocean &amp; Atmospher Sci, Vancouver, BC V5Z 1M9, Canada.</t>
  </si>
  <si>
    <t>ptortell@eos.ubc.ca</t>
  </si>
  <si>
    <t>Tortell, Philippe/0000-0003-0212-2151; Grzymski, Joseph/0000-0003-2646-8958</t>
  </si>
  <si>
    <t>U.S. National Science Foundation (OPP awards) [ANT-0823101, ANT-1043559, ANT-1043593, ANT-1043532]; National Science and Engineering Research Council of Canada; Directorate For Geosciences; Division Of Polar Programs [1043559] Funding Source: National Science Foundation; Directorate For Geosciences; Office of Polar Programs (OPP) [1440435] Funding Source: National Science Foundation; Emerging Frontiers; Direct For Biological Sciences [1040965] Funding Source: National Science Foundation; Office of Polar Programs (OPP); Directorate For Geosciences [1043593] Funding Source: National Science Foundation</t>
  </si>
  <si>
    <t>U.S. National Science Foundation (OPP awards)(National Science Foundation (NSF)); National Science and Engineering Research Council of Canada(Natural Sciences and Engineering Research Council of Canada (NSERC)); Directorate For Geosciences; Division Of Polar Programs(National Science Foundation (NSF)NSF - Directorate for Geosciences (GEO)); Directorate For Geosciences; Office of Polar Programs (OPP)(National Science Foundation (NSF)NSF - Directorate for Geosciences (GEO)); Emerging Frontiers; Direct For Biological Sciences(National Science Foundation (NSF)NSF - Directorate for Biological Sciences (BIO)); Office of Polar Programs (OPP); Directorate For Geosciences(National Science Foundation (NSF)NSF - Directorate for Geosciences (GEO))</t>
  </si>
  <si>
    <t>We wish to acknowledge the exceptional assistance provided by the science support and administrative staff at Palmer Station, and we also thank the entire Palmer LTER science team, Mike Stukel, in particular, for helpful discussions and assistance with micrograzing dilution experiments. This study was supported by funds from the U.S. National Science Foundation (OPP awards ANT-0823101, ANT-1043559, ANT-1043593, and ANT-1043532) as well as support for PDT and ECA from the National Science and Engineering Research Council of Canada. Data are freely available upon request.</t>
  </si>
  <si>
    <t>10.1002/2014GL061266</t>
  </si>
  <si>
    <t>WOS:000344913800035</t>
  </si>
  <si>
    <t>Podglajen, A; Hertzog, A; Plougonven, R; Zagar, N</t>
  </si>
  <si>
    <t>Podglajen, Aurelien; Hertzog, Albert; Plougonven, Riwal; Zagar, Nedjeljka</t>
  </si>
  <si>
    <t>Assessment of the accuracy of (re)analyses in the equatorial lower stratosphere</t>
  </si>
  <si>
    <t>TROPICAL TROPOPAUSE LAYER; LONG-DURATION; SOUTHERN-HEMISPHERE; DATA ASSIMILATION; WATER-VAPOR; WAVES; ECMWF; VARIABILITY; REANALYSIS; DYNAMICS</t>
  </si>
  <si>
    <t>The accuracy of horizontal winds and temperature in the equatorial lower stratosphere is evaluated in different (re) analyses (European Centre for Medium-Range Weather Forecasts (ECMWF) operational analysis, ERA Interim, and Modern-Era Retrospective Analysis for Research and Applications) using an independent data set collected at low latitudes during long-duration balloon flights in early 2010. The three analyzed wind products are found significantly less accurate than in the extratropics, with periods of greater than or similar to 10 m/s disagreement with the observations lasting several days. To highlight the dynamical context in which the major disagreement events occur, case studies are carried out. The events are shown to be related to an improper representation of large-scale equatorial Kelvin and Yanai wave packets with vertical wavelengths smaller than 5 km. Such events can induce large errors on trajectories computed with analyzed winds relatively to the actual (balloon) trajectory: 4000 km separation after 5 days of calculation. Reasons for analyses inaccuracy are discussed. The vertical resolution of the underlying model likely plays a role, but the main factor responsible for deficiencies appears to be the lack of wind observations. Indeed, errors in analyzed winds during the campaign have a strong longitudinal structure, with root-mean-square errors twice as large over the Indian Ocean and western Pacific, poorly covered by radiosounding stations, as over the Maritime Continent or South America. For the ECMWF analysis, this structure mirrors that of the analysis increments, which have largest amplitudes over observed regions. We argue that the reported events are more likely to happen during maximum shear phases of the quasi-biennial oscillation.</t>
  </si>
  <si>
    <t>[Podglajen, Aurelien; Hertzog, Albert; Plougonven, Riwal] Ecole Polytech, Lab Meteorol Dynam, Palaiseau, France; [Zagar, Nedjeljka] Univ Ljubljana, Dept Phys, Fac Math &amp; Phys, Ljubljana 61000, Slovenia</t>
  </si>
  <si>
    <t>Institut Polytechnique de Paris; Sorbonne Universite; University of Ljubljana</t>
  </si>
  <si>
    <t>Podglajen, A (corresponding author), Ecole Polytech, Lab Meteorol Dynam, Palaiseau, France.</t>
  </si>
  <si>
    <t>apodgla@lmd.ens.fr</t>
  </si>
  <si>
    <t>Podglajen, Aurelien/0000-0001-9768-3511; Zagar, Nedjeljka/0000-0002-7256-5073; Plougonven, Riwal/0000-0003-3310-8280</t>
  </si>
  <si>
    <t>Ecole Normale Superieure; ANR project StraDyVariUS (Stratospheric Dynamics and Variability); European Research Council [280153]; Meteo-France; CNES; CNRS/INSU; NSF; NCAR; University of Wyoming; Purdue University; University of Colorado; Alfred Wegener Institute; Met Office; ECMWF; (Institut Polaire Francais Paul Emile Victor) IPEV; Programma Nazionale di Ricerche in Antartide (PNRA); United States Antarctic Program (USAP); (British Antarctic Survey) BAS, and from Baseline Surface Radiation Network (BSRN) measurements at Concordia; European Research Council (ERC) [280153] Funding Source: European Research Council (ERC)</t>
  </si>
  <si>
    <t>Ecole Normale Superieure; ANR project StraDyVariUS (Stratospheric Dynamics and Variability)(Agence Nationale de la Recherche (ANR)); European Research Council(European Research Council (ERC)); 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(Institut Polaire Francais Paul Emile Victor) IPEV; Programma Nazionale di Ricerche in Antartide (PNRA); United States Antarctic Program (USAP); (British Antarctic Survey) BAS, and from Baseline Surface Radiation Network (BSRN) measurements at Concordia; European Research Council (ERC)(European Research Council (ERC)Spanish Government)</t>
  </si>
  <si>
    <t>PreConcordiasi balloon data used in this study can be found at ftp://ftp.lmd.polytechnique.fr/hertzog/balloon/Pre-Concordiasi/tsen/. The authors are grateful to Vincent Guidard, Francois Lott and Bernard Legras for fruitful discussions. A. P. acknowledges financial support from the Ecole Normale Superieure. R. P., A. H., and A. P. acknowledge support from ANR project StraDyVariUS (Stratospheric Dynamics and Variability). N.Z. and A. H. would like to acknowledge the International Space Studies Institute (ISSI) in Bern, Switzerland, for hosting the Atmospheric Gravity Waves in Global Climate Prediction and Weather Forecasting Applications team meetings, during which we were able to elaborate part of this work. Research of N.Z. is supported by the funding from the European Research Council, Grant Agreement no. 280153. Concordiasi is an international project, currently supported by the following agencies: Meteo-France, CNES, CNRS/INSU, NSF, NCAR, University of Wyoming, Purdue University, University of Colorado, the Alfred Wegener Institute, the Met Office, and ECMWF. Concordiasi also benefits from logistic or financial support of the operational polar agencies (Institut Polaire Francais Paul Emile Victor) IPEV, Programma Nazionale di Ricerche in Antartide (PNRA), United States Antarctic Program (USAP) and (British Antarctic Survey) BAS, and from Baseline Surface Radiation Network (BSRN) measurements at Concordia. Concordiasi is part of The Observing System Research and Predictability Experiment International Polar Year (THORPEX-IPY) cluster within the International Polar Year effort. We thank Joan Alexander and two anonymous reviewers for their comments that helped to improve the paper.</t>
  </si>
  <si>
    <t>10.1002/2014JD021849</t>
  </si>
  <si>
    <t>AS1PU</t>
  </si>
  <si>
    <t>WOS:000344053400012</t>
  </si>
  <si>
    <t>Christner, BC; Priscu, JC; Achberger, AM; Barbante, C; Carter, SP; Christianson, K; Michaud, AB; Mikucki, JA; Mitchell, AC; Skidmore, ML; Vick-Majors, TJ</t>
  </si>
  <si>
    <t>Christner, Brent C.; Priscu, John C.; Achberger, Amanda M.; Barbante, Carlo; Carter, Sasha P.; Christianson, Knut; Michaud, Alexander B.; Mikucki, Jill A.; Mitchell, Andrew C.; Skidmore, Mark L.; Vick-Majors, Trista J.</t>
  </si>
  <si>
    <t>A microbial ecosystem beneath the West Antarctic ice sheet (vol 512, pg 310, 2014)</t>
  </si>
  <si>
    <t>Vick-Majors, Trista/AAQ-6258-2020; Barbante, Carlo/B-3195-2011</t>
  </si>
  <si>
    <t>Vick-Majors, Trista/0000-0002-6868-4010;</t>
  </si>
  <si>
    <t>10.1038/nature13841</t>
  </si>
  <si>
    <t>AQ7JH</t>
  </si>
  <si>
    <t>WOS:000342988600060</t>
  </si>
  <si>
    <t>Corbett, PA; King, CK; Stark, JS; Mondon, JA</t>
  </si>
  <si>
    <t>Corbett, Patricia A.; King, Catherine K.; Stark, Jonathan S.; Mondon, Julie A.</t>
  </si>
  <si>
    <t>Direct evidence of histopathological impacts of wastewater discharge on resident Antarctic fish (Trematomus bernacchii) at Davis Station, East Antarctica</t>
  </si>
  <si>
    <t>Sewage; Biomarker; Histopathology; Gill; Liver</t>
  </si>
  <si>
    <t>TERRA-NOVA BAY; BROWN TROUT; PHYSIOLOGICAL-RESPONSES; TRACE-METALS; GILLS; SEWAGE; LIVER; CONTAMINATION; BIOMARKER; HEALTH</t>
  </si>
  <si>
    <t>During the 200912010 summer, a comprehensive environmental impact assessment (EIA) of the waste-water discharge at Davis Station, East Antarctica was completed. As part of this, histological alteration of gill and liver tissue in Antarctic Rock-cod (Trematomus bernacchii) from four sites along a spatial gradient from the wastewater outfall were assessed. All fish within 800 m of the outfall exhibited significant histological changes in both tissues. Common pathologies observed in fish closest to the outfall include proliferation of epithelial cells with associated secondary lamellar fusion in the gills and multifocal granulomata with inflammation and necrosis as well as cysts in the liver. Fish from sites &gt;800 m from the outfall also exhibited alterations but to a lesser degree, with prevalence and severity decreasing with increasing distance from the outfall. This study highlights the value of histopathological investigations as part of EIAs and provides the first evidence of sub-lethal alteration associated with wastewater discharge in East Antarctica. (C) 2014 Elsevier Ltd. All rights reserved.</t>
  </si>
  <si>
    <t>[Corbett, Patricia A.; Mondon, Julie A.] Deakin Univ, Sch Life &amp; Environm Sci, Warrnambool, Vic 3280, Australia; [King, Catherine K.; Stark, Jonathan S.] Australian Antarctic Div, Kingston, Tas 7050, Australia</t>
  </si>
  <si>
    <t>Deakin University; Australian Antarctic Division</t>
  </si>
  <si>
    <t>Corbett, PA (corresponding author), 4 Paratea Crt, Greensborough, Vic 3088, Australia.</t>
  </si>
  <si>
    <t>pacor@deakin.edu.au; Cath.King@aad.gov.au; Jonny.Stark@aad.gov.au; Julie.mondon@deakin.edu.au</t>
  </si>
  <si>
    <t>Stark, Jonathan/ABF-4025-2020; King, Catherine K/G-7059-2017</t>
  </si>
  <si>
    <t>Stark, Jonathan/0000-0002-4268-8072; King, Catherine K/0000-0003-3356-0381; Corbett, Patricia/0000-0002-0867-9113</t>
  </si>
  <si>
    <t>Australian Antarctic Division; Environmental Sustainability Research Group, Deakin University; Australian Research Council</t>
  </si>
  <si>
    <t>Australian Antarctic Division; Environmental Sustainability Research Group, Deakin University; Australian Research Council(Australian Research Council)</t>
  </si>
  <si>
    <t>The authors thank the Davis Station summer marine science team of 2009/2010 for assistance in sample collection. This study was funded by the Australian Antarctic Division, the Environmental Sustainability Research Group, Deakin University, and through an Australian Research Council postgraduate scholarship to P. Corbett.</t>
  </si>
  <si>
    <t>OCT 15</t>
  </si>
  <si>
    <t>10.1016/j.marpolbul.2014.08.012</t>
  </si>
  <si>
    <t>AS0ET</t>
  </si>
  <si>
    <t>WOS:000343951800022</t>
  </si>
  <si>
    <t>Corsolini, S; Ancora, S; Bianchi, N; Mariotti, G; Leonzio, C; Christiansen, JS</t>
  </si>
  <si>
    <t>Corsolini, Simonetta; Ancora, Stefania; Bianchi, Nicola; Mariotti, Giacomo; Leonzio, Claudio; Christiansen, Jorgen S.</t>
  </si>
  <si>
    <t>Organotropism of persistent organic pollutants and heavy metals in the Greenland shark Somniosus microcephalus in NE Greenland</t>
  </si>
  <si>
    <t>Somniosus microcephalus; Northeast Greenland fjords; POPs; PBDEs; Heavy metals; Selenium</t>
  </si>
  <si>
    <t>POLYBROMINATED DIPHENYL ETHERS; TOXIC EQUIVALENCY FACTORS; SWORDFISH XIPHIAS-GLADIUS; POLYCHLORINATED-BIPHENYLS; NORTHEAST ATLANTIC; FLAME RETARDANTS; FEEDING ECOLOGY; POLAR BEARS; CONGENER COMPOSITION; EAST GREENLAND</t>
  </si>
  <si>
    <t>The Greenland shark Somniosus microcephalus is an opportunistic feeder, a top predator, and a very long-lived species. The brain, liver, red and white muscle, gonads, fat, skin, pancreas, and spleen of Greenland sharks from NE Greenland fiords were analysed for PCBs, PCDDs/DFs, PBDEs; DDT isomers; HCH isomers; dieldrin; endrin; HCB; Cd, Hg, Pb, and Se. PCBs (2.01-103 ng/g wet wt) and PBDEs (7.9-3050 pg/g wet wt) were detected in most of the samples. PCDDs/DFs showed high values when detected. DDTs, HCB and HCHs were only detected in some tissues. The Sigma TEQ was 5.76 pg/g in muscle. Cadmium mainly accumulated in the pancreas and liver (19.6 and 10.7 mg/kg dry wt, respectively); mercury in red muscle (4.10-6.91 mg/kg dry wt); selenium in the pancreas (3.57 mg/kg dry wt) and spleen (1.95 mg/kg dry wt); lead in the skin (0.358 mg/kg dry wt). The selenium-mercury ratio in the liver was also evaluated. (C) 2014 Elsevier Ltd. All rights reserved.</t>
  </si>
  <si>
    <t>[Corsolini, Simonetta; Ancora, Stefania; Bianchi, Nicola; Mariotti, Giacomo; Leonzio, Claudio] Univ Siena, Dept Phys Earth &amp; Environm Sci, I-53100 Siena, Italy; [Christiansen, Jorgen S.] UiT Arctic Univ Norway, Dept Arctic &amp; Marine Biol, NO-9037 Tromso, Norway; [Christiansen, Jorgen S.] Abo Akad Univ, Dept Biosci Environm &amp; Marine Biol, FI-20500 Turku, Finland</t>
  </si>
  <si>
    <t>University of Siena; UiT The Arctic University of Tromso; Abo Akademi University</t>
  </si>
  <si>
    <t>Corsolini, S (corresponding author), Univ Siena, Dept Phys Earth &amp; Environm Sci, Via PA Mattioli 4, I-53100 Siena, Italy.</t>
  </si>
  <si>
    <t>simonetta.corsolini@unisi.it</t>
  </si>
  <si>
    <t>ANCORA, STEFANIA/AAG-6281-2021; Corsolini, Simonetta/B-9460-2012</t>
  </si>
  <si>
    <t>Corsolini, Simonetta/0000-0002-9772-2362; Ancora, Stefania/0000-0002-2716-3526</t>
  </si>
  <si>
    <t>Italian National Antarctic Research Programme (PNRA) [2009/A1.04]</t>
  </si>
  <si>
    <t>Italian National Antarctic Research Programme (PNRA)</t>
  </si>
  <si>
    <t>The Italian National Antarctic Research Programme (PNRA) funded this research (Project 2009/A1.04). The samples were collected as part of the TUNU Programme at UiT-The Arctic University of Norway, Norway. The authors are grateful to colleagues and crew on board the R/V Jan Mayen for their kind collaboration. S.C. thanks Dr Nicoletta Borghesi for the laboratory analyses of POP residues.</t>
  </si>
  <si>
    <t>10.1016/j.marpolbul.2014.07.021</t>
  </si>
  <si>
    <t>WOS:000343951800057</t>
  </si>
  <si>
    <t>Sasmal, S; Pal, S; Chakrabarti, SK</t>
  </si>
  <si>
    <t>Sasmal, Sudipta; Pal, Sujay; Chakrabarti, Sandip K.</t>
  </si>
  <si>
    <t>Study of long path VLF signal propagation characteristics as observed from Indian Antarctic station, Maitri</t>
  </si>
  <si>
    <t>Long path VLF propagation; Earth-ionosphere waveguide; D-region; Ionosphere</t>
  </si>
  <si>
    <t>SEISMIC ACTIVITIES; SOLAR ECLIPSE; SUBCONTINENT; AMPLITUDE; CAMPAIGNS; SUMMER; WINTER; TIME</t>
  </si>
  <si>
    <t>To examine the quality and propagation characteristics of the Very Low Frequency (VLF) radio waves in a very long propagation path, Indian Centre for Space Physics, Kolkata, participated in the 27th Indian scientific expedition to Antarctica during 2007-2008. One Stanford University made AWESOME VLF receiving system was installed at the Indian Antarctic station Maitri and about five weeks of data were recorded successfully from the Indian transmitter VTX and several other transmitting stations worldwide. The quality of the signal from the VTX transmitter was found to be very good, consistent and highly stable in day and night. The signal shows the evidences of the presence of the 24 h solar radiation in the Antarctic region during local summer. Here we report the both narrow band and broadband VLF observations from this site. The diurnal variations of VTX signal (18.2 kHz) are presented systematically for Antarctica path and also compared the same with the variations for a short propagation path (VTX-Kolkata). We compute the spatial distribution of the VTX signal along the VTX-Antarctica path using the most well-known LWPC model for an all-day and all-night propagation conditions. The calculated signal amplitudes corresponding to those conditions relatively corroborate the observations. We also present the attenuation rate of the dominant waveguide modes corresponding to those propagation conditions where the effects of the Antarctic polar ice on the attenuation of different propagating waveguide modes are visible. (C) 2014 COSPAR. Published by Elsevier Ltd. All rights reserved.</t>
  </si>
  <si>
    <t>[Sasmal, Sudipta; Pal, Sujay; Chakrabarti, Sandip K.] Indian Ctr Space Phys, Kolkata 700084, India; [Chakrabarti, Sandip K.] SN Bose Natl Ctr Basic Sci, Kolkata 700098, India; [Pal, Sujay] Univ Electrocommun, Chofu, Tokyo 182, Japan</t>
  </si>
  <si>
    <t>Department of Science &amp; Technology (India); SN Bose National Centre for Basic Science (SNBNCBS); University of Electro-Communications - Japan</t>
  </si>
  <si>
    <t>Sasmal, S (corresponding author), Indian Ctr Space Phys, 43 Chalantika,Garia St Rd, Kolkata 700084, India.</t>
  </si>
  <si>
    <t>sudipta@csp.res.in; myselfsujay@gmail.com; sandip@csp.res.in</t>
  </si>
  <si>
    <t>Sasmal, Sudipta/ABH-2752-2021</t>
  </si>
  <si>
    <t>Pal, Sujay/0000-0003-1742-9535</t>
  </si>
  <si>
    <t>National Centre for Atmosphere &amp; Ocean Research, India; Ministry of Earth Science, Govt. of India</t>
  </si>
  <si>
    <t>The authors thank to National Centre for Atmosphere &amp; Ocean Research, India and Ministry of Earth Science, Govt. of India for financial and logistics supports. The authors also thank to Stanford University VLF group for providing a training on using AWESOME system. The authors appreciate comments and suggestions expressed by all the reviewers and also thank to Dr. James Brundell of UltraMSK network for providing the VTX data received at Dunedin, New Zealand.</t>
  </si>
  <si>
    <t>10.1016/j.asr.2014.06.002</t>
  </si>
  <si>
    <t>AR5MW</t>
  </si>
  <si>
    <t>WOS:000343629600015</t>
  </si>
  <si>
    <t>Feakins, SJ; Warny, S; DeConto, RM</t>
  </si>
  <si>
    <t>Feakins, Sarah J.; Warny, Sophie; DeConto, Robert M.</t>
  </si>
  <si>
    <t>Snapshot of cooling and drying before onset of Antarctic Glaciation</t>
  </si>
  <si>
    <t>leaf wax; hydrogen isotope; pollen; climate model; Antarctic Peninsula; Eocene</t>
  </si>
  <si>
    <t>PLANT LEAF WAXES; DELTA-D VALUES; SURFACE-TEMPERATURE; SOUTHERN-OCEAN; ICE-SHEET; ISOTOPIC COMPOSITION; LAKE ELGYGYTGYN; CLIMATE MODEL; RECORD; WATER</t>
  </si>
  <si>
    <t>The late Eocene to Oligocene transition (EOT) witnessed a major ice advance on Antarctica. Because of the paucity of accessible outcrops and difficult drilling logistics, little is known about hydrological conditions in the Antarctic Peninsula during the late Eocene prior to the major ice advance. Here we study hydrological conditions with proxy evidence from marine sediment core NBP0602A-3C, adjacent to the tip of the Antarctic Peninsula, with sediments dated to 35.9 +/- 1.1 Ma providing a snapshot of conditions prior to the EOT. We reconstruct conditions during the latest Eocene based on plant leaf wax hydrogen isotopic evidence (delta D-wax) paired with previously-published evidence from pollen assemblages, and compared to climate model experiments simulating conditions before, during and after the transition. The pollen from late Eocene sediments of NBP0602A-3C indicate a Nothofagidites (southern beech) dominated landscape. In the same sediments, delta D-wax values average -202 +/- 7 parts per thousand (1 sigma, n = 22) for the C-28 n-alkanoic acid. Uncertainty around the appropriate net fractionation between water and wax (is an element of(wax)/(w)) provides the largest degree of uncertainty in paleoprecipitation delta D reconstructions and we therefore use two reasonable fractionations -100 and -60 parts per thousand to constrain the likely range of average precipitation delta D values to between -113 and -151 parts per thousand. Model experiments confirm that isotopic compositions show low sensitivity to temperature changes at the tip of the Antarctic Peninsula, in comparison to much larger changes in the continental interior. Across the interval sampled, a decline in pollen abundance from 10(5) to 10(3) gdw(-1) represents cooling and drying towards more tundra-like conditions. The 30 parts per thousand trend in delta D-wax values towards more positive values can best be explained by smaller fractionations as the vegetation shifted from forest to tundra, with greater water stress. Model results are broadly consistent with the data and quantify the cooling and drying across the full EOT from ca. 7 to 2 degrees C and 700 to 600 mm a(-1) with an isotopic shift in delta D of only about -15 parts per thousand at the tip of the Antarctic Peninsula. Pollen and leaf wax proxies reconstruct vegetation and hydrological conditions prior to the transition, and model experiments through the EOT provide proxy-groundtruthed quantification of terrestrial transformations. (C) 2014 Elsevier B.V. All rights reserved.</t>
  </si>
  <si>
    <t>[Feakins, Sarah J.] Univ So Calif, Dept Earth Sci, Los Angeles, CA 90089 USA; [Warny, Sophie] Louisiana State Univ, Dept Geol &amp; Geophys, Baton Rouge, LA 70803 USA; [Warny, Sophie] Louisiana State Univ, Museum Nat Sci, Baton Rouge, LA 70803 USA; [DeConto, Robert M.] Univ Massachusetts, Dept Geosci, Amherst, MA 01003 USA</t>
  </si>
  <si>
    <t>University of Southern California; Louisiana State University System; Louisiana State University; Louisiana State University System; Louisiana State University; University of Massachusetts System; University of Massachusetts Amherst</t>
  </si>
  <si>
    <t>Feakins, SJ (corresponding author), Univ So Calif, Dept Earth Sci, 3651 Trousdale Pkwy, Los Angeles, CA 90089 USA.</t>
  </si>
  <si>
    <t>feakins@usc.edu</t>
  </si>
  <si>
    <t>Warny, Sophie A/A-8226-2013; Feakins, Sarah/K-4149-2012</t>
  </si>
  <si>
    <t>Feakins, Sarah/0000-0003-3434-2423; Warny, Sophie/0000-0002-3451-040X</t>
  </si>
  <si>
    <t>U.S. National Science Foundation; U.S. National Science Foundation [ANT-1048343, AGS-1203910]; University of Southern California; Div Atmospheric &amp; Geospace Sciences; Directorate For Geosciences [1203910] Funding Source: National Science Foundation</t>
  </si>
  <si>
    <t>U.S. National Science Foundation(National Science Foundation (NSF)); U.S. National Science Foundation(National Science Foundation (NSF)); University of Southern California; Div Atmospheric &amp; Geospace Sciences; Directorate For Geosciences(National Science Foundation (NSF)NSF - Directorate for Geosciences (GEO))</t>
  </si>
  <si>
    <t>This research used samples acquired by the SHALDRIL II project led by John Anderson and provided by the Antarctic Marine Geology Research Facility (AMGRF) at Florida State University. Both the SHALDRIL II project and the AMGRF were funded by the U.S. National Science Foundation. Funding for this research was provided by the U.S. National Science Foundation ANT-1048343 to SW, AGS-1203910 to RD and from the University of Southern California to SF. We acknowledge laboratory assistance from M. Rincon, and discussions with K. Griener, R. Askin, S. Bohaty, L. Lawyer and J. Lee. This manuscript was improved with the comments of Michael Hren and two anonymous reviewers.</t>
  </si>
  <si>
    <t>10.1016/j.epsl.2014.07.032</t>
  </si>
  <si>
    <t>AR1NO</t>
  </si>
  <si>
    <t>WOS:000343352100015</t>
  </si>
  <si>
    <t>Mémin, A; Flament, T; Rémy, F; Llubes, M</t>
  </si>
  <si>
    <t>Memin, A.; Flament, T.; Remy, F.; Llubes, M.</t>
  </si>
  <si>
    <t>Snow- and ice-height change in Antarctica from satellite gravimetry and altimetry data</t>
  </si>
  <si>
    <t>Antarctica; ice-height changes; snow-height changes; GRACE; Envisat</t>
  </si>
  <si>
    <t>GLACIAL-ISOSTATIC-ADJUSTMENT; MASS-BALANCE; INTERANNUAL VARIATIONS; RADAR ALTIMETRY; GRAVITY-FIELD; GRACE; SHEET; GREENLAND; STREAMS; SURFACE</t>
  </si>
  <si>
    <t>We combine the surface-elevation and surface-mass change derived from Envisat data and GRACE solutions, respectively, to estimate regional changes in air and ice content of the surface of the Antarctic Ice Sheet (AIS) between January 2003 and October 2010. This leads, upon certain assumptions, to the separation of the rates of recent snow-accumulation change and that of ice-mass change. We obtain that the height of ice in Thwaites and Pine Island glaciers sectors decreases (&lt;= -15.7 cm/yr) while that in the Kamb glacier sector increases (&gt;= 5.3 cm/yr). The central part of the East AIS is mostly stable while the whole Dronning Maud Land coast is dominated by an increase in snow accumulation. The Kemp land regions show an ice-mass gain that accounts for 67-74% of the observed rates of elevation change in these regions. A good agreement is obtained over 68% of the investigated area, mostly in the East AIS, between our estimated rates of snow accumulation change and the predicted rates of the monthly surface mass balance derived from a regional atmospheric climate model. (C) 2014 Elsevier B.V. All rights reserved.</t>
  </si>
  <si>
    <t>[Memin, A.] Univ Tasmania, Sch Phys Sci, Hobart, Tas 7001, Australia; [Flament, T.; Remy, F.] Univ Paul Sabatier OMP, CNRS, LEGOS UMR 5566, F-31400 Toulouse, France; [Llubes, M.] Univ Paul Sabatier OMP, GET UMR 5533, F-31400 Toulouse, France</t>
  </si>
  <si>
    <t>University of Tasmania; Centre National de la Recherche Scientifique (CNRS); CNRS - National Institute for Earth Sciences &amp; Astronomy (INSU); Universite de Toulouse; Universite Toulouse III - Paul Sabatier; Universite de Toulouse; Universite Toulouse III - Paul Sabatier</t>
  </si>
  <si>
    <t>Mémin, A (corresponding author), Univ Tasmania, Sch Phys Sci, Private Bag 37, Hobart, Tas 7001, Australia.</t>
  </si>
  <si>
    <t>anthony.memin@utas.edu.au</t>
  </si>
  <si>
    <t>Memin, Anthony/K-6064-2012; Mémin, Anthony/AAX-3919-2020</t>
  </si>
  <si>
    <t>Memin, Anthony/0000-0003-2931-9034; Mémin, Anthony/0000-0003-2931-9034; Flament, Thomas/0000-0001-9702-302X</t>
  </si>
  <si>
    <t>Australian Research Council [FS110200045]; Australian Research Council [FS110200045] Funding Source: Australian Research Council</t>
  </si>
  <si>
    <t>AM was supported by an Australian Research Council Super Science Fellowship (FS110200045). The authors thank J. Lenaerts and S. Ligtenberg for providing with the monthly surface-mass balance and discussion and E. Ivins for providing with the IJ05_R02 GIA model. C. Watson is acknowledged for his help in improving the manuscript. We also thank two anonymous reviewers for their comments.</t>
  </si>
  <si>
    <t>10.1016/j.epsl.2014.08.008</t>
  </si>
  <si>
    <t>WOS:000343352100032</t>
  </si>
  <si>
    <t>Siqueira, SGL; Serejo, CS</t>
  </si>
  <si>
    <t>Siqueira, Silvana Gomes L.; Serejo, Cristiana S.</t>
  </si>
  <si>
    <t>Cheirimedon foscae sp. nov. (Amphipoda: Lysianassidae: Tryphosinae) from the deep sea Campos Basin, Southwestern Atlantic Ocean</t>
  </si>
  <si>
    <t>ZOOTAXA</t>
  </si>
  <si>
    <t>Lysianassidae; Cheirimedon; new species; taxonomy; deep sea; Campos Basin; Brazil</t>
  </si>
  <si>
    <t>1ST RECORD</t>
  </si>
  <si>
    <t>A new species of lysianassid amphipod belonging to the genus Cheirimedon was collected on the continental slope of the Campos Basin, the largest oil reserve in Brazilian waters. This is the first record of the genus Cheirimedon from the Atlantic Ocean, which was previously restricted to the Antarctic and Tasmanian sea. The new species is fully illustrated and compared with related species. Additionally, a world key to the Cheirimedon species is provided.</t>
  </si>
  <si>
    <t>[Siqueira, Silvana Gomes L.; Serejo, Cristiana S.] Univ Fed Rio de Janeiro, Dept Invertebrados, Setor Carcinol, Museu Nacl, BR-20940040 Rio De Janeiro, Brazil</t>
  </si>
  <si>
    <t>Universidade Federal do Rio de Janeiro</t>
  </si>
  <si>
    <t>Siqueira, SGL (corresponding author), Univ Fed Rio de Janeiro, Dept Invertebrados, Setor Carcinol, Museu Nacl, Quinta da Boa Vista S-N, BR-20940040 Rio De Janeiro, Brazil.</t>
  </si>
  <si>
    <t>silvsbio@yahoo.com; csserejo@acd.ufrj.br</t>
  </si>
  <si>
    <t>Siqueira, Silvana/ABF-5023-2020; Siqueira, Silvana/J-4886-2017; Serejo, Cristiana Silveira/C-8152-2013</t>
  </si>
  <si>
    <t>Siqueira, Silvana/0000-0002-7279-6912;</t>
  </si>
  <si>
    <t>CAPES [23038.007490/2011-12]; CNPq (Conselho Nacional de Desenvolvimento Cientifico e Tecnologico) [310752/2011-6]</t>
  </si>
  <si>
    <t>CAPES(Coordenacao de Aperfeicoamento de Pessoal de Nivel Superior (CAPES)); CNPq (Conselho Nacional de Desenvolvimento Cientifico e Tecnologico)(Conselho Nacional de Desenvolvimento Cientifico e Tecnologico (CNPQ))</t>
  </si>
  <si>
    <t>To CENPES-PETROBRAS for coordinating and making available the material studied from OCEANPROF and HABITATS projects. We also thank the curator of the Crustacea Collection of the Museu de Zoologia da Universidade de Sao Paulo (MZUSP), Dr. Marcos Tavares, for providing the MAPEM study material. The first author thanks CAPES for the postdoctoral grant, process number 23038.007490/2011-12 and second author thanks CNPq (Conselho Nacional de Desenvolvimento Cientifico e Tecnologico) for the productivity grant, process number 310752/2011-6.</t>
  </si>
  <si>
    <t>1175-5326</t>
  </si>
  <si>
    <t>1175-5334</t>
  </si>
  <si>
    <t>Zootaxa</t>
  </si>
  <si>
    <t>10.11646/zootaxa.3873.2.2</t>
  </si>
  <si>
    <t>AQ6CH</t>
  </si>
  <si>
    <t>WOS:000342895000002</t>
  </si>
  <si>
    <t>Warrier, AK; Mahesh, BS; Mohan, R; Shankar, R; Asthana, R; Ravindra, R</t>
  </si>
  <si>
    <t>Warrier, Anish Kumar; Mahesh, B. S.; Mohan, Rahul; Shankar, Rajasekharjah; Asthana, Rajesh; Ravindra, Rasik</t>
  </si>
  <si>
    <t>Glacial-interglacial climatic variations at the Schirmacher Oasis, East Antarctica: The first report from environmental magnetism</t>
  </si>
  <si>
    <t>Environmental magnetism; Mechanical weathering; Pedogenesis; Lake sediments; Schirmacher Oasis; East Antarctica</t>
  </si>
  <si>
    <t>LAKE-SEDIMENTS; HOLOCENE CLIMATE; LATE PLEISTOCENE; LARSEMANN HILLS; VESTFOLD HILLS; BACTERIAL MAGNETITE; HISTORY; RECORD; CORE; CALIBRATION</t>
  </si>
  <si>
    <t>We discuss in this paper the first detailed environmental magnetic record of glacial-interglacial climatic variations in the Schirmacher Oasis, East Antarctica. We determined environmental magnetic properties and interparametric ratios (chi(If), chi fd%, chi(ARM), SIRM, chi(ARM)/SIRM, chi(ARM)/chi(If), chi(ARM)/chi(fd), SIRM/chi(If,) S-ratio and HIRM) for sediment samples of a core from the Sandy Lake. Accelerator mass spectrometer (AMS) C-14 dates were obtained on the organic matter from bulk sediment samples. The sediment core spans the past similar to 42.5 cal. ka B.P. The magnetic minerals are mainly detrital and catchment-derived, as there is no evidence for the presence of authigenic greigite, bacterial magnetite or diagenetic dissolution. The last glacial period is characterized by a high concentration of ferrimagnetic minerals such as titanomagnetite (high values of chi(If), SIRM etc.) and coarse magnetic grain size (low chi(ARM)/SIRM and chi(ARM)/chi(If) values and high S-ratio values). Deglaciation in the Schirmacher Oasis began around 21 cal. ka B.P. as suggested by the low magnetic mineral concentration. The Holocene period is characterized by relatively warm climatic events as seen in the low values of magnetic susceptibility which is primarily contributed by fine-grained titanomagnetite resulting from pedogenesis (high chi(fd) % values). Several of the relatively warm and cold events that we deciphered from the environmental magnetic data are correlatable with lake sediments from the Schirmacher Oasis and other ice-free areas in East Antarctica and from ice-core records on the Antarctic Plateau. (c) 2014 Elsevier B.V. All rights reserved.</t>
  </si>
  <si>
    <t>[Warrier, Anish Kumar; Mahesh, B. S.; Mohan, Rahul] Govt India, Earth Syst Sci Org, Natl Ctr Antarctic &amp; Ocean Res, Minist Earth Sci, Vasco 403804, Goa, India; [Shankar, Rajasekharjah] Mangalore Univ, Dept Marine Geol, Mangalagangothri 574199, Karnataka, India; [Asthana, Rajesh] Human Resource Dev Div, Kolkata 700016, W Bengal, India; [Ravindra, Rasik] Govt India, Earth Syst Sci Org, Minist Earth Sci, New Delhi 110003, India</t>
  </si>
  <si>
    <t>Earth System Science Organization (ESSO); Ministry of Earth Sciences (MoES) - India; National Centre for Polar and Ocean Research (NCPOR); Mangalore University; Earth System Science Organization (ESSO); Ministry of Earth Sciences (MoES) - India</t>
  </si>
  <si>
    <t>Warrier, AK (corresponding author), Govt India, Earth Syst Sci Org, Natl Ctr Antarctic &amp; Ocean Res, Minist Earth Sci, Vasco 403804, Goa, India.</t>
  </si>
  <si>
    <t>akwarrier@gmail.com</t>
  </si>
  <si>
    <t>Warrier, Anish Kumar/AAW-8890-2020</t>
  </si>
  <si>
    <t>Warrier, Anish Kumar/0000-0003-0044-6224; Badnal, Mahesh/0000-0001-6593-4611</t>
  </si>
  <si>
    <t>Ministry of Earth Sciences [DOD/11-MRDF/1/48/P/94-ODII/12-10-96]</t>
  </si>
  <si>
    <t>Ministry of Earth Sciences</t>
  </si>
  <si>
    <t>We thank the Director, NCAOR, for his valuable support and constant encouragement. The magnetic instruments used for this study were procured through grants (DOD Sanction no.: DOD/11-MRDF/1/48/P/94-ODII/12-10-96) under a research project (to RS) sponsored by the erstwhile Department of Ocean Development (now Ministry of Earth Sciences). We are grateful to the Antarctic Logistics Division, NCAOR and Members of the 28th Indian Scientific Expedition to Antarctica for their help. We thank Ms. Sahina Gazi for her timely help in SEM and EDS analysis of magnetic extracts. AKW thanks Prof. Frank Oldfield, Dr. Ann Hirt, Dr. Sandeep K and Dr. Harshavardhana B.G. for their valuable suggestions and discussion of the rock magnetic data. We thank Prof. T. Correge (Editor) and two anonymous reviewers whose comments helped us in improving the manuscript. This is NCAOR contribution no. 20/2014.</t>
  </si>
  <si>
    <t>10.1016/j.palaeo.2014.08.007</t>
  </si>
  <si>
    <t>AQ3RS</t>
  </si>
  <si>
    <t>WOS:000342711800021</t>
  </si>
  <si>
    <t>Zamparas, M; Zacharias, I</t>
  </si>
  <si>
    <t>Zamparas, Miltiadis; Zacharias, Ierotheos</t>
  </si>
  <si>
    <t>Restoration of eutrophic freshwater by managing internal nutrient loads. A review</t>
  </si>
  <si>
    <t>Eutrophication; Internal loads; Inactivation agents; Integrated management</t>
  </si>
  <si>
    <t>NEWMAN LAKE RESTORATION; PHOSPHORUS-BINDING CLAY; AQUEOUS-SOLUTIONS; HYPOLIMNETIC WITHDRAWAL; WASTE-WATER; SEDIMENT; REMOVAL; SHALLOW; PHOSPHATE; LANTHANUM</t>
  </si>
  <si>
    <t>Eutrophication has become the primary water quality issue for most of the freshwater and coastal marine ecosystems in the world. It is one of the most visible examples of biosphere's alteration due to human activities affecting aquatic ecosystems from the Arctic to the Antarctic. As eutrophication becomes frequent and many eutrophic ecosystems have difficulties meeting the EU Water Framework Directive (WFD) criteria the removal of phosphate and/or ammonium gains great importance, in water treatment. The objective of this paper is to review the restoration methods of eutrophic ecosystems, emphasizing remediation methods of internal nutrient release budget as a major factor to control eutrophication. The use of phosphate inactivation agents as a restoration tool, their capacity and application methods, as well as the individual results (in water quality, algal blooms, flora and fauna) in areas that have been implemented were also examined. Moreover, a conceptual model was conducted as a process to determine remediation technique, highlighting the need of an integrated approach to eutrophication management. The chemical lake restoration methods are not a panacea and their implementation should consist a targeted management approach as a part of an integrated management plan. The longevity of the treatment effectiveness using P-inactivation agents is reduced if not given the necessary importance in managing the external nutrient loads. The successful implementation of internal P management measures requires a site-specific study of a range of factors affecting viability of the method used, in connection with an assessment of the potential adverse effects on humans, livestock, biotic and abiotic factors. (C) 2014 Elsevier B.V. All rights reserved.</t>
  </si>
  <si>
    <t>[Zamparas, Miltiadis; Zacharias, Ierotheos] Univ Patras, Dept Environm &amp; Nat Resources Management, Agrinion 30100, Greece</t>
  </si>
  <si>
    <t>University of Patras</t>
  </si>
  <si>
    <t>Zacharias, I (corresponding author), Univ Patras, Dept Environm &amp; Nat Resources Management, 2 Seferi Str, Agrinion 30100, Greece.</t>
  </si>
  <si>
    <t>mzamparas@upatras.gr; izachari@upatras.gr</t>
  </si>
  <si>
    <t>Zamparas, Miltiadis/AAV-4345-2021; Zacharias, Ierotheos/R-9672-2017</t>
  </si>
  <si>
    <t>Zamparas, Miltiadis/0000-0002-7358-4540; Zacharias, Ierotheos/0000-0001-8410-6862</t>
  </si>
  <si>
    <t>10.1016/j.scitotenv.2014.07.076</t>
  </si>
  <si>
    <t>AP7GK</t>
  </si>
  <si>
    <t>WOS:000342245600060</t>
  </si>
  <si>
    <t>Eriksson, B; Eldridge, DJ</t>
  </si>
  <si>
    <t>Eriksson, Bert; Eldridge, David J.</t>
  </si>
  <si>
    <t>Surface destabilisation by the invasive burrowing engineer Mus musculus on a sub-Antarctic island</t>
  </si>
  <si>
    <t>Burrowing; Zoogeomorphology; Bioturbation; Soil movement; Ecosystem engineering; Climate change</t>
  </si>
  <si>
    <t>MARION ISLAND; HOUSE MICE; AZORELLA-SELAGO; ALPINE ZONE; THOMOMYS-BOTTAE; PLANT; MARITIME; IMPACT; BIODIVERSITY; COMMUNITIES</t>
  </si>
  <si>
    <t>Invasive species are known to have substantial trophic effects on ecosystems and ecosystem processes. The invasion of the house mouse (Mus musculus) onto sub-Antarctic islands has had a devastating effect on plants, invertebrates, and birds with substantial changes in ecosystem functions. Less well understood, however, are the nontrophic, geomorphic effects of mice resulting from their burrowing activities. We examined the extent of burrow construction by M. musculus across an area of about 20 ha on Marion Island and the effects of burrows on water flow and sediment movement. We recorded a density of 0.59 +/- 0.48 (mean +/- SD) burrows m(-2), with more burrows at lower altitudes and shallower slopes, and twice the density in the solifluction risers (0.86 +/- 0.54 m(-2)) than the intervening terraces or treads (0.40 +/- 0.51 m(-2)). Most burrows were dug horizontally into the slope and tended to extend about 20 cm deep before turning. A very conservative estimate of sediment removed from burrows from this depth is 2.4 t ha(-1). However, taking into account more detailed data on burrow morphology based on excavations, actual amounts may be closer to 8.4 t ha(-1). Average soil displacement rate for a single burrow, measured over 5 days, was 0.18 kg burrow(-1) day(-1). Burrows acted as conduits for water and warmer air. Stones at burrow entrances were moved eight times farther by water (10.4 cm) than those not associated with burrows. Similarly, temperatures adjacent to burrow entrances were 4.1 degrees C higher than sites 10 cm away. Together our data indicate that mice are having substantial deleterious and geomorphic effects on sub-Antarctic ecosystems through their burrowing. With lower rates of mouse mortality resulting from warmer climates predicted under global climate models, we can expect an increase in damage resulting from mouse activity. Crown Copyright (C) 2014 Published by Elsevier B.V. All rights reserved.</t>
  </si>
  <si>
    <t>[Eriksson, Bert] Uppsala Univ, Dept Social &amp; Econ Geog, Uppsala, Sweden; [Eldridge, David J.] Univ New S Wales, Sch Biol Earth &amp; Environm Sci, Ctr Ecosyst Sci, Sydney, NSW 2052, Australia</t>
  </si>
  <si>
    <t>Uppsala University; University of New South Wales Sydney</t>
  </si>
  <si>
    <t>Eldridge, DJ (corresponding author), Univ New S Wales, Sch Biol Earth &amp; Environm Sci, Ctr Ecosyst Sci, Sydney, NSW 2052, Australia.</t>
  </si>
  <si>
    <t>d.eldridge@unsw.edu.au</t>
  </si>
  <si>
    <t>Eldridge, David/H-3532-2019</t>
  </si>
  <si>
    <t>Eldridge, David/0000-0002-2191-486X</t>
  </si>
  <si>
    <t>Swedish National Development Corporation Agency/NRF</t>
  </si>
  <si>
    <t>Jan Boelhouwers initiated this study, which formed part of the 'Geobiology of sub-Antarctic ecosystems, sensitivity and responses to climate change' project (2007-2010), funded by the Swedish National Development Corporation Agency/NRF research links programme between Sweden and South Africa. The senior author participated in the annual South African National Antarctic Program expedition to Marion Island in April-May 2009.</t>
  </si>
  <si>
    <t>10.1016/j.geomorph.2014.06.026</t>
  </si>
  <si>
    <t>AO6SD</t>
  </si>
  <si>
    <t>WOS:000341480900007</t>
  </si>
  <si>
    <t>Bellini, N; Cox, MJ; Harper, DJ; Stott, SR; Ashok, PC; Dholakia, K; Kawaguchi, S; King, R; Horton, T; Brown, CTA</t>
  </si>
  <si>
    <t>Bellini, Nicola; Cox, Martin J.; Harper, Danielle J.; Stott, Sebastian R.; Ashok, Praveen C.; Dholakia, Kishan; Kawaguchi, So; King, Robert; Horton, Tammy; Brown, Christian T. A.</t>
  </si>
  <si>
    <t>The Application of Optical Coherence Tomography to Image Subsurface Tissue Structure of Antarctic Krill Euphausia superba</t>
  </si>
  <si>
    <t>TARGET-STRENGTH MODEL; VARIABILITY</t>
  </si>
  <si>
    <t>Many small open ocean animals, such as Antarctic krill, are an important part of marine ecosystems. To discover what will happen to animals such as krill in a changing ocean, experiments are run in aquaria where conditions can be controlled to simulate water characteristics predicted to occur in the future. The response of individual animals to changing water conditions can be hard to observe, and with current observation techniques it is very difficult to follow the progress of an individual animal through its life. Optical coherence tomography (OCT) is an optical imaging technique that allows images at high resolution to be obtained from depths up to a few millimeters inside biological specimens. It is compatible with in vivo imaging and can be used repeatedly on the same specimens. In this work, we show how OCT may be applied to post mortem krill samples and how important physiological data such as shell thickness and estimates of organ volume can be obtained. Using OCT we find an average value for the thickness of krill exoskeleton to be (30 +/- 4) mu m along a 1 cm length of the animal body. We also show that the technique may be used to provide detailed imagery of the internal structure of a pleopod joint and provide an estimate for the heart volume of (0.73 +/- 0.03) mm(3).</t>
  </si>
  <si>
    <t>[Bellini, Nicola; Harper, Danielle J.; Stott, Sebastian R.; Ashok, Praveen C.; Dholakia, Kishan; Brown, Christian T. A.] Univ St Andrews, Sch Phys &amp; Astron, SUPA, St Andrews, Fife, Scotland; [Cox, Martin J.; Kawaguchi, So; King, Robert] Australian Antarctic Div, Kingston, Tas, Australia; [Horton, Tammy] Univ Southampton, Natl Oceanog Ctr, Southampton, Hants, England</t>
  </si>
  <si>
    <t>University of St Andrews; Australian Antarctic Division; NERC National Oceanography Centre; University of Southampton</t>
  </si>
  <si>
    <t>Brown, CTA (corresponding author), Univ St Andrews, Sch Phys &amp; Astron, SUPA, St Andrews, Fife, Scotland.</t>
  </si>
  <si>
    <t>ctab@st-andrews.ac.uk</t>
  </si>
  <si>
    <t>Horton, Tammy/G-3590-2010; Kawaguchi, So/N-1795-2017; ASHOK, PRAVEEN C/C-5235-2008</t>
  </si>
  <si>
    <t>Horton, Tammy/0000-0003-4250-1068; King, Robert/0000-0002-4650-2335; Kawaguchi, So/0000-0002-2042-5095; Brown, Christian Thomas Alcuin/0000-0002-4405-6677; Harper, Danielle J./0000-0003-2768-3684; Dholakia, Kishan/0000-0001-6534-9009</t>
  </si>
  <si>
    <t>Australian Antarctic Division science programme [4037, 4050]; Australian Research Council [FS110200057]; U.K. Engineering and Physical Sciences Research Council [EP/G061688/1]; European Union [317744]; CR-UK/EPSRC/MRC/DoH (England) imaging programme; School of Physics and Astronomy Student Staff Council Vacation Award research studentship; EPSRC [EP/G061688/1] Funding Source: UKRI; NERC [noc010009] Funding Source: UKRI; Engineering and Physical Sciences Research Council [EP/G061688/1] Funding Source: researchfish; Natural Environment Research Council [noc010009] Funding Source: researchfish; Australian Research Council [FS110200057] Funding Source: Australian Research Council</t>
  </si>
  <si>
    <t>Australian Antarctic Division science programme; Australian Research Council(Australian Research Council); U.K. Engineering and Physical Sciences Research Council(UK Research &amp; Innovation (UKRI)Engineering &amp; Physical Sciences Research Council (EPSRC)); European Union(European Union (EU)); CR-UK/EPSRC/MRC/DoH (England) imaging programme(UK Research &amp; Innovation (UKRI)Engineering &amp; Physical Sciences Research Council (EPSRC)Medical Research Council UK (MRC)National Institutes of Health Research (NIHR)); School of Physics and Astronomy Student Staff Council Vacation Award research studentship;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 Australian Research Council(Australian Research Council)</t>
  </si>
  <si>
    <t>The collection and rearing of krill specimens was funded by Australian Antarctic Division science programme Project 4037 (Experimental Krill Biology: Response of krill to environmental change), and Project 4050 (Assessing change in krill distribution and abundance in Eastern Antarctica). MJC is funded by Australian Research Council grant FS110200057. The OCT imaging was funded in part by the U.K. Engineering and Physical Sciences Research Council grant EP/G061688/1, the European Union European Union project FAMOS (FP7 ICT, contract no. 317744) and the CR-UK/EPSRC/MRC/DoH (England) imaging programme. DH was funded by a School of Physics and Astronomy Student Staff Council Vacation Award research studentship. The funders had no role in study design, data collection and analysis, decision to publish, or preparation of the manuscript.</t>
  </si>
  <si>
    <t>OCT 13</t>
  </si>
  <si>
    <t>e110367</t>
  </si>
  <si>
    <t>10.1371/journal.pone.0110367</t>
  </si>
  <si>
    <t>AQ9WZ</t>
  </si>
  <si>
    <t>WOS:000343210300110</t>
  </si>
  <si>
    <t>Gallardo, C; Monrás, JP; Plaza, DO; Collao, B; Saona, LA; Durán-Toro, V; Venegas, FA; Soto, C; Ulloa, G; Vásquez, CC; Bravo, D; Pérez-Donoso, JM</t>
  </si>
  <si>
    <t>Gallardo, C.; Monras, J. P.; Plaza, D. O.; Collao, B.; Saona, L. A.; Duran-Toro, V.; Venegas, F. A.; Soto, C.; Ulloa, G.; Vasquez, C. C.; Bravo, D.; Perez-Donoso, J. M.</t>
  </si>
  <si>
    <t>Low-temperature biosynthesis of fluorescent semiconductor nanoparticles (CdS) by oxidative stress resistant Antarctic bacteria</t>
  </si>
  <si>
    <t>JOURNAL OF BIOTECHNOLOGY</t>
  </si>
  <si>
    <t>Antarctic bacteria; Quantum dots; Biosynthesis; CdS; Oxidative stress</t>
  </si>
  <si>
    <t>ENGINEERED ESCHERICHIA-COLI; CADMIUM-SULFIDE NANOPARTICLES; METAL-ION SPECIFICITY; RIBOSOMAL-RNA GENES; QUANTUM DOTS; PSEUDOMONAS-AERUGINOSA; MICROBIAL SYNTHESIS; MEMBRANE-VESICLES; CITRATE; CDTE</t>
  </si>
  <si>
    <t>Bacterial biosynthesis of nanoparticles represents a green alternative for the production of nano structures with novel properties. Recently, the importance of antioxidant molecules on the biosynthesis of semiconductor fluorescent nanoparticles (quantum dots, QDs) by mesophilic bacteria was reported. The objective of this work was the isolation of psychrotolerant, oxidative stress-resistant bacteria from Antarctica to determine their ability for biosynthesizing CdS QDs at low temperatures. QDs biosynthesis at 15 degrees C was evaluated by determining their spectroscopic properties after exposing oxidative-stress resistant isolates identified as Pseudomonas spp. to Cd2+ salts. To characterize the QDs biosynthetic process, the effect of metal exposure on bacterial fluorescence was determined at different times. Time-dependent changes in fluorescence color (green to red), characteristic of QDs, were observed. Electron microscopy analysis of fluorescent cells revealed that biosynthesized nanometric structures localize at the cell periphery. QDs were purified from the bacterial isolates and their fluorescence properties were characterized. Emission spectra displayed classical CdS peaks when excited with UV light. Thiol content, peroxidase activity, lipopolysaccharide synthesis, metabolic profiles and sulfide generation were determined in QDs-producing isolates. No relationship between QDs production and cellular thiol content or peroxidase activity was found. However, sulfide production enhanced CdS QDs biosynthesis. In this work, the use of Antarctic psychrotolerant Pseudomonas spp. for QDs biosynthesis at low temperature is reported for the first time. (C) 2014 Elsevier B.V. All rights reserved.</t>
  </si>
  <si>
    <t>[Gallardo, C.; Monras, J. P.; Plaza, D. O.; Collao, B.; Saona, L. A.; Duran-Toro, V.; Venegas, F. A.; Ulloa, G.; Perez-Donoso, J. M.] Univ Andres Bello, Bionanotechnol &amp; Microbiol Lab, Ctr Bioinformat &amp; Integrat Biol, Fac Ciencias Biol, Santiago, Chile; [Monras, J. P.; Vasquez, C. C.] Univ Santiago Chile, Fac Quim &amp; Biol, Santiago 3363, Chile; [Plaza, D. O.; Saona, L. A.; Duran-Toro, V.] Univ Chile, Fac Ciencias Quim &amp; Farmaceut, Santiago, Chile; [Soto, C.; Ulloa, G.; Bravo, D.] Univ Chile, Fac Odontol, Lab Microbiol Oral, Santiago, Chile; [Collao, B.] Fraunhofer Chile Res, Las Condes, Chile</t>
  </si>
  <si>
    <t>Universidad Andres Bello; Universidad de Santiago de Chile; Universidad de Chile; Universidad de Chile</t>
  </si>
  <si>
    <t>Pérez-Donoso, JM (corresponding author), Univ Andres Bello, Bionanotechnol &amp; Microbiol Lab, Ctr Bioinformat &amp; Integrat Biol, Fac Ciencias Biol, Republ 239, Santiago, Chile.</t>
  </si>
  <si>
    <t>jperezd@gmail.com</t>
  </si>
  <si>
    <t>Saona, Luis A./AFY-6283-2022; Pérez-Donoso, José M./G-3668-2013</t>
  </si>
  <si>
    <t>Pérez-Donoso, José M./0000-0002-9506-1716; Gallardo Benavente, Carla/0000-0001-7293-517X; Saona, Luis Alberto/0000-0002-7739-8614</t>
  </si>
  <si>
    <t>FONDECYT [11110077, 11110076, 1130362]; INACH [T-19-11, MT_04-13, MG_01-13]; Anillo ACT [1107, 1111]; UNAB DI [488-14/R]; CONICYT</t>
  </si>
  <si>
    <t>FONDECYT(Comision Nacional de Investigacion Cientifica y Tecnologica (CONICYT)CONICYT FONDECYT); INACH; Anillo ACT(Comision Nacional de Investigacion Cientifica y Tecnologica (CONICYT)CONICYT PIA/ANILLOS); UNAB DI; CONICYT(Comision Nacional de Investigacion Cientifica y Tecnologica (CONICYT))</t>
  </si>
  <si>
    <t>This work was supported by FONDECYT 11110077 (J.M.P.), FONDECYT 11110076 (D.B.), FONDECYT 1130362 (C.V.), INACH T-19-11 (J.M.P., D.B.), INACH MT_04-13 (L.S.), INACH MG_01-13 (D.P.), Anillo ACT 1107 (J.M.P.), Anillo ACT 1111 (J.M.P., D.B.), UNAB DI 488-14/R (J.M.P.). A doctoral fellowship from CONICYT to J.P.M. is also acknowledged.</t>
  </si>
  <si>
    <t>0168-1656</t>
  </si>
  <si>
    <t>1873-4863</t>
  </si>
  <si>
    <t>J BIOTECHNOL</t>
  </si>
  <si>
    <t>J. Biotechnol.</t>
  </si>
  <si>
    <t>OCT 10</t>
  </si>
  <si>
    <t>10.1016/j.jbiotec.2014.07.017</t>
  </si>
  <si>
    <t>AR8PK</t>
  </si>
  <si>
    <t>WOS:000343837000015</t>
  </si>
  <si>
    <t>Sruthi, KV; Kurian, PJ; Rajani, PR</t>
  </si>
  <si>
    <t>Sruthi, K. V.; Kurian, P. J.; Rajani, P. R.</t>
  </si>
  <si>
    <t>Distribution of major and trace elements of a sediment core from the eastern Arabian Sea and its environmental significance</t>
  </si>
  <si>
    <t>Fluvial input; Holocene; major and trace element chemistry; upwelling</t>
  </si>
  <si>
    <t>LATE QUATERNARY; SURFACE SEDIMENTS; OXYGEN MINIMUM; GEOCHEMISTRY; MONSOON; PRODUCTIVITY; HOLOCENE; METALS; CLIMATE; SLOPE</t>
  </si>
  <si>
    <t>A sediment core recovered from the southeastern Arabian Sea off the Indian subcontinent was analysed to understand the distribution of major (Fe, K, Mg, Al, Ca and Sr) and trace elements (Mn, Ni, Cu and Co) as well as their environmental significance. According to the results, variation of Fe, K, Mg and Al during early Holocene period is reflective of the strengthened southwest monsoon and resulting fluvial input of terrigenous materials to the study region. The concentration profile of Ca, Sr and total organic carbon during late Holocene reveals increased productivity and coastal upwelling during recent periods. The profile of redox-sensitive metals indicates the role of terrigenous sources in the variation of these elements apart from the scavenging-releasing effects of Fe-Mn-oxides/hydroxides as well as decrease in oxygen level in sediment-water interface from early Holocene to late Holocene period. The study suggests that two factors are predominantly responsible for observed geochemical variations-terrigenous and biological contribution.</t>
  </si>
  <si>
    <t>[Sruthi, K. V.; Kurian, P. J.; Rajani, P. R.] Natl Ctr Antarctic &amp; Ocean Res, Headland Sada 403804, Goa, India</t>
  </si>
  <si>
    <t>Kurian, PJ (corresponding author), Natl Ctr Antarctic &amp; Ocean Res, Headland Sada 403804, Goa, India.</t>
  </si>
  <si>
    <t>john@ncaor.gov.in</t>
  </si>
  <si>
    <t>Ministry of Earth Sciences, New Delhi; NCAOR, Goa</t>
  </si>
  <si>
    <t>We thank the Ministry of Earth Sciences, New Delhi for financial support and the Director, NCAOR, Goa for support and suggestions. We also thank the reviewers for constructive comments that helped improve the manuscript. Thanks are also due to Dr Thamban Meloth (NCAOR) and Dr A. K. Tiwari (NCAOR) for providing TOC analyser and AAS facilities; K. Mahalinganathan (NCAOR) and Brijesh (NCAOR) for TOC measurements and AAS analyses respectively and Ms Laju Michael (NCAOR) for preparation of the map. K.V.S. thanks Radioactive Waste Management of the Korea Institute of Energy Technology Evaluation and Planning (KETEP), the Korea Government Ministry of Knowledge Economy (2011T100200152) for constant encouragement during manuscript preparation. This is NCAOR contribution no. 19/2014.</t>
  </si>
  <si>
    <t>AS0KJ</t>
  </si>
  <si>
    <t>WOS:000343965800025</t>
  </si>
  <si>
    <t>Krishnamoorthy, AN; Holm, C; Smiatek, J</t>
  </si>
  <si>
    <t>Krishnamoorthy, Anand Narayanan; Holm, Christian; Smiatek, Jens</t>
  </si>
  <si>
    <t>Local Water Dynamics around Antifreeze Protein Residues in the Presence of Osmolytes: The Importance of Hydroxyl and Disaccharide Groups</t>
  </si>
  <si>
    <t>WINTER FLOUNDER ANTIFREEZE; MOLECULAR-DYNAMICS; FREEZING RESISTANCE; THERMODYNAMICS; SIMULATION; EFFICIENT; GROMACS; BINDING; IONS</t>
  </si>
  <si>
    <t>Antifreeze proteins (AFP) and antifreeze glycoproteins (AFGP) are synthesized by various organisms to enable their cells to survive low temperature environments like in the polar regions. The presence of antifreeze proteins leads to a temperature difference between the melting and freezing poing of the solution known as thermal hysteresis. It is nowadays common knowledge that the antifreeze activity of AFPs is mainly determined by a short range effect which includes a direct binding to the ice phase. Recently, experimental findings also revealed a long-range effect which implies a significant retardation of the water dynamics to facilitate the ice-binding process specifically for AFGPs. The aim of this work is to examine the dynamics of water molecules around different antifreeze protein residue by using atomistic molecular dynamics simulations. A prototype of AFP from antarctic notothenioids with the main subunit alanine-alanine threonine (AAT) and a mutant (polyalanine) together with the residues of an antifreeze glycoprotein (AFGP) were simulated and compared with respect to their influence on the local water shell. The analysis of the water hydrogen bond characteristics and the dipolar relaxation times reveals a strong retardation effect of the water dynamics around the AFGP prototype. Our numerical results reveal the significant importance of polar units like threonine and disaccharides for the direct binding of water molecules in terms of hydrogen bonds and a significant retardation of water dynamics. In addition, a considerable change of the hydration dynamics is additionally observed in the presence of asmolytes like urea and hydroxyectoine. Our findings indicate that this effect is even more pronounced in the presence of kosmotropic osmolytes.</t>
  </si>
  <si>
    <t>[Krishnamoorthy, Anand Narayanan; Holm, Christian; Smiatek, Jens] Univ Stuttgart, Inst Comp Phys, D-70569 Stuttgart, Germany</t>
  </si>
  <si>
    <t>University of Stuttgart</t>
  </si>
  <si>
    <t>Krishnamoorthy, AN (corresponding author), Univ Stuttgart, Inst Comp Phys, D-70569 Stuttgart, Germany.</t>
  </si>
  <si>
    <t>anand@icp.uni-stuttgart.de; smiatek@icp.uni-stuttgart.de</t>
  </si>
  <si>
    <t>Smiatek, Jens/AAV-9135-2020; Holm, Christian/C-2134-2009</t>
  </si>
  <si>
    <t>Smiatek, Jens/0000-0002-3821-0690; Holm, Christian/0000-0003-2739-310X</t>
  </si>
  <si>
    <t>Deutsche Forschungsgemeinschaft through the Stuttgart Center of Excellence SimTech; [Sonderforschungsbereich 716]</t>
  </si>
  <si>
    <t>Deutsche Forschungsgemeinschaft through the Stuttgart Center of Excellence SimTech;</t>
  </si>
  <si>
    <t>The authors thank Martina Havenith, Dominik Horinek, Joachim Dzubiella, Andreas Heuer, Hans-Joachim Gal la, Rakesh Kumar Harishchandra, Julian Michalowsky, Martin Vogele, and Maria Fyta for fruitful discussions and useful hints. A.N.K. acknowledges funding from the Erasmus Mundus program Math.Mods. This work has been funded by the Deutsche Forschungsgemeinschaft through the Stuttgart Center of Excellence SimTech and the Sonderforschungsbereich 716.</t>
  </si>
  <si>
    <t>1520-5207</t>
  </si>
  <si>
    <t>OCT 9</t>
  </si>
  <si>
    <t>10.1021/jp507062r</t>
  </si>
  <si>
    <t>AQ7RD</t>
  </si>
  <si>
    <t>WOS:000343016000003</t>
  </si>
  <si>
    <t>Mallajosyula, SS; Vanommeslaeghe, K; MacKerell, AD</t>
  </si>
  <si>
    <t>Mallajosyula, Sairam S.; Vanommeslaeghe, Kenno; MacKerell, Alexander D., Jr.</t>
  </si>
  <si>
    <t>Perturbation of Long-Range Water Dynamics as the Mechanism for the Antifreeze Activity of Antifreeze Glycoprotein</t>
  </si>
  <si>
    <t>POINT-DEPRESSING GLYCOPROTEINS; ATOM FORCE-FIELD; MOLECULAR-DYNAMICS; ANTARCTIC FISH; AFGP ANALOGS; POLAR FISH; PROTEIN; CHARMM; RECRYSTALLIZATION; GLYCOPEPTIDES</t>
  </si>
  <si>
    <t>Very little is known about the mechanism of antifreeze action of antifreeze glycoproteins (AFGPs) present in Antarctic teleost fish. Recent NMR and CD studies assisted with total synthesis of synthetic AFGP variants have provided insight into the structure of short AFGP glycopeptides, though the observations did not yield information on the antifreeze mechanism of action. In this study, we use Hamiltonian replica exchange (HREX) molecular dynamics simulations to probe the structure and surrounding aqueous environments of both the natural (AFGP8) and synthetic (s-AFGP(4)) AFGPs. AFGPs can adopt both amphiphilic and pseudoamphiphilic conformations, the preference of which is related to the proline content of the peptide. The arrangement of carbohydrates allows the hydroxyl groups on terminal galactose units to form stable water bridges which in turn influence the hydrogen-bond network, structure, and dynamics of the surrounding solvent. Interestingly, these local effects lead to the perturbation of the tetrahedral environment for water molecules in hydration layers far (10.012.0 angstrom) from the AFGPs. This structure-induced alteration of long-range hydration dynamics is proposed to be the major contributor to antifreeze activity, a conclusion that is in line with terahertz spectroscopy experiments. The detailed structuremechanism correlation provided in this study could lead to the design of better synthetic AFGP variants.</t>
  </si>
  <si>
    <t>[Mallajosyula, Sairam S.; Vanommeslaeghe, Kenno; MacKerell, Alexander D., Jr.] Univ Maryland, Dept Pharmaceut Sci, 20 Penn St HSF 2, Baltimore, MD 21201 USA; [Mallajosyula, Sairam S.] Indian Inst Technol Gandhinagar, Dept Chem, Ahmadabad 382424, Gujarat, India</t>
  </si>
  <si>
    <t>University System of Maryland; University of Maryland Baltimore; Indian Institute of Technology System (IIT System); Indian Institute of Technology (IIT) - Gandhinagar</t>
  </si>
  <si>
    <t>MacKerell, AD (corresponding author), Univ Maryland, Dept Pharmaceut Sci, 20 Penn St HSF 2, Baltimore, MD 21201 USA.</t>
  </si>
  <si>
    <t>alex@outerbanks.umaryland.edu</t>
  </si>
  <si>
    <t>MacKerell, Alex/Y-2469-2019; MacKerell, Alex/AAA-2560-2020</t>
  </si>
  <si>
    <t>MacKerell, Alex/0000-0001-8287-6804; Vanommeslaeghe, Kenno/0000-0003-1786-5708</t>
  </si>
  <si>
    <t>NIH [GM070855]</t>
  </si>
  <si>
    <t>NIH(United States Department of Health &amp; Human ServicesNational Institutes of Health (NIH) - USA)</t>
  </si>
  <si>
    <t>Financial support from the NIH (GM070855) is acknowledged. We thank Dr. E. Prabhu Raman, Dr. Jing Huang, and Dr. Dhilon Patel for helpful discussions.</t>
  </si>
  <si>
    <t>10.1021/jp508128d</t>
  </si>
  <si>
    <t>WOS:000343016000011</t>
  </si>
  <si>
    <t>Sterflinger, K; Lopandic, K; Pandey, RV; Blasi, B; Kriegner, A</t>
  </si>
  <si>
    <t>Sterflinger, Katja; Lopandic, Ksenija; Pandey, Ram Vinay; Blasi, Barbara; Kriegner, Albert</t>
  </si>
  <si>
    <t>Nothing Special in the Specialist? Draft Genome Sequence of Cryomyces antarcticus, the Most Extremophilic Fungus from Antarctica</t>
  </si>
  <si>
    <t>ROCK-INHABITING FUNGI; EXOPHIALA; EVOLUTION</t>
  </si>
  <si>
    <t>The draft genome of the Antarctic endemic fungus Cryomyces antarcticus is presented. This rock inhabiting, microcolonial fungus is extremely stress tolerant and it is a model organism for exobiology and studies on stress resistance in Eukaryots. Since this fungus is a specialist in the most extreme environment of the Earth, the analysis of its genome is of important value for the understanding of fungal genome evolution and stress adaptation. A comparison with Neurospora crassa as well as with other microcolonial fungi shows that the fungus has a genome size of 24 Mbp, which is the average in the fungal kingdom. Although sexual reproduction was never observed in this fungus, 34 mating genes are present with protein homologs in the classes Eurotiomycetes, Sordariomycetes and Dothideomycetes. The first analysis of the draft genome did not reveal any significant deviations of this genome from comparative species and mesophilic hyphomycetes.</t>
  </si>
  <si>
    <t>[Sterflinger, Katja; Lopandic, Ksenija; Blasi, Barbara] Univ Nat Resources &amp; Life Sci, VIBT Extremophile Ctr, Vienna, Austria; [Pandey, Ram Vinay; Kriegner, Albert] Austrian Inst Technol, Vienna, Austria; [Pandey, Ram Vinay] Univ Vet Med, Inst Populat Genet, Vienna, Austria</t>
  </si>
  <si>
    <t>BOKU University; Austrian Institute of Technology (AIT); University of Veterinary Medicine Vienna</t>
  </si>
  <si>
    <t>Sterflinger, K (corresponding author), Univ Nat Resources &amp; Life Sci, VIBT Extremophile Ctr, Vienna, Austria.</t>
  </si>
  <si>
    <t>Katja.Sterflinger@boku.ac.at</t>
  </si>
  <si>
    <t>Pandey, Ram Vinay/AAL-1701-2021; Pandey, Ram Vinay/AAA-3544-2022</t>
  </si>
  <si>
    <t>Sterflinger, Katja/0000-0002-0296-6728; Lopandic, Ksenija/0000-0003-2674-2849; Pandey, Ram Vinay/0000-0002-2533-8687; Blasi, Barbara/0000-0002-3776-6363</t>
  </si>
  <si>
    <t>city of Vienna (ZID); Austrian Ministry of Science, Research and Economy</t>
  </si>
  <si>
    <t>The equipment and consumables were funded by a non-profit organisation including the city of Vienna (ZID) and by the Austrian Ministry of Science, Research and Economy. The funders had no role in study design, data collection and analysis, decision to publish, or preparation of the manuscript.</t>
  </si>
  <si>
    <t>OCT 8</t>
  </si>
  <si>
    <t>e109908</t>
  </si>
  <si>
    <t>10.1371/journal.pone.0109908</t>
  </si>
  <si>
    <t>AT8TE</t>
  </si>
  <si>
    <t>WOS:000345204000102</t>
  </si>
  <si>
    <t>Cziko, PA; DeVries, AL; Evans, CW; Cheng, CHC</t>
  </si>
  <si>
    <t>Cziko, Paul A.; DeVries, Arthur L.; Evans, Clive W.; Cheng, Chi-Hing Christina</t>
  </si>
  <si>
    <t>Antifreeze protein-induced superheating of ice inside Antarctic notothenioid fishes inhibits melting during summer warming</t>
  </si>
  <si>
    <t>antagonistic pleiotropy; antifreeze glycoprotein; antifreeze potentiating protein; McMurdo Sound temperature; melting hysteresis</t>
  </si>
  <si>
    <t>SEAWATER TEMPERATURES; MCMURDO SOUND; GLYCOPROTEINS; GLYCOPEPTIDES; EVOLUTION; PEPTIDES; CRYSTALS; GROWTH</t>
  </si>
  <si>
    <t>Antifreeze proteins (AFPs) of polar marine teleost fishes are widely recognized as an evolutionary innovation of vast adaptive value in that, by adsorbing to and inhibiting the growth of internalized environmental ice crystals, they prevent death by inoculative freezing. Paradoxically, systemic accumulation of AFP-stabilized ice could also be lethal. Whether or how fishes eliminate internal ice is unknown. To investigate if ice inside high-latitude Antarctic notothenioid fishes could melt seasonally, we measured its melting point and obtained a decadal temperature record from a shallow benthic fish habitat in McMurdo Sound, Antarctica. We found that AFP-stabilized ice resists melting at temperatures above the expected equilibrium freezing/melting point (eqFMP), both in vitro and in vivo. Superheated ice was directly observed in notothenioid serum samples and in solutions of purified AFPs, and ice was found to persist inside live fishes at temperatures more than 1 degrees C above their eqFMP for at least 24 h, and at a lower temperature for at least several days. Field experiments confirmed that superheated ice occurs naturally inside wild fishes. Over the long-term record (1999-2012), seawater temperature surpassed the fish eqFMP in most summers, but never exceeded the highest temperature at which ice persisted inside experimental fishes. Thus, because of the effects of AFP-induced melting inhibition, summer warming may not reliably eliminate internal ice. Our results expose a potentially antagonistic pleiotropic effect of AFPs: beneficial freezing avoidance is accompanied by melting inhibition that may contribute to lifelong accumulation of detrimental internal ice crystals.</t>
  </si>
  <si>
    <t>[Cziko, Paul A.] Univ Oregon, Inst Ecol &amp; Evolut, Dept Biol, Eugene, OR 97403 USA; [DeVries, Arthur L.; Cheng, Chi-Hing Christina] Univ Illinois, Dept Anim Biol, Urbana, IL 61801 USA; [Evans, Clive W.] Univ Auckland, Sch Biol Sci, Auckland 1142, New Zealand</t>
  </si>
  <si>
    <t>University of Oregon; University of Illinois System; University of Illinois Urbana-Champaign; University of Auckland</t>
  </si>
  <si>
    <t>Cziko, PA (corresponding author), Univ Oregon, Inst Ecol &amp; Evolut, Dept Biol, Eugene, OR 97403 USA.</t>
  </si>
  <si>
    <t>pcziko@gmail.com; c-cheng@illinois.edu</t>
  </si>
  <si>
    <t>Evans, Clive/AAZ-4699-2021</t>
  </si>
  <si>
    <t>Evans, Clive/0000-0003-2888-842X</t>
  </si>
  <si>
    <t>US National Science Foundation Awards [OPP 0231006, ANT 1142158]; National Science Foundation Graduate Research fellowship; Office of Polar Programs (OPP); Directorate For Geosciences [1142158] Funding Source: National Science Foundation</t>
  </si>
  <si>
    <t>US National Science Foundation Awards(National Science Foundation (NSF)); National Science Foundation Graduate Research fellowship(National Science Foundation (NSF)); Office of Polar Programs (OPP); Directorate For Geosciences(National Science Foundation (NSF)NSF - Directorate for Geosciences (GEO))</t>
  </si>
  <si>
    <t>We thank the staff at McMurdo Station and Scott Base; E. DeVries, B. Evans, L. Fields, K. Hoefling, B. Hunt, L. Hunt, K. Meister, K. Murphy, B. Palmintier, R. Robbins, S. Rupp, and R. Tien for assistance in the field; members of the J. W. Thornton laboratory for their support; A. Rempel for helpful discussion; and C. Brooks for providing a conductivity, temperature, and depth cast from the research vessel Nathaniel B. Palmer. This work was supported by US National Science Foundation Awards OPP 0231006 (to A.L.D. and C.-H.C.C.) and ANT 1142158 (to C.-H.C.C. and A.L.D.) and a National Science Foundation Graduate Research fellowship (to P.A.C.).</t>
  </si>
  <si>
    <t>OCT 7</t>
  </si>
  <si>
    <t>10.1073/pnas.1410256111</t>
  </si>
  <si>
    <t>AQ2QU</t>
  </si>
  <si>
    <t>WOS:000342633900067</t>
  </si>
  <si>
    <t>Sartori, AF; Bieler, R</t>
  </si>
  <si>
    <t>Sartori, Andre F.; Bieler, Ruediger</t>
  </si>
  <si>
    <t>Three new species of Ammonicera from the Eastern Pacific coast of North America, with redescriptions and comments on other species of Omalogyridae (Gastropoda, Heterobranchia)</t>
  </si>
  <si>
    <t>Omalogyra; Transomalogyra; Helisalia; biodiversity; systematics; micromolluscs</t>
  </si>
  <si>
    <t>MOLLUSCA; ISLAND; ORBITESTELLIDAE; SKENEIDAE; PATTERNS; HABITAT; SEA</t>
  </si>
  <si>
    <t>The family Omalogyridae comprises some of the smallest known marine snails. Like all micromolluscs, they have been historically neglected and are underrepresented in faunistic surveys. Based on a few focused studies of the family, 15 valid omalogyrid species were previously recognised in the Indian and Pacific Oceans. To these, we add 3 new species based on a morphological analysis of material in the dry collection of the Natural History Museum of Los Angeles County, applying light and scanning electron microscopies. The new species, Ammonicera mcleani, A. mexicana and A. sleursi, are the first omalogyrid species described from the Eastern Pacific coast of North America. Redescriptions of the Australian omalogyrids Ammonicera sucina (Laseron, 1954) and Omalogyra liliputia (Laseron, 1954) are also presented, detailing for the first time ultrastructural aspects of their shell morphology. Additionally, we present here the first record of Ammonicera binodosa Sleurs, 1985b in Sri Lanka, introduce the new combination Ammonicera vangoethemi (Sleurs, 1985c) for Omalogyra vangoethemi, and formally remove Transomalogyra Palazzi &amp; Gaglini, 1979 from Omalogyridae by fixing its type species as Homalogyra densicostata Jeffreys, 1884. Finally, we present lists, geographic records and a bibliography of all currently recognised omalogyrid species in the Indian, Pacific and Antarctic Oceans, as well as an update to a previously published compilation of the Atlantic and Mediterranean representatives of the family.</t>
  </si>
  <si>
    <t>[Sartori, Andre F.; Bieler, Ruediger] Field Museum Nat Hist, Chicago, IL 60605 USA</t>
  </si>
  <si>
    <t>Field Museum of Natural History (Chicago)</t>
  </si>
  <si>
    <t>Sartori, AF (corresponding author), Field Museum Nat Hist, 1400 S Lake Shore Dr, Chicago, IL 60605 USA.</t>
  </si>
  <si>
    <t>andrefsartori@gatesscholar.org; rbieler@fieldmuseum.org</t>
  </si>
  <si>
    <t>Bieler, Rudiger/F-3280-2010</t>
  </si>
  <si>
    <t>Bieler, Rudiger/0000-0002-9554-1947; Sartori, Andre/0000-0003-0682-1646</t>
  </si>
  <si>
    <t>AQ1TN</t>
  </si>
  <si>
    <t>WOS:000342564200001</t>
  </si>
  <si>
    <t>Bednarsek, N; Tarling, GA; Bakker, DCE; Fielding, S; Feely, RA</t>
  </si>
  <si>
    <t>Bednarsek, Nina; Tarling, Geraint A.; Bakker, Dorothee C. E.; Fielding, Sophie; Feely, Richard A.</t>
  </si>
  <si>
    <t>Dissolution Dominating Calcification Process in Polar Pteropods Close to the Point of Aragonite Undersaturation</t>
  </si>
  <si>
    <t>OCEAN ACIDIFICATION; CARBON-DIOXIDE; SOUTHERN-OCEAN; SCOTIA SEA; SATURATION; IMPACT; CO2; SEAWATER; PACIFIC; CALCITE</t>
  </si>
  <si>
    <t>Thecosome pteropods are abundant upper-ocean zooplankton that build aragonite shells. Ocean acidification results in the lowering of aragonite saturation levels in the surface layers, and several incubation studies have shown that rates of calcification in these organisms decrease as a result. This study provides a weight-specific net calcification rate function for thecosome pteropods that includes both rates of dissolution and calcification over a range of plausible future aragonite saturation states (Omega(ar)). We measured gross dissolution in the pteropod Limacina helicina antarctica in the Scotia Sea (Southern Ocean) by incubating living specimens across a range of aragonite saturation states for a maximum of 14 days. Specimens started dissolving almost immediately upon exposure to undersaturated conditions (Omega(ar) similar to 0.8), losing 1.4% of shell mass per day. The observed rate of gross dissolution was different from that predicted by rate law kinetics of aragonite dissolution, in being higher at Omega(ar) levels slightly above 1 and lower at Omega(ar) levels of between 1 and 0.8. This indicates that shell mass is affected by even transitional levels of saturation, but there is, nevertheless, some partial means of protection for shells when in undersaturated conditions. A function for gross dissolution against Omega(ar) derived from the present observations was compared to a function for gross calcification derived by a different study, and showed that dissolution became the dominating process even at Omega(ar) levels close to 1, with net shell growth ceasing at an Omega(ar) of 1.03. Gross dissolution increasingly dominated net change in shell mass as saturation levels decreased below 1. As well as influencing their viability, such dissolution of pteropod shells in the surface layers will result in slower sinking velocities and decreased carbon and carbonate fluxes to the deep ocean.</t>
  </si>
  <si>
    <t>[Bednarsek, Nina; Feely, Richard A.] NOAA, Pacific Marine Environm Lab, Seattle, WA 98115 USA; [Bednarsek, Nina; Tarling, Geraint A.; Fielding, Sophie] British Antarctic Survey, Cambridge CB3 0ET, England; [Bednarsek, Nina; Bakker, Dorothee C. E.] Univ E Anglia, Sch Environm Sci, Ctr Ocean &amp; Atmospher Sci, Norwich NR4 7TJ, Norfolk, England</t>
  </si>
  <si>
    <t>National Oceanic Atmospheric Admin (NOAA) - USA; UK Research &amp; Innovation (UKRI); Natural Environment Research Council (NERC); NERC British Antarctic Survey; University of East Anglia</t>
  </si>
  <si>
    <t>Bednarsek, N (corresponding author), NOAA, Pacific Marine Environm Lab, 7600 Sand Point Way Ne, Seattle, WA 98115 USA.</t>
  </si>
  <si>
    <t>nina.bednarsek@noaa.gov</t>
  </si>
  <si>
    <t>Fielding, Sophie/E-5137-2012; bednarsek, nina/AAM-7748-2021; Bednarsek, Nina/Q-8937-2017; Feely, Richard A./ABI-5740-2020; Bakker, Dorothee/E-4951-2015</t>
  </si>
  <si>
    <t>bednarsek, nina/0000-0002-9177-6626; Bakker, Dorothee/0000-0001-9234-5337</t>
  </si>
  <si>
    <t>FAASIS (Fellowships in Antarctic Air-Sea-Ice Science), a European Union Marie Curie Early Stage Training Network [MEST-CT-2004-514159]; Ecosystems Programme at the British Antarctic Survey; UK Ocean Acidification Research Programme - Natural Environment Research Council; Department for Environment, Food and Rural Affairs; Department for Energy and Climate Change [NE/H017267/1]; NOAA Ocean Acidification Program; Natural Environment Research Council [bas0100025, NE/H017267/1, NE/H017038/1] Funding Source: researchfish; NERC [NE/H017038/1, NE/H017267/1, bas0100025] Funding Source: UKRI</t>
  </si>
  <si>
    <t>FAASIS (Fellowships in Antarctic Air-Sea-Ice Science), a European Union Marie Curie Early Stage Training Network; Ecosystems Programme at the British Antarctic Survey; UK Ocean Acidification Research Programme - Natural Environment Research Council; Department for Environment, Food and Rural Affairs(Department for Environment, Food &amp; Rural Affairs (DEFRA)); Department for Energy and Climate Change; NOAA Ocean Acidification Program(National Oceanic Atmospheric Admin (NOAA) - USA); Natural Environment Research Council(UK Research &amp; Innovation (UKRI)Natural Environment Research Council (NERC)); NERC(UK Research &amp; Innovation (UKRI)Natural Environment Research Council (NERC))</t>
  </si>
  <si>
    <t>NB was supported by the FAASIS (Fellowships in Antarctic Air-Sea-Ice Science, MEST-CT-2004-514159), a European Union Marie Curie Early Stage Training Network. GT and SOF were supported by the Ecosystems Programme at the British Antarctic Survey. GT and DCEB received additional support from the UK Ocean Acidification Research Programme, funded by the Natural Environment Research Council, the Department for Environment, Food and Rural Affairs and the Department for Energy and Climate Change (grant no. NE/H017267/1). RF was supported by the NOAA Ocean Acidification Program. The funders had no role in study design, data collection and analysis, decision to publish, or preparation of the manuscript.</t>
  </si>
  <si>
    <t>OCT 6</t>
  </si>
  <si>
    <t>e109183</t>
  </si>
  <si>
    <t>10.1371/journal.pone.0109183</t>
  </si>
  <si>
    <t>AU6XC</t>
  </si>
  <si>
    <t>Green Submitted, Green Published, Green Accepted, gold</t>
  </si>
  <si>
    <t>WOS:000345743700052</t>
  </si>
  <si>
    <t>Dsouza, M; Taylor, MW; Turner, SJ; Aislabie, J</t>
  </si>
  <si>
    <t>Dsouza, Melissa; Taylor, Michael W.; Turner, Susan J.; Aislabie, Jackie</t>
  </si>
  <si>
    <t>Genome-Based Comparative Analyses of Antarctic and Temperate Species of Paenibacillus</t>
  </si>
  <si>
    <t>ROSS SEA REGION; SOIL BACTERIAL COMMUNITY; COLD SHOCK RESPONSE; 16S RIBOSOMAL-RNA; SP-NOV.; BACILLUS-SUBTILIS; PERMAFROST BACTERIUM; MICROBIAL DIVERSITY; LAKE WELLMAN; SEQUENCE</t>
  </si>
  <si>
    <t>Antarctic soils represent a unique environment characterised by extremes of temperature, salinity, elevated UV radiation, low nutrient and low water content. Despite the harshness of this environment, members of 15 bacterial phyla have been identified in soils of the Ross Sea Region (RSR). However, the survival mechanisms and ecological roles of these phyla are largely unknown. The aim of this study was to investigate whether strains of Paenibacillus darwinianus owe their resilience to substantial genomic changes. For this, genome-based comparative analyses were performed on three P. darwinianus strains, isolated from gamma-irradiated RSR soils, together with nine temperate, soil-dwelling Paenibacillus spp. The genome of each strain was sequenced to over 1,000-fold coverage, then assembled into contigs totalling approximately 3 Mbp per genome. Based on the occurrence of essential, single-copy genes, genome completeness was estimated at approximately 88%. Genome analysis revealed between 3,043-3,091 protein-coding sequences (CDSs), primarily associated with two-component systems, sigma factors, transporters, sporulation and genes induced by cold-shock, oxidative and osmotic stresses. These comparative analyses provide an insight into the metabolic potential of P. darwinianus, revealing potential adaptive mechanisms for survival in Antarctic soils. However, a large proportion of these mechanisms were also identified in temperate Paenibacillus spp., suggesting that these mechanisms are beneficial for growth and survival in a range of soil environments. These analyses have also revealed that the P. darwinianus genomes contain significantly fewer CDSs and have a lower paralogous content. Notwithstanding the incompleteness of the assemblies, the large differences in genome sizes, determined by the number of genes in paralogous clusters and the CDS content, are indicative of genome content scaling. Finally, these sequences are a resource for further investigations into the expression of physiological attributes that enable survival under extreme conditions and selection processes that affect prokaryotic genome evolution.</t>
  </si>
  <si>
    <t>[Dsouza, Melissa; Taylor, Michael W.; Turner, Susan J.] Univ Auckland, Ctr Microbial Innovat, Sch Biol Sci, Auckland 1, New Zealand; [Turner, Susan J.] BioDiscovery New Zealand Ltd, Auckland, New Zealand; [Aislabie, Jackie] Landcare Res, Hamilton, New Zealand</t>
  </si>
  <si>
    <t>University of Auckland; Landcare Research - New Zealand</t>
  </si>
  <si>
    <t>Dsouza, M (corresponding author), Univ Auckland, Ctr Microbial Innovat, Sch Biol Sci, Auckland 1, New Zealand.</t>
  </si>
  <si>
    <t>melissa33in@gmail.com</t>
  </si>
  <si>
    <t>Taylor, Michael/0000-0002-0463-7813</t>
  </si>
  <si>
    <t>Ministry of Business, Innovation and Employment's Science and Innovation Group, New Zealand</t>
  </si>
  <si>
    <t>Ministry of Business, Innovation and Employment's Science and Innovation Group, New Zealand(New Zealand Ministry of Business, Innovation and Employment (MBIE))</t>
  </si>
  <si>
    <t>This research was supported by Core funding for Crown Research Institutes from the Ministry of Business, Innovation and Employment's Science and Innovation Group, New Zealand (www.mbie.govt.nz). The funders had no role in study design, data collection and analysis, decision to publish, or preparation of the manuscript.</t>
  </si>
  <si>
    <t>e108009</t>
  </si>
  <si>
    <t>10.1371/journal.pone.0108009</t>
  </si>
  <si>
    <t>WOS:000345743700012</t>
  </si>
  <si>
    <t>Qi, HP; Coplen, TB; Tarbox, L; Lorenz, JM; Scholl, M</t>
  </si>
  <si>
    <t>Qi, Haiping; Coplen, Tyler B.; Tarbox, Lauren; Lorenz, Jennifer M.; Scholl, Martha</t>
  </si>
  <si>
    <t>USGS48 Puerto Rico precipitation - a new isotopic reference material for δ2H and δ18O measurements of water</t>
  </si>
  <si>
    <t>ISOTOPES IN ENVIRONMENTAL AND HEALTH STUDIES</t>
  </si>
  <si>
    <t>USGS48; isotope measurements; reference material; oxygen-18; methods and equipment; quality control; isotope hydrology; quality assurance; hydrogen-2</t>
  </si>
  <si>
    <t>HYDROGEN; RATIO; OXYGEN; GAS</t>
  </si>
  <si>
    <t>A new secondary isotopic reference material has been prepared from Puerto Rico precipitation, which was filtered, homogenised, loaded into glass ampoules, sealed with a torch, autoclaved to eliminate biological activity, and calibrated by dual-inlet isotope-ratio mass spectrometry. This isotopic reference material, designated as USGS48, is intended to be one of two isotopic reference waters for daily normalisation of stable hydrogen (delta H-2) and stable oxygen (delta O-18) isotopic analysis of water with a mass spectrometer or a laser absorption spectrometer. The delta H-2 and delta O-18 values of this reference water are-2.0 +/- 0.4 and-2.224 +/- 0.012 parts per thousand, respectively, relative to Vienna Standard Mean Ocean Water on scales normalised such that the delta H-2 and delta O-18 values of Standard Light Antarctic Precipitation reference water are-428 and-55.5 parts per thousand, respectively. Each uncertainty is an estimated expanded uncertainty (U=2u(c)) about the reference value that provides an interval that has about a 95% probability of encompassing the true value. This isotopic reference water is available by the case of 144 glass ampoules containing 5mL of water in each ampoule.</t>
  </si>
  <si>
    <t>[Qi, Haiping; Coplen, Tyler B.; Tarbox, Lauren; Lorenz, Jennifer M.; Scholl, Martha] US Geol Survey, Reston, VA 22092 USA</t>
  </si>
  <si>
    <t>United States Department of the Interior; United States Geological Survey</t>
  </si>
  <si>
    <t>Qi, HP (corresponding author), US Geol Survey, 959 Natl Ctr, Reston, VA 22092 USA.</t>
  </si>
  <si>
    <t>haipingq@usgs.gov</t>
  </si>
  <si>
    <t>Scholl, Martha/0000-0001-6994-4614; Lorenz, Jennifer/0000-0002-5826-7264</t>
  </si>
  <si>
    <t>U.S. Geological Survey National Research Program</t>
  </si>
  <si>
    <t>U.S. Geological Survey National Research Program(United States Geological Survey)</t>
  </si>
  <si>
    <t>This work was supported by the U.S. Geological Survey National Research Program.</t>
  </si>
  <si>
    <t>1025-6016</t>
  </si>
  <si>
    <t>1477-2639</t>
  </si>
  <si>
    <t>ISOT ENVIRON HEALT S</t>
  </si>
  <si>
    <t>Isot. Environ. Health Stud.</t>
  </si>
  <si>
    <t>OCT 2</t>
  </si>
  <si>
    <t>10.1080/10256016.2014.905555</t>
  </si>
  <si>
    <t>Chemistry, Inorganic &amp; Nuclear; Environmental Sciences</t>
  </si>
  <si>
    <t>AU4HQ</t>
  </si>
  <si>
    <t>WOS:000345571800003</t>
  </si>
  <si>
    <t>O'Gorman, JP; Otero, RA; Hiller, N</t>
  </si>
  <si>
    <t>O'Gorman, Jose P.; Otero, Rodrigo A.; Hiller, Norton</t>
  </si>
  <si>
    <t>A new record of an aristonectine elasmosaurid (Sauropterygia, Plesiosauria) from the Upper Cretaceous of New Zealand: implications for the Mauisaurus haasti Hector, 1874 hypodigm</t>
  </si>
  <si>
    <t>ALCHERINGA</t>
  </si>
  <si>
    <t>Aristonectinae; Aristonectes; Kaiwhekea; Conway Formation; Upper Cretaceous; Weddellian Province</t>
  </si>
  <si>
    <t>NORTHERN PATAGONIA; MARINE REPTILES; SOUTH ISLAND; LAKUMASAURUS; PIRIPAUAN; SQUAMATA; PACIFIC; CABRERA</t>
  </si>
  <si>
    <t>O'Gorman, J.P., Otero, R.A. &amp; Hiller, N., 2014. A new record of an aristonectine elasmosaurid (Sauropterygia, Plesiosauria) from the Upper Cretaceous of New Zealand: implications for the Mauisaurus haasti Hector, 1874 hypodigm. Alcheringa 38, 504-512. ISSN 0311-5518An indeterminate aristonectine elasmosaurid is recorded from a lower Maastrichtian bed of the Conway Formation, Waipara River, South Island, New Zealand. The described specimen (CM Zfr 104), previously considered part of the hypodigm of Mauisaurus haasti, came from the upper part of the Alterbidinium acutulum biozone, the same zone from which the only well-known aristonectine from New Zealand, Kaiwhekea katiki, is recorded. The cervical vertebrae of CM Zfr 104 have the same distinctive features (i.e., with extremely broad rather than long centra) as those from previously recorded juvenile aristonectines from Argentina, Chile and Antarctica. This new record is congruent with the biogeographic relationships of Cretaceous marine amniotes from the Weddellian Palaeobiogeographic Province (i.e., Patagonia, western Antarctica, New Zealand and southeastern Australia). Therefore, this type of vertebra is regarded as a distinctive feature of the Weddellian aristonectine elasmosaurids.</t>
  </si>
  <si>
    <t>[O'Gorman, Jose P.] Univ Nacl La Plata, Museo La Plata, Div Paleontol Vertebrados, La Plata, Buenos Aires, Argentina; [O'Gorman, Jose P.] Consejo Nacl Invest Cient &amp; Tecn, RA-1033 Buenos Aires, DF, Argentina; [Otero, Rodrigo A.] Univ Chile, Fac Ciencias, Dept Biol, Red Paleontol U Chile,Lab Ontogenia &amp; Filogenia, Santiago, Chile; [Hiller, Norton] Univ Canterbury, Dept Geol Sci, Christchurch 8001, New Zealand; [Hiller, Norton] Canterbury Museum, Christchurch 8013, New Zealand</t>
  </si>
  <si>
    <t>National University of La Plata; Museo La Plata; Consejo Nacional de Investigaciones Cientificas y Tecnicas (CONICET); Universidad de Chile; University of Canterbury</t>
  </si>
  <si>
    <t>O'Gorman, JP (corresponding author), Univ Nacl La Plata, Museo La Plata, Div Paleontol Vertebrados, Paseo Bosque S-N,B1900FWA, La Plata, Buenos Aires, Argentina.</t>
  </si>
  <si>
    <t>joseogorman@fcnym.unlp.edu.ar; paracrioceras@gmail.com; norton.hiller@canterbury.ac.nz</t>
  </si>
  <si>
    <t>O’Gorman, José/AAK-6096-2021</t>
  </si>
  <si>
    <t>Otero, Rodrigo/0000-0002-3046-2973</t>
  </si>
  <si>
    <t>Antarctic Ring Project (Anillos de Ciencia Antartica ACT-105, Conicyt-Chile); Domeyko II grant 'Red Paleontologica U-Chile' of the Universidad de Chile [UR-C12/1]; [PICT 2008-0261]; [PICT 2012-0748]; [PICTO 2010-0093]; [UNLP N 677]; [UNLP N607]; [PIP 0433]</t>
  </si>
  <si>
    <t>Antarctic Ring Project (Anillos de Ciencia Antartica ACT-105, Conicyt-Chile)(Comision Nacional de Investigacion Cientifica y Tecnologica (CONICYT)CONICYT PIA/ANILLOS); Domeyko II grant 'Red Paleontologica U-Chile' of the Universidad de Chile; ; ; ; ; ;</t>
  </si>
  <si>
    <t>This research was supported by projects PICT 2008-0261, PICT 2012-0748; PICTO 2010-0093; UNLP N 677, UNLP N607 and PIP 0433. The authors thank E. Fordyce (Otago University, New Zealand); P. Scofield (Canterbury Museum) and J. Simes (National Paleontology Collection, GNS Science Avalon, New Zealand), for allowing us to review the elasmosaurs from those institutions, and Kyle Davis (Canterbury Museum), for taking some of the photographs. RAO was initially supported by the Antarctic Ring Project (Anillos de Ciencia Antartica ACT-105, Conicyt-Chile) and is currently supported by the Domeyko II UR-C12/1 grant 'Red Paleontologica U-Chile' of the Universidad de Chile.</t>
  </si>
  <si>
    <t>0311-5518</t>
  </si>
  <si>
    <t>1752-0754</t>
  </si>
  <si>
    <t>Alcheringa</t>
  </si>
  <si>
    <t>10.1080/03115518.2014.908267</t>
  </si>
  <si>
    <t>AR2LS</t>
  </si>
  <si>
    <t>WOS:000343419000004</t>
  </si>
  <si>
    <t>Telesetsky, A; Anton, DK; Koivurova, T</t>
  </si>
  <si>
    <t>Telesetsky, Anastasia; Anton, Donald K.; Koivurova, Timo</t>
  </si>
  <si>
    <t>ICJ's Decision in Australia v. Japan: Giving up the Spear or Refining the Scientific Design?</t>
  </si>
  <si>
    <t>OCEAN DEVELOPMENT AND INTERNATIONAL LAW</t>
  </si>
  <si>
    <t>scientific whaling; Whaling Case; International Convention on Whaling</t>
  </si>
  <si>
    <t>The case Whaling in the Antarctic (Australia v. Japan) decided by the International Court of Justice is a landmark that introduces new parameters for measuring the reasonableness of scientific research by permit under the International Convention on Whaling. However, aspects of these parameters and how they may be applied in future cases remain uncertain. Because the Court's interpretation of the language for purposes of scientific research avoids defining scientific research, the Court's decision provides only a limited degree of clarification for States that intend to operate scientific whaling programs under Article VIII of the Convention. The Court's reasonableness test is unlikely to prevent scientific whaling. States who no longer support the dual object and purpose of the Whaling Convention may want to consider negotiating a new international instrument that would be more protective of whales and their habitat.</t>
  </si>
  <si>
    <t>[Telesetsky, Anastasia] Univ Idaho, Coll Law, Moscow, ID 83843 USA; [Anton, Donald K.] Australian Natl Univ, Coll Law, Canberra, ACT, Australia; [Koivurova, Timo] Univ Lapland, Northern Inst Environm &amp; Minor Law NIEM, Rovaniemi, Finland</t>
  </si>
  <si>
    <t>Idaho; University of Idaho; Australian National University; University of Lapland</t>
  </si>
  <si>
    <t>Telesetsky, A (corresponding author), Univ Idaho, Coll Law, 875 Perimeter Dr,MS 2321, Moscow, ID 83843 USA.</t>
  </si>
  <si>
    <t>atelesetsky@uidaho.edu</t>
  </si>
  <si>
    <t>Koivurova, Timo/L-4458-2013; Anton, Donald/O-3392-2017</t>
  </si>
  <si>
    <t>Koivurova, Timo/0000-0002-3548-5883; Anton, Donald/0000-0002-6503-6229</t>
  </si>
  <si>
    <t>0090-8320</t>
  </si>
  <si>
    <t>1521-0642</t>
  </si>
  <si>
    <t>OCEAN DEV INT LAW</t>
  </si>
  <si>
    <t>Ocean Dev. Int. Law</t>
  </si>
  <si>
    <t>10.1080/00908320.2014.957970</t>
  </si>
  <si>
    <t>International Relations; Law</t>
  </si>
  <si>
    <t>AR0YM</t>
  </si>
  <si>
    <t>WOS:000343302500002</t>
  </si>
  <si>
    <t>Holmstrup, M</t>
  </si>
  <si>
    <t>Holmstrup, Martin</t>
  </si>
  <si>
    <t>The ins and outs of water dynamics in cold tolerant soil invertebrates</t>
  </si>
  <si>
    <t>JOURNAL OF THERMAL BIOLOGY</t>
  </si>
  <si>
    <t>Arctic environments; Cryoprotective dehydration; Compatible osmolytes; Freeze tolerance; Soil invertebrates</t>
  </si>
  <si>
    <t>COLLEMBOLAN ONYCHIURUS-ARCTICUS; CRYOPROTECTIVE DEHYDRATION; SUBZERO TEMPERATURES; ANTARCTIC MIDGE; OVERWINTERING STRATEGIES; DROUGHT ACCLIMATION; HARDINESS; SURVIVAL; DESICCATION; PHYSIOLOGY</t>
  </si>
  <si>
    <t>Many soil invertebrates have physiological characteristics in common with freshwater animals and represent an evolutionary transition from aquatic to terrestrial life forms. Their high cuticular permeability and ability to tolerate large modifications of internal osmolality are of particular importance for their cold tolerance. A number of cold region species that spend some or most of their life-time in soil are in more or less intimate contact with soil ice during overwintering. Unless such species have effective barriers against cuticular water-transport, they have only two options for survival: tolerate internal freezing or dehydrate. The risk of internal ice formation may be substantial due to inoculative freezing and many species rely on freeze-tolerance for overwintering. If freezing does not occur, the desiccating power of external ice will cause the animal to dehydrate until vapor pressure equilibrium between body fluids and external ice has been reached. This cold tolerance mechanism is termed cryoprotective dehydration (CPD) and requires that the animal must be able to tolerate substantial dehydration. Even though CPD is essentially a freeze-avoidance strategy the associated physiological traits are more or less the same as those found in freeze tolerant species. The most well-known are accumulation of compatible osmolytes and molecular chaperones reducing or protecting against the stress caused by cellular dehydration. Environmental moisture levels of the habitat are important for which type of cold tolerance is employed, not only in an evolutionary context, but also within a single population. Some species use CPD under relatively dry conditions, but freeze tolerance when soil moisture is high. (C) 2014 Elsevier Ltd. All rights reserved.</t>
  </si>
  <si>
    <t>[Holmstrup, Martin] Aarhus Univ, Dept Biosci, DK-8600 Silkeborg, Denmark</t>
  </si>
  <si>
    <t>Aarhus University</t>
  </si>
  <si>
    <t>Holmstrup, M (corresponding author), Aarhus Univ, Dept Biosci, Vejlsovej 25, DK-8600 Silkeborg, Denmark.</t>
  </si>
  <si>
    <t>martin.holmstrup@dmu.dk</t>
  </si>
  <si>
    <t>Holmstrup, Martin/E-8731-2017; Holmstrup, Martin/I-7463-2013</t>
  </si>
  <si>
    <t>Holmstrup, Martin/0000-0001-8395-6582</t>
  </si>
  <si>
    <t>Society of Experimental Biology; Journal of Thermal Biology</t>
  </si>
  <si>
    <t>The author thanks Society of Experimental Biology and Journal of Thermal Biology for supporting this paper, and the constructive criticism of reviewers.</t>
  </si>
  <si>
    <t>0306-4565</t>
  </si>
  <si>
    <t>1879-0992</t>
  </si>
  <si>
    <t>J THERM BIOL</t>
  </si>
  <si>
    <t>J. Therm. Biol.</t>
  </si>
  <si>
    <t>OCT</t>
  </si>
  <si>
    <t>10.1016/j.jtherbio.2014.09.001</t>
  </si>
  <si>
    <t>Biology; Zoology</t>
  </si>
  <si>
    <t>Life Sciences &amp; Biomedicine - Other Topics; Zoology</t>
  </si>
  <si>
    <t>CP3AX</t>
  </si>
  <si>
    <t>WOS:000359750300017</t>
  </si>
  <si>
    <t>von der Heyden, BP; Hauser, EJ; Mishra, B; Martinez, GA; Bowie, AR; Tyliszczak, T; Mtshali, TN; Roychoudhury, AN; Myneni, SCB</t>
  </si>
  <si>
    <t>von der Heyden, Bjorn P.; Hauser, Emily J.; Mishra, Bhoopesh; Martinez, Gustavo A.; Bowie, Andrew R.; Tyliszczak, Tolek; Mtshali, Thato N.; Roychoudhury, Alakendra N.; Myneni, Satish C. B.</t>
  </si>
  <si>
    <t>Ubiquitous Presence of Fe(II) in Aquatic Colloids and Its Association with Organic Carbon</t>
  </si>
  <si>
    <t>ENVIRONMENTAL SCIENCE &amp; TECHNOLOGY LETTERS</t>
  </si>
  <si>
    <t>IRON; SPECTROSCOPY; SPECIATION; REDUCTION; OXIDATION; MINERALS; KINETICS; PHASE; MODEL; FE</t>
  </si>
  <si>
    <t>Despite being thermodynamically less stable, small ferrous colloids (60 nm to 3 mu m in diameter) remain an important component of the biogeochemical cycle at the Earth's surface, yet their composition and structure and the reasons for their persistence are still poorly understood. Here we use X-ray-based Fe L-edge and carbon K-edge spectromicroscopy to address the speciation and organic-mineral associations of ferrous, ferric, and Fe-poor particles collected from sampling sites in both marine and freshwater environments. We show that Fe(II)-rich phases are prevalent throughout different aquatic regimes yet exhibit a high degree of chemical heterogeneity. Furthermore, we show that Fe-rich particles show strong associations with organic carbon. The observed association of Fe(II) particles with carboxamide functional groups suggests a possible microbial role in the preservation of Fe(II). These finding have significant implications for the behavior of Fe(II) colloids in oxygenated waters, and their role in different aquatic biogeochemical processes.</t>
  </si>
  <si>
    <t>[von der Heyden, Bjorn P.; Roychoudhury, Alakendra N.] Univ Stellenbosch, Dept Earth Sci, ZA-7602 Matieland, South Africa; [Hauser, Emily J.; Myneni, Satish C. B.] Princeton Univ, Dept Geosci, Princeton, NJ 08544 USA; [Mishra, Bhoopesh] IIT, Dept Phys, Chicago, IL 60616 USA; [Martinez, Gustavo A.] Univ Puerto Rico, Coll Agr Sci, Crops &amp; Agroenvironm Dept, Mayaguez, PR USA; [Bowie, Andrew R.] Antarctic Climate &amp; Ecosyst CRC, Hobart, Tas 7001, Australia; [Bowie, Andrew R.] Univ Tasmania, Inst Marine &amp; Antarctic Studies, Hobart, Tas 7001, Australia; [Tyliszczak, Tolek] Univ Calif Berkeley, Lawrence Berkeley Natl Lab, Adv Light Source, Berkeley, CA 94720 USA; [Mtshali, Thato N.] CSIR, ZA-7600 Stellenbosch, South Africa</t>
  </si>
  <si>
    <t>Stellenbosch University; Princeton University; Illinois Institute of Technology; University of Puerto Rico; University of Puerto Rico Mayaguez; University of Tasmania; University of Tasmania; University of California System; University of California Berkeley; United States Department of Energy (DOE); Lawrence Berkeley National Laboratory; Council for Scientific &amp; Industrial Research (CSIR) - South Africa</t>
  </si>
  <si>
    <t>von der Heyden, BP (corresponding author), Univ Stellenbosch, Dept Earth Sci, Private Bag X1, ZA-7602 Matieland, South Africa.</t>
  </si>
  <si>
    <t>bjorn.vonderheyden@exxaro.com</t>
  </si>
  <si>
    <t>Martinez, Gustavo/AAC-9483-2020; Bowie, Andrew/C-8677-2013</t>
  </si>
  <si>
    <t>Bowie, Andrew/0000-0002-5144-7799</t>
  </si>
  <si>
    <t>NRF, South Africa (Blue Skies Program); Stellenbosch University VR(R) fund; National Science Foundation (chemical sciences); U.S. Department of Energy (BES and SBR); Princeton in Africa program; Australia Marine National Facility; GEOTRACES; CSIR (SOCCO); IRGS Grant from the University of Tasmania [L0018934]</t>
  </si>
  <si>
    <t>NRF, South Africa (Blue Skies Program); Stellenbosch University VR(R) fund; National Science Foundation (chemical sciences)(National Science Foundation (NSF)); U.S. Department of Energy (BES and SBR)(United States Department of Energy (DOE)); Princeton in Africa program; Australia Marine National Facility; GEOTRACES; CSIR (SOCCO); IRGS Grant from the University of Tasmania</t>
  </si>
  <si>
    <t>This research is supported by grants from NRF, South Africa (Blue Skies Program), the Stellenbosch University VR(R) fund, the National Science Foundation (chemical sciences), the U.S. Department of Energy (BES and SBR), and the Princeton in Africa program. Field work was partly funded by the Australia Marine National Facility, GEOTRACES, CSIR (SOCCO), and IRGS Grant L0018934 from the University of Tasmania. We thank the support staff at the Advanced Light Source for helping with data collection and sample preparation. We further acknowledge J. Compton and M. Lohan and three anonymous reviewers for their useful comments during review. This is AEON publication 120.</t>
  </si>
  <si>
    <t>2328-8930</t>
  </si>
  <si>
    <t>ENVIRON SCI TECH LET</t>
  </si>
  <si>
    <t>Environ. Sci. Technol. Lett.</t>
  </si>
  <si>
    <t>10.1021/ez500164v</t>
  </si>
  <si>
    <t>CD1JQ</t>
  </si>
  <si>
    <t>WOS:000350831600002</t>
  </si>
  <si>
    <t>Mishra, KP; Yadav, AP; Sharma, YK; Ganju, L; Singh, SB</t>
  </si>
  <si>
    <t>Mishra, K. P.; Yadav, A. P.; Sharma, Y. K.; Ganju, Lilly; Singh, S. B.</t>
  </si>
  <si>
    <t>Effect of extreme conditions of Antarctica on human leukocyte antigen-G in Indian expeditioners</t>
  </si>
  <si>
    <t>INDIAN JOURNAL OF MEDICAL RESEARCH</t>
  </si>
  <si>
    <t>Antarctica; expeditioners; HLA-G; inflammation; serum; ship</t>
  </si>
  <si>
    <t>SOLUBLE HLA-G; CELL-SURFACE; SUMMER EXPEDITIONERS; PERIPHERAL-BLOOD; G ISOFORMS; CYTOKINES; PATHWAY; NK</t>
  </si>
  <si>
    <t>Background &amp; objectives: Immune activation and inflammation play critical roles in the stressful environmental conditions like high altitude, extreme cold, etc. Human leukocyte antigen-G (HLA-G) is a non classical major histocompatiblity complex class I (MHC class-I) protein, upregulated in the context of transplantation, malignancy and inflammation. We hypothesized serum HLA-G as a possible stress biomarker and studied levels of soluble form of HLA-G (sHLA-G) in Indian Antarctic expeditioners. Methods: sHLA-G ELISA was performed in the serum of summer (n=27) and winter (n=22) Indian Antarctic expeditioners. The summer expeditioners were evaluated at three different time points, i.e. before leaving India, after one month ship borne journey, and after staying one month at Indian research base, Maitri in Antarctica, while winter expeditioners were evaluated at five different time points, i.e. before leaving India, and in the month of March, May, August and November at Antarctica. Results: one month ship borne journey did not cause any significant change in the sHLA-G level as compared to the baseline level of the summer expeditioners. sHLA-G levels were not changed significantly in the months of March, May, August and November as compared to the baseline level of the winter expeditioners. Interpretation &amp; conclusions: Our results indicated that the extreme conditions of Antarctica did not cause any significant change in the sHLA-G level in both summer and winter expeditioners.</t>
  </si>
  <si>
    <t>[Mishra, K. P.; Yadav, A. P.; Ganju, Lilly; Singh, S. B.] Def Inst Physiol &amp; Allied Sci, Immunomodulat Lab, Delhi 110054, India; [Sharma, Y. K.] Def Inst Physiol &amp; Allied Sci, Div Biostat, Delhi 110054, India</t>
  </si>
  <si>
    <t>Defence Research &amp; Development Organisation (DRDO); Defence Institute of Physiology &amp; Allied Sciences (DIPAS); Defence Research &amp; Development Organisation (DRDO); Defence Institute of Physiology &amp; Allied Sciences (DIPAS)</t>
  </si>
  <si>
    <t>Mishra, KP (corresponding author), Def Inst Physiol &amp; Allied Sci, Immunomodulat Lab, Lucknow Rd, Delhi 110054, India.</t>
  </si>
  <si>
    <t>kpmpgi@rediffmail.com</t>
  </si>
  <si>
    <t>Mishra, KP/0000-0002-8371-3772</t>
  </si>
  <si>
    <t>DRDO, Ministry of Defence, Government of India</t>
  </si>
  <si>
    <t>Authors thank the 28th Indian Antarctic expeditioners who have voluntarily given their blood sample for conducting this study. Special thanks to Dr Pradip Malhotra, Leader and station commander Maitri, Antarctica and National Centre for Antarctic and Ocean Research, India, for providing all the facilities required for the study. Authors acknowledge Dr Ashwani Kumar Mishra, Assistant Professor at AIIMS, New Delhi, for statistical help in analyzing the data. The first author (KPM) was summer member and the second author (APY) was winter member for the 28th Indian Antarctic Expedition. The study was supported by DRDO, Ministry of Defence, Government of India.</t>
  </si>
  <si>
    <t>INDIAN COUNCIL MEDICAL RES</t>
  </si>
  <si>
    <t>PO BOX 4911 ANSARI NAGAR, NEW DELHI 110029, INDIA</t>
  </si>
  <si>
    <t>0971-5916</t>
  </si>
  <si>
    <t>INDIAN J MED RES</t>
  </si>
  <si>
    <t>Indian J. Med. Res.</t>
  </si>
  <si>
    <t>Immunology; Medicine, General &amp; Internal; Medicine, Research &amp; Experimental</t>
  </si>
  <si>
    <t>Immunology; General &amp; Internal Medicine; Research &amp; Experimental Medicine</t>
  </si>
  <si>
    <t>AW4NY</t>
  </si>
  <si>
    <t>WOS:000346259000011</t>
  </si>
  <si>
    <t>Previdi, M; Polvani, LM</t>
  </si>
  <si>
    <t>Previdi, Michael; Polvani, Lorenzo M.</t>
  </si>
  <si>
    <t>Climate system response to stratospheric ozone depletion and recovery</t>
  </si>
  <si>
    <t>QUARTERLY JOURNAL OF THE ROYAL METEOROLOGICAL SOCIETY</t>
  </si>
  <si>
    <t>stratospheric ozone; climate change; Southern Annular Mode</t>
  </si>
  <si>
    <t>SOUTHERN ANNULAR MODE; ANTARCTIC CIRCUMPOLAR CURRENT; RELATIVELY SIMPLE AGCM; SEA-ICE TRENDS; PART II; OCEAN; VARIABILITY; CIRCULATION; WIND; TEMPERATURE</t>
  </si>
  <si>
    <t>We review what is presently known about the climate system response to stratospheric ozone depletion and its projected recovery, focusing on the responses of the atmosphere, ocean and cryosphere. Compared with well-mixed greenhouse gases (GHGs), the radiative forcing of climate due to observed stratospheric ozone loss is very small: in spite of this, recent trends in stratospheric ozone have caused profound changes in the Southern Hemisphere (SH) climate system, primarily by altering the tropospheric midlatitude jet, which is commonly described as a change in the Southern Annular Mode. Ozone depletion in the late twentieth century was the primary driver of the observed poleward shift of the jet during summer, which has been linked to changes in tropospheric and surface temperatures, clouds and cloud radiative effects, and precipitation at both middle and low latitudes. It is emphasized, however, that not all aspects of the SH climate response to stratospheric ozone forcing can be understood in terms of changes in the midlatitude jet. The response of the Southern Ocean and sea ice to ozone depletion is currently a matter of debate. For the former, the debate is centred on the role of ocean eddies in possibly opposing wind-driven changes in the mean circulation. For the latter, the issue is reconciling the observed expansion of Antarctic sea-ice extent during the satellite era with robust modelling evidence that the ice should melt as a result of stratospheric ozone depletion (and increases in GHGs). Despite lingering uncertainties, it has become clear that ozone depletion has been instrumental in driving SH climate change in recent decades. Similarly, ozone recovery will figure prominently in future climate change, with its impacts expected to largely cancel the impacts of increasing GHGs during the next half-century.</t>
  </si>
  <si>
    <t>[Previdi, Michael; Polvani, Lorenzo M.] Columbia Univ, Lamont Doherty Earth Observ, Palisades, NY 10964 USA; [Polvani, Lorenzo M.] Columbia Univ, Dept Appl Phys &amp; Appl Math, New York, NY USA; [Polvani, Lorenzo M.] Columbia Univ, Dept Earth &amp; Environm Sci, New York, NY USA</t>
  </si>
  <si>
    <t>Columbia University; Columbia University; Columbia University</t>
  </si>
  <si>
    <t>Previdi, M (corresponding author), Columbia Univ, Lamont Doherty Earth Observ, 61 Route 9W, Palisades, NY 10964 USA.</t>
  </si>
  <si>
    <t>mprevidi@ldeo.columbia.edu</t>
  </si>
  <si>
    <t>Polvani, Lorenzo M/E-5949-2011</t>
  </si>
  <si>
    <t>Columbia University from the National Science Foundation; Directorate For Geosciences; Office of Polar Programs (OPP) [0944063] Funding Source: National Science Foundation</t>
  </si>
  <si>
    <t>Columbia University from the National Science Foundation; Directorate For Geosciences; Office of Polar Programs (OPP)(National Science Foundation (NSF)NSF - Directorate for Geosciences (GEO))</t>
  </si>
  <si>
    <t>We thank Karen Smith, Ryan Abernathey and two anonymous reviewers for helpful comments. We also thank Karen Smith for preparing one of the figures. M.P. acknowledges helpful conversations with Kevin Grise. This work was supported by a grant to Columbia University from the National Science Foundation.</t>
  </si>
  <si>
    <t>0035-9009</t>
  </si>
  <si>
    <t>1477-870X</t>
  </si>
  <si>
    <t>Q J ROY METEOR SOC</t>
  </si>
  <si>
    <t>Q. J. R. Meteorol. Soc.</t>
  </si>
  <si>
    <t>10.1002/qj.2330</t>
  </si>
  <si>
    <t>AW5YL</t>
  </si>
  <si>
    <t>WOS:000346346700002</t>
  </si>
  <si>
    <t>Thomazini, A; Teixeira, DD; Turbay, CVG; La Scala, N; Schaefer, CEGR; Mendonça, ED</t>
  </si>
  <si>
    <t>Thomazini, Andre; Teixeira, Daniel De Bortoli; Gabrig Turbay, Caio Vinicius; La Scala, Newton, Jr.; Schaefer, Carlos Ernesto G. R.; Mendonca, Eduardo De Sa</t>
  </si>
  <si>
    <t>Spatial Variability of CO2 Emissions from Newly Exposed Paraglacial Soils at a Glacier Retreat Zone on King George Island, Maritime Antarctica</t>
  </si>
  <si>
    <t>PERMAFROST AND PERIGLACIAL PROCESSES</t>
  </si>
  <si>
    <t>permafrost; soil organic matter; organic carbon</t>
  </si>
  <si>
    <t>TEMPORAL VARIATION; DECOMPOSITION; RESPIRATION; VEGETATION; CRYOSOLS; EFFLUX; FLUXES; SEASON</t>
  </si>
  <si>
    <t>Thawed soils in Antarctica represent organic carbon (C) reservoirs with great potential to increase the net losses of CO2 to the atmosphere under climate change scenarios. This study spatially zones CO2 emissions from soil and vegetation along a transect in front of the retreating margin of Ecology Glacier in Admiralty Bay, King George Island, South Shetlands, near the Polish Antarctic station Henryk Arctowski. Two experiments were carried out to determine soil respiration: (1) a transect of 150 measuring points spaced 1m apart, statistically analysed with split moving windows, identified three regions with different patterns of CO2 emissions; (2) a survey with three grids containing 60 sampling points, with a minimum distance between points of 0.30m, totalling 2.7x1.5m, in each of the identified locations. The survey showed that CO2 emission rates decreased (from 2.38 to 0.00 mu molm(-2)s(-1)) and soil temperature at 5cm depth increased (from 1.9 to 7 degrees C) near the glacier. The site farthest from the glacier provided an emission 3.5 times higher than the closest site. The spatial variability of CO2 emissions decreased with distance from the glacier. Soil development and vegetation are identified as key drivers of CO2 emissions. Soil formation and vegetation growth increased with longer exposure since deglaciation, leading to enhanced homogeneity of CO2 emissions, independent of permafrost occurrence and stability. Copyright (c) 2014 John Wiley &amp; Sons, Ltd.</t>
  </si>
  <si>
    <t>[Thomazini, Andre; Mendonca, Eduardo De Sa] Univ Fed Espirito Santo, Dept Plant Prod, BR-29500000 Alegre, Espirito Santo, Brazil; [Teixeira, Daniel De Bortoli] Univ Estadual Paulista Solos &amp; Adubos, Sao Paulo, Brazil; [Gabrig Turbay, Caio Vinicius] Univ Fed Espirito Santo, Dept Geol, BR-29500000 Alegre, Espirito Santo, Brazil; [La Scala, Newton, Jr.] Univ Estadual Paulista, Fac Ciencias Agr &amp; Vet, Jaboticabal, SP, Brazil; [Schaefer, Carlos Ernesto G. R.] Univ Fed Vicosa, Dept Soils, Vicosa, MG, Brazil</t>
  </si>
  <si>
    <t>Universidade Federal do Espirito Santo; Universidade Federal do Espirito Santo; Universidade Estadual Paulista; Universidade Federal de Vicosa</t>
  </si>
  <si>
    <t>Thomazini, A (corresponding author), Univ Fed Espirito Santo, Dept Plant Prod, BR-29500000 Alegre, Espirito Santo, Brazil.</t>
  </si>
  <si>
    <t>andre.thz@gmail.com</t>
  </si>
  <si>
    <t>De Bortoli Teixeira, Daniel/O-4239-2014; Schaefer, Carlos Ernesto/AAY-4977-2020; La Scala Jr., Newton/C-4398-2012</t>
  </si>
  <si>
    <t>De Bortoli Teixeira, Daniel/0000-0001-8172-7911; Ernesto Goncalves Reynaud Schaefer, Carlos/0000-0001-7060-1598; Ernesto Goncalves Reynaud Schaefer, Carlos/0000-0001-5735-3227; Turbay, Caio/0000-0003-0398-3391; Thomazini, Andre/0000-0001-5613-0494; La Scala Jr., Newton/0000-0002-1575-9875</t>
  </si>
  <si>
    <t>Conselho Nacional de Desenvolvimento Cientifico e Tecnologico</t>
  </si>
  <si>
    <t>Conselho Nacional de Desenvolvimento Cientifico e Tecnologico(Conselho Nacional de Desenvolvimento Cientifico e Tecnologico (CNPQ))</t>
  </si>
  <si>
    <t>We acknowledge the Conselho Nacional de Desenvolvimento Cientifico e Tecnologico for granting financial support, and the Polish Antarctic station Henryk Arctowski for hosting. This work is a contribution of the National Institute of Science and Technology of the Cryosphere (INCT-Criosfera), Terrantar group.</t>
  </si>
  <si>
    <t>1045-6740</t>
  </si>
  <si>
    <t>1099-1530</t>
  </si>
  <si>
    <t>PERMAFROST PERIGLAC</t>
  </si>
  <si>
    <t>Permafrost Periglacial Process.</t>
  </si>
  <si>
    <t>OCT-DEC</t>
  </si>
  <si>
    <t>10.1002/ppp.1818</t>
  </si>
  <si>
    <t>Geography, Physical; Geology</t>
  </si>
  <si>
    <t>AW0OR</t>
  </si>
  <si>
    <t>WOS:000345992700002</t>
  </si>
  <si>
    <t>Schollaen, K; Vieira, G; Lewkowicz, AG</t>
  </si>
  <si>
    <t>Schollaen, Karina; Vieira, Goncalo; Lewkowicz, Antoni G.</t>
  </si>
  <si>
    <t>Report from the International Permafrost Association: Fourth European Conference on Permafrost (EUCOP4)</t>
  </si>
  <si>
    <t>[Schollaen, Karina] Alfred Wegener Inst Polar &amp; Marine Res, D-14473 Potsdam, Germany; [Vieira, Goncalo] Univ Lisbon, CEG IGOT, P-1699 Lisbon, Portugal; [Lewkowicz, Antoni G.] Univ Ottawa, Ottawa, ON, Canada</t>
  </si>
  <si>
    <t>Helmholtz Association; Alfred Wegener Institute, Helmholtz Centre for Polar &amp; Marine Research; Universidade de Lisboa; University of Ottawa</t>
  </si>
  <si>
    <t>Schollaen, K (corresponding author), Alfred Wegener Inst Polar &amp; Marine Res, Telegrafenberg A43, D-14473 Potsdam, Germany.</t>
  </si>
  <si>
    <t>karina.schollaen@awi.de</t>
  </si>
  <si>
    <t>Vieira, Goncalo/0000-0001-7611-3464; Schollaen, Karina/0000-0003-4346-8503</t>
  </si>
  <si>
    <t>Fundacao para a Ciencia e a Tecnologia, Portugal; project Permafrost and Climate Change in the Antarctic Peninsula (PERMANTAR-3) [PTDC/AAG-GLO/3908/2012]; IPA; CliC; IASC; Bolin Centre for Climate Research; PAGE21 project; ADAPT project; Fundação para a Ciência e a Tecnologia [PTDC/AAG-GLO/3908/2012] Funding Source: FCT</t>
  </si>
  <si>
    <t>Fundacao para a Ciencia e a Tecnologia, Portugal(Fundacao para a Ciencia e a Tecnologia (FCT)); project Permafrost and Climate Change in the Antarctic Peninsula (PERMANTAR-3); IPA; CliC; IASC; Bolin Centre for Climate Research; PAGE21 project; ADAPT project; Fundação para a Ciência e a Tecnologia(Fundacao para a Ciencia e a Tecnologia (FCT))</t>
  </si>
  <si>
    <t>The IPA thanks the local organising team for hosting such a successful conference, as well as the field trip organisers. Funding for the meeting was received from the Fundacao para a Ciencia e a Tecnologia, Portugal, and support was provided by the project Permafrost and Climate Change in the Antarctic Peninsula (PERMANTAR-3) (PTDC/AAG-GLO/3908/2012). Funding for the Permafrost Young Researcher Workshop was received from the IPA, CliC, the IASC, the Bolin Centre for Climate Research, the PAGE21 project and the ADAPT project.</t>
  </si>
  <si>
    <t>10.1002/ppp.1828</t>
  </si>
  <si>
    <t>WOS:000345992700011</t>
  </si>
  <si>
    <t>Kreemer, C; Gordon, RG</t>
  </si>
  <si>
    <t>Kreemer, Corne; Gordon, Richard G.</t>
  </si>
  <si>
    <t>Pacific plate deformation from horizontal thermal contraction</t>
  </si>
  <si>
    <t>OCEANIC LITHOSPHERE; MOTIONS; ZONES; TECTONICS; STRESSES; DEPTH; AGE</t>
  </si>
  <si>
    <t>The central approximation of plate tectonics is that the plates are rigid, which gives the theory its rigor and predictive power. Space geodetic measurements are consistent with the rigidity of stable plate interiors, but some failures of plate-circuit closure, in particular of oceanic plates, indicate that plates may be measurably non-rigid. We explore the hypothesis that horizontal thermal contraction causes deformation of oceanic plates. Here we show significant expected displacement fields due to thermal contraction for the Pacific plate based on a previously proposed relationship between seafloor age and strain rate and on two end-member assumptions on how strain compatibility is enforced. The predicted maximum 2.2 mm/yr southeastward motion of the northeastern part of the plate relative to the Pacific-Antarctic Rise may contribute to a large part of the non-closure of the Pacific-North America plate motion circuit. Our predicted displacement rates cannot (yet) be confirmed by current space geodetic data and will require seafloor geodesy with 1 mm/yr accuracy. The spatial distribution of predicted moment rate agrees reasonably well with that of intraplate earthquake epicenters, similar to what is observed for plate boundary zones. Our results suggest that plate-scale horizontal thermal contraction is significant, and that it may be partly released seismically.</t>
  </si>
  <si>
    <t>[Kreemer, Corne] Univ Nevada, Nevada Bur Mines &amp; Geol, Reno, NV 89557 USA; [Gordon, Richard G.] Rice Univ, Dept Earth Sci, Houston, TX 77005 USA</t>
  </si>
  <si>
    <t>Nevada System of Higher Education (NSHE); University of Nevada Reno; Rice University</t>
  </si>
  <si>
    <t>Kreemer, C (corresponding author), Univ Nevada, Nevada Bur Mines &amp; Geol, 1664 North Virginia St, Reno, NV 89557 USA.</t>
  </si>
  <si>
    <t>National Science Foundation [OCE-0928969, OCE-0928961]</t>
  </si>
  <si>
    <t>We thank G. Blewitt for his help with the GPS data processing, and two anonymous reviewers for comments. This work was supported by National Science Foundation grants OCE-0928969 (Kreemer) and OCE-0928961 (Gordon).</t>
  </si>
  <si>
    <t>10.1130/G35874.1</t>
  </si>
  <si>
    <t>AU1EL</t>
  </si>
  <si>
    <t>WOS:000345363700004</t>
  </si>
  <si>
    <t>Park, YH; Durand, I; Kestenare, E; Rougier, G; Zhou, M; d'Ovidio, F; Cotté, C; Lee, JH</t>
  </si>
  <si>
    <t>Park, Young-Hyang; Durand, Isabelle; Kestenare, Elodie; Rougier, Gilles; Zhou, Meng; d'Ovidio, Francesco; Cotte, Cedric; Lee, Jae-Hak</t>
  </si>
  <si>
    <t>Polar Front around the Kerguelen Islands: An up-to-date determination and associated circulation of surface/subsurface waters</t>
  </si>
  <si>
    <t>Polar Front; Kerguelen; Southern Ocean</t>
  </si>
  <si>
    <t>SOUTHERN-OCEAN; MASSES; SCALE</t>
  </si>
  <si>
    <t>The circulation of iron-rich shelf waters around the Kerguelen Islands plays a crucial role for a climatically important, annually recurrent phytoplankton spring bloom over the sluggish shelf region and its downstream plume area along the Antarctic circumpolar flow. However, there is a long-standing confusion about the Polar Front (PF) in the Kerguelen region due to diverse suggestions in the literature for its geographical location with an extreme difference over 10 degrees of latitude. Based on abundant historical hydrographic data, the in situ hydrographic and current measurements during the 2011 KEOPS2 cruise, satellite chlorophyll images, and altimetry-derived surface velocity fields, we determine and validate an up-to-date location of the PF around the Kerguelen Islands. Artificial Lagrangian particle trajectories computed from altimetric velocity time series are analyzed for the possible pathways and sources of different surface/subsurface waters advected into the chlorophyll bloom area east off the islands studied during the KEOPS2 cruise. The PF location determined as the northernmost boundary of the Winter Water colder than 2 degrees C, which is also associated with a band of strong currents, appears to be primarily controlled by topography. The PF rounds the Kerguelen Islands from the south to deflect northward along the eastern escarpment up to the northeastern corner of the Kerguelen Plateau before making its southward retroflection. It is shown that the major surface/subsurface waters found within the deep basin east of the Kerguelen Islands originate from the shelf around the Heard Island, rather than from the shallow shelf north of the Kerguelen Islands.</t>
  </si>
  <si>
    <t>[Park, Young-Hyang; Durand, Isabelle; Cotte, Cedric] Univ Paris 06, Sorbonne Univ, Museum Natl Hist Nat, MNHN,CNRS,IRD,LOCEAN Lab, Paris, France; [Kestenare, Elodie] Univ Toulouse 3, Observ Midi Pyrenees, LEGOS, IRD,CNES,CNRS, F-31062 Toulouse, France; [Rougier, Gilles] Ctr Oceanol Marseille, LOPB, Marseille, France; [Zhou, Meng] Univ Massachusetts, Boston, MA 02125 USA; [d'Ovidio, Francesco] Univ Paris 06, Sorbonne Univ, CNRS, IRD,MNHN,LOCEAN Lab, Paris, France; [Lee, Jae-Hak] Korea Inst Ocean Sci &amp; Technol, Ansan, South Korea</t>
  </si>
  <si>
    <t>Sorbonne Universite; Institut de Recherche pour le Developpement (IRD); Centre National de la Recherche Scientifique (CNRS); Museum National d'Histoire Naturelle (MNHN); Universite de Toulouse; Universite Toulouse III - Paul Sabatier; Centre National de la Recherche Scientifique (CNRS); Institut de Recherche pour le Developpement (IRD); Laboratoire d'Etudes en Geophysique et oceanographie spatiales; University of Massachusetts System; University of Massachusetts Boston; Museum National d'Histoire Naturelle (MNHN); Sorbonne Universite; Institut de Recherche pour le Developpement (IRD); Centre National de la Recherche Scientifique (CNRS); Korea Institute of Ocean Science &amp; Technology (KIOST)</t>
  </si>
  <si>
    <t>Park, YH (corresponding author), Univ Paris 06, Sorbonne Univ, Museum Natl Hist Nat, MNHN,CNRS,IRD,LOCEAN Lab, Paris, France.</t>
  </si>
  <si>
    <t>yhpark@mnhn.fr</t>
  </si>
  <si>
    <t>Cotte, Cedric/C-3296-2013; Cotté, Cédric/AAX-6120-2021; d'Ovidio, Francesco/ABA-8461-2021; Cotté, Cédric/Z-3243-2019</t>
  </si>
  <si>
    <t>Cotté, Cédric/0000-0002-8307-6435; Cotté, Cédric/0000-0002-8307-6435; d'Ovidio, Francesco/0000-0002-9664-7778; KESTENARE, Elodie/0000-0002-6665-2146</t>
  </si>
  <si>
    <t>IPEV; CNES; Directorate For Geosciences; Office of Polar Programs (OPP) [1142082] Funding Source: National Science Foundation</t>
  </si>
  <si>
    <t>IPEV; CNES(Centre National D'etudes Spatiales); Directorate For Geosciences; Office of Polar Programs (OPP)(National Science Foundation (NSF)NSF - Directorate for Geosciences (GEO))</t>
  </si>
  <si>
    <t>We thank the IPEV for financial and logistical support and the captain and crew of the R/V Marion Dufresne for their professional contributions to various field experiments during the 2011 KEOPS2 cruise. The MAKER project has benefited the logistic and financial support from the IPEV and CNES. The altimeter and chlorophyll products for the Kerguelen area were produced by Ssalto/Duacs and CLS with support from CNES. These data are available at CLS. We thank also the French Service d'Observation ROSAME (LEGOS/INSU) for providing us with the model tidal current information used in this study. The KEOPS2 hydrographic, LADCP, and moored current meter data are available at LOCEAN.</t>
  </si>
  <si>
    <t>10.1002/2014JC010061</t>
  </si>
  <si>
    <t>AU3GF</t>
  </si>
  <si>
    <t>WOS:000345499700003</t>
  </si>
  <si>
    <t>Menezes, VV; Phillips, HE; Schiller, A; Bindoff, NL; Domingues, CM; Vianna, ML</t>
  </si>
  <si>
    <t>Menezes, Viviane V.; Phillips, Helen E.; Schiller, Andreas; Bindoff, Nathaniel L.; Domingues, Catia M.; Vianna, Marcio L.</t>
  </si>
  <si>
    <t>South Indian Countercurrent and associated fronts</t>
  </si>
  <si>
    <t>eastward jets; subtropical countercurrent; STCC; PV staircase; front; thermocline</t>
  </si>
  <si>
    <t>NORTH PACIFIC; OCEAN; VARIABILITY; WAVES; WATER</t>
  </si>
  <si>
    <t>A striking feature of the South Indian Ocean circulation is the presence of the eastward South Indian Countercurrent (SICC) that flows in a direction opposite to that predicted by the classical theories of wind-driven circulation. Several authors suggest that the SICC resembles the subtropical countercurrents (STCCs) observed in other oceans, which are defined as narrow eastward jets on the equatorward side of subtropical gyres, where the depth-integrated flow is westward. These jets are associated with subsurface thermal fronts at thermocline depths by the thermal wind relation. However, the subsurface thermal front associated with the SICC has not been described to date. Other studies conjecture an important role for salinity in controlling the SICC. In the present work, we analyze three Argo-based atlases and data from six hydrographic cruises to investigate whether the SICC is accompanied by permanent thermal and density fronts including salinity effects. The seasonal cycle of these fronts in relation to the SICC strength is also investigated. We find that the SICC is better described as composed of three distinct jets, which we name the northern, central, and southern SICC. We find that the southern SICC around 26 degrees S has an associated thermal front at subsurface depths around 100-200 m with salinity being of secondary importance. The southern branch strength is related to mode waters poleward of the front, similar to a STCC-like current. However, the SICC multiple jet structure seems to be better described as resulting from PV staircases.</t>
  </si>
  <si>
    <t>[Menezes, Viviane V.] CSIRO UTAS Quantitat Marine Sci PhD Program, Hobart, Tas, Australia; [Menezes, Viviane V.; Phillips, Helen E.; Bindoff, Nathaniel L.; Domingues, Catia M.] Univ Tasmania, Inst Marine &amp; Antarctic Studies, Hobart, Tas, Australia; [Menezes, Viviane V.; Phillips, Helen E.; Bindoff, Nathaniel L.] ARC Ctr Excellence Climate Syst Sci, Hobart, Tas, Australia; [Schiller, Andreas; Bindoff, Nathaniel L.] Ctr Australian Weather &amp; Climate Res, Hobart, Tas, Australia; [Schiller, Andreas; Bindoff, Nathaniel L.] CSIRO Wealth Oceans Flagship, Hobart, Tas, Australia; [Bindoff, Nathaniel L.; Domingues, Catia M.] Antarctic Climate &amp; Ecosyst Cooperat Res Ctr, Hobart, Tas, Australia; [Vianna, Marcio L.] VM Ocean Ltd, Sao Jose Dos Campos, SP, Brazil</t>
  </si>
  <si>
    <t>Commonwealth Scientific &amp; Industrial Research Organisation (CSIRO); University of Tasmania; ARC Centre of Excellence for Climate System Science; Commonwealth Scientific &amp; Industrial Research Organisation (CSIRO); Commonwealth Scientific &amp; Industrial Research Organisation (CSIRO); Antarctic Climate &amp; Ecosystems Cooperative Research Centre (ACE CRC)</t>
  </si>
  <si>
    <t>Menezes, VV (corresponding author), CSIRO UTAS Quantitat Marine Sci PhD Program, Hobart, Tas, Australia.</t>
  </si>
  <si>
    <t>vivianev@utas.edu.au</t>
  </si>
  <si>
    <t>Domingues, Catia M./A-2901-2015; Phillips, Helen/I-3761-2013; Menezes, Viviane/AAG-8235-2020; Bindoff, Nathaniel Lee/C-8050-2011; Bindoff, Nathaniel Lee/IVV-0333-2023</t>
  </si>
  <si>
    <t>Domingues, Catia M./0000-0001-5100-4595; Phillips, Helen/0000-0002-2941-7577; Menezes, Viviane/0000-0002-4885-2056; Bindoff, Nathaniel Lee/0000-0001-5662-9519; Bindoff, Nathaniel Lee/0000-0001-5662-9519; Vianna, Marcio/0000-0002-3616-7772</t>
  </si>
  <si>
    <t>ARC [DP130102088]; NSF [OCE-091716]; CSIRO-UTAS QMS Scholarship; Australian International Postgraduate Research Scholarship (IPRS); Directorate For Geosciences [0961716] Funding Source: National Science Foundation; Division Of Ocean Sciences [0961716] Funding Source: National Science Foundation</t>
  </si>
  <si>
    <t>ARC(Australian Research Council); NSF(National Science Foundation (NSF)); CSIRO-UTAS QMS Scholarship; Australian International Postgraduate Research Scholarship (IPRS); Directorate For Geosciences(National Science Foundation (NSF)NSF - Directorate for Geosciences (GEO)); Division Of Ocean Sciences(National Science Foundation (NSF)NSF - Directorate for Geosciences (GEO))</t>
  </si>
  <si>
    <t>We are sincerely grateful to the data providers of CARS09 (CSIRO Marine Laboratories), RG (Scripps Institution of Oceanography), and MIMOC (Pacific Marine Environmental Laboratory) and also to the CLIVAR &amp; Carbon Hydrographic Data Office and the CSIRO Marine Research Centre for the hydrographic data used in this paper. VVM acknowledges use of the Ferret program (NOAA/PMEL) and NCL (http://dx.doi.org/10.5065/D6WD3XH5) for analysis and graphics in this paper. VVM, HEP, CMD, and NLB acknowledge the support of the ARC Discovery Project DP130102088. HEP acknowledges support from NSF grant OCE-091716 PI. VVM is supported by a CSIRO-UTAS QMS Scholarship and an Australian International Postgraduate Research Scholarship (IPRS). The data used in the present study can be obtained directly from the data providers. Last but not least, we are indebted to three anonymous reviewers for their suggestions and challenging questions.</t>
  </si>
  <si>
    <t>10.1002/2014JC010076</t>
  </si>
  <si>
    <t>WOS:000345499700015</t>
  </si>
  <si>
    <t>Spasojevic, M</t>
  </si>
  <si>
    <t>Spasojevic, M.</t>
  </si>
  <si>
    <t>Statistical analysis of ground-based chorus observations during geomagnetic storms</t>
  </si>
  <si>
    <t>chorus waves; outer belt electrons; geomagnetic storms</t>
  </si>
  <si>
    <t>WHISTLER-MODE CHORUS; RELATIVISTIC ELECTRONS; AURORAL HISS; SOLAR-WIND; ACCELERATION; ATTENUATION; PROPAGATION; LOSSES</t>
  </si>
  <si>
    <t>Chorus observations from two ground-based, Antarctic receiving stations are analyzed for a set of geomagnetic storms from 2000 to 2010. Superposed epoch analysis is performed together with statistical hypothesis testing to determine whether the observed quantities (geomagnetic indices, outer belt energetic electron fluxes, and chorus properties) are statistically significantly different as functions of storm phase, storm size, and storm type. Waves generated in the outer dayside magnetosphere and observed on the ground at South Pole Station are suppressed during main phase and are statistically unchanged from random intervals during recovery phase. Waves generated in the inner magnetosphere and observed on the ground at Palmer Station are significantly enhanced during storm main phase and for about 3 days into recovery. During main phase, there are larger enhancements in chorus occurrence, amplitude, and frequency extent as observed at Palmer during larger storms. During recovery phase, there are larger enhancements in chorus occurrence, amplitude, and frequency extent as observed at Palmer during larger storms and during storms where the average rate of electron flux increase, averaged across the outer belt, is higher.</t>
  </si>
  <si>
    <t>Stanford Univ, Dept Elect Engn, Stanford, CA 94305 USA</t>
  </si>
  <si>
    <t>Stanford University</t>
  </si>
  <si>
    <t>Spasojevic, M (corresponding author), Stanford Univ, Dept Elect Engn, Stanford, CA 94305 USA.</t>
  </si>
  <si>
    <t>mariaspasojevic@stanford.edu</t>
  </si>
  <si>
    <t>Spasojevic, Maria/0000-0001-8869-5086</t>
  </si>
  <si>
    <t>National Science Foundation [1043442, 1141791]; Directorate For Geosciences; Office of Polar Programs (OPP) [1141791] Funding Source: National Science Foundation</t>
  </si>
  <si>
    <t>This work was supported by the National Science Foundation under awards 1043442 and 1141791 to Stanford University. We thank Ian Richardson for providing the list of solar wind structures. The geomagnetic indices were provided by the Kyoto World Data Center. The solar wind data were derived from data on OMNIWeb, provided by Richard Denton and Zhengui Qin, and accessed through the Virtual Radiation Belt Observatory. The GOES spacecraft data were provided by the NOAA Space Weather Prediction Center. All data used in this study can be accessed through the sources listed above or by contacting the author.</t>
  </si>
  <si>
    <t>10.1002/2014JA019975</t>
  </si>
  <si>
    <t>AU2JW</t>
  </si>
  <si>
    <t>WOS:000345445400024</t>
  </si>
  <si>
    <t>Puig-Marcó, R</t>
  </si>
  <si>
    <t>Puig-Marco, Roser</t>
  </si>
  <si>
    <t>Access and benefit sharing of Antarctica's Biological Material</t>
  </si>
  <si>
    <t>Antarctic Treaty; Bioprospecting; Exchange of information; Marine genetic resources; Patents</t>
  </si>
  <si>
    <t>MARINE GENETIC-RESOURCES</t>
  </si>
  <si>
    <t>Searching and sampling of Antarctic Biological Material (ABM) is happening with no explicit regulation on access and benefit sharing requirements. Patents already exist on inventions stemming from Antarctic living organisms. The Antarctic Treaty System CATS) provides mechanisms to ensure that scientific knowledge and data generated from the collection and use of ABM are shared, although commercialization might be a threat to this free exchange of scientific knowledge. Some of the underlying problems regarding the access and benefit sharing of ABM are that under the ATS there are gaps concerning definitions, access to specimens, benefit sharing, commercialization and reporting issues. The Antarctic Treaty Consultative Parties (ATCPs) have decided that the Antarctic Treaty Consultative Meeting (ATCM) is the competent body to discuss the matter, and the ATS is the appropriate framework for managing the collection of biological material in the Antarctic Treaty area and for considering its use. Nevertheless, opinions diverge as to the need for more specific rules on access and benefit sharing other than that already resulting from the obligation to give prior notification and share scientific results. (C) 2014 Elsevier B.V. All rights reserved.</t>
  </si>
  <si>
    <t>Univ Barcelona, Fac Law, Barcelona 08034, Spain</t>
  </si>
  <si>
    <t>University of Barcelona</t>
  </si>
  <si>
    <t>Puig-Marcó, R (corresponding author), Univ Barcelona, Fac Law, Avda Diagonal 684, Barcelona 08034, Spain.</t>
  </si>
  <si>
    <t>rpuigmar@ub.edu</t>
  </si>
  <si>
    <t>Puig Marco, Roser/0000-0002-7936-9489</t>
  </si>
  <si>
    <t>10.1016/j.margen.2014.04.008</t>
  </si>
  <si>
    <t>AU2WS</t>
  </si>
  <si>
    <t>WOS:000345476000012</t>
  </si>
  <si>
    <t>Cedhagen, T; Cheah, W; Bracher, A; Lejzerowicz, F</t>
  </si>
  <si>
    <t>Cedhagen, Tomas; Cheah, Wee; Bracher, Astrid; Lejzerowicz, Franck</t>
  </si>
  <si>
    <t>Algal pigments in Southern Ocean abyssal foraminiferans indicate pelagobenthic coupling</t>
  </si>
  <si>
    <t>Southern Ocean; Antarctica; Pelago-benthic coupling; Diatoms; Haptophytes; Sedimentation; Pigments; Phytodetritus; Abyssal environment; Food; Foraminifera</t>
  </si>
  <si>
    <t>SEA BENTHIC FORAMINIFERA; DEEP-SEA; ORGANIC-MATTER; LABORATORY CONDITIONS; PHYTODETRITUS PULSE; SINKING VELOCITY; PARTICLE FLUXES; ANTARCTIC SHELF; ATLANTIC-OCEAN; CARBON</t>
  </si>
  <si>
    <t>The cytoplasm of four species of abyssal benthic foraminiferans from the Southern Ocean (around 51 S; 12 W and 50 S; 39 W) was analysed by High Performance Liquid Chromatography (HPLC) and found to contain large concentrations of algal pigments and their degradation products. The composition of the algal pigments in the foraminiferan cytoplasm reflected the plankton community at the surface. Some foraminiferans contained high ratios of chlorophyll a/degraded pigments because they were feeding on fresher phytodetritus. Other foraminiferans contained only degraded pigments which shows that they utilized degraded phytodetritus. The concentration of algal pigment and corresponding degradation products in the foraminiferan cytoplasm is much higher than in the surrounding sediment. It shows that the foraminiferans collect a diluted and sparse food resource and concentrate it as they build up their cytoplasm. This ability contributes to the understanding of the great quantitative success of foraminiferans in the deep sea. Benthic foraminiferans are a food source for many abyssal metazoans. They form a link between the degraded food resources, phytodetritus, back to the active metazoan food chains. (C) 2014 Elsevier Ltd. All rights reserved.</t>
  </si>
  <si>
    <t>[Cedhagen, Tomas] Aarhus Univ, Dept Biosci, Sect Aquat Biol, DK-8000 Aarhus C, Denmark; [Cheah, Wee; Bracher, Astrid] Helmholtz Zentrum Polar &amp; Meeresforsch, Alfred Wegener Inst, D-27570 Bremerhaven, Germany; [Lejzerowicz, Franck] Univ Geneva, Dept Genet &amp; Evolut, CH-1211 Geneva 4, Switzerland</t>
  </si>
  <si>
    <t>Aarhus University; Helmholtz Association; Alfred Wegener Institute, Helmholtz Centre for Polar &amp; Marine Research; University of Geneva</t>
  </si>
  <si>
    <t>Cedhagen, T (corresponding author), Aarhus Univ, Dept Biosci, Sect Aquat Biol, Bldg 1135,Ole Worms Alle 1, DK-8000 Aarhus C, Denmark.</t>
  </si>
  <si>
    <t>cedhagen@biology.au.dk; weecheah@gate.sinica.edu.tw; astrid.bracher@awi.de; franck.lejzerowicz@unige.ch</t>
  </si>
  <si>
    <t>Bracher, Astrid/B-7805-2013; Bracher, Astrid/I-2672-2013; Lejzerowicz, Franck/AAG-7812-2021; Cheah, Wee/C-8282-2012; Cedhagen, Tomas/J-6426-2013</t>
  </si>
  <si>
    <t>Bracher, Astrid/0000-0003-3025-5517; Cheah, Wee/0000-0002-1824-0577; Lejzerowicz, Franck/0000-0002-3195-032X; Cedhagen, Tomas/0000-0003-4550-8177</t>
  </si>
  <si>
    <t>Carlsberg Foundation, Denmark [2011_01_0574]; Helmholtz Association; AWI via the project Phytooptics; Swiss National Science Foundation [31003A-140766]; G &amp; L Claraz Donation</t>
  </si>
  <si>
    <t>Carlsberg Foundation, Denmark(Carlsberg Foundation); Helmholtz Association(Helmholtz Association); AWI via the project Phytooptics; Swiss National Science Foundation(Swiss National Science Foundation (SNSF)); G &amp; L Claraz Donation</t>
  </si>
  <si>
    <t>Prof. Angelika Brandt is thanked for active support of the authors and for boosting the SYSTCO project The captain and crew of RN Polarstern are thanked for their competence and indefatigable helpfulness. Funding for T.C. was given by Carlsberg Foundation, Denmark (project no. 2011_01_0574). Funding for A.B. and WC. was supplied by the Helmholtz Association and AWI via the project Phytooptics. Funding for F.L. was provided by the Swiss National Science Foundation Grant no. 31003A-140766 (Jan Pawlowski) and by G &amp; L Claraz Donation (J.P.). We thank Mariana Altenburg-Soppa for her assistance during the cruise and Sonja Wiegmann for HPLC pigment analysis, Prof. Gerhard Schmiedl for insightful critics on the manuscript and Prof. Andrew J. Gooday for help with the identification of foraminiferans.</t>
  </si>
  <si>
    <t>10.1016/j.dsr2.2014.07.017</t>
  </si>
  <si>
    <t>AT7IX</t>
  </si>
  <si>
    <t>WOS:000345110800004</t>
  </si>
  <si>
    <t>Würzberg, L; Zinkann, AC; Brandt, A; Janussen, D; Bohn, JM; Schwabe, E</t>
  </si>
  <si>
    <t>Wuerzberg, Laura; Zinkann, Ann-Christine; Brandt, Angelika; Janussen, Dorte; Bohn, Jens M.; Schwabe, Enrico</t>
  </si>
  <si>
    <t>Intensity of pelagic-benthic coupling in different regions along the Antarctic Polar Front - Clues from abyssal megafauna</t>
  </si>
  <si>
    <t>Deep sea; Pelagic-benthic coupling; Megabenthos; Echinoderms; Antarctic Polar Front</t>
  </si>
  <si>
    <t>SOUTHERN-OCEAN; RAPID RESPONSE; CARBON EXPORT; SEA; ATLANTIC; DIVERSITY; COMMUNITY; PATTERNS; BIOMASS; PHYTOPLANKTON</t>
  </si>
  <si>
    <t>The zone surrounding the Antarctic Polar Front is a region characterized by elevated seasonal primary production. Studies on the implications for the fauna inhabiting the underlying deep-sea floor, however, are rare. The present study focuses on the abundance of megafaunal organisms caught by means of an Agassiz Trawl during the SYSTem COupling in the Southern Ocean II (SYSTCO II) expedition (RV Polarstern cruise ANT XXVIII/3). Biomass estimates in terms of volume as well as species richness of echinoderms were additionally taken into account. Abyssal stations (ca. 4000 m depth) located in three different regions along the Antarctic Polar Front characterized by different primary production regimes and oceanographic features were sampled. One shallower station (337 m depth) was used as reference station. Highest megafaunal abundances were found at the shallow station (147 individuals per 1000 m(2)). Megafaunal abundances were low to moderate at the abyssal stations (7.2-23.5 individuals per 1000 m(2)) with the exception of the region northwest of South Georgia, where distinctly higher abundances were found (up to 119.7 individuals per 1000 m(2)). The same pattern was observed for biomass estimates. At the other regions, magnitude of megafaunal abundances and echinoderm biomasses were found not to be linked to the surface levels of primary production. This indicates that strong pelagic-benthic coupling likely occurs only downstream of South Georgia. Echinoderm species richness does not appear to be directly related to the environmental conditions as it does not differ statistically between the considered areas. (C) 2014 Elsevier Ltd. All rights reserved.</t>
  </si>
  <si>
    <t>[Wuerzberg, Laura; Zinkann, Ann-Christine; Brandt, Angelika] Bioctr Grindel, D-20146 Hamburg, Germany; [Wuerzberg, Laura; Zinkann, Ann-Christine; Brandt, Angelika] Zool Museum, D-20146 Hamburg, Germany; [Janussen, Dorte] Res Inst, D-60325 Frankfurt, Germany; [Janussen, Dorte] Nat Museum Senckenberg, D-60325 Frankfurt, Germany; [Bohn, Jens M.; Schwabe, Enrico] Bavarian State Collect Zool Munich, D-81247 Munich, Germany</t>
  </si>
  <si>
    <t>University of Hamburg; Senckenberg Gesellschaft fur Naturforschung (SGN)</t>
  </si>
  <si>
    <t>Würzberg, L (corresponding author), Bioctr Grindel, Martin Luther King Pl 3, D-20146 Hamburg, Germany.</t>
  </si>
  <si>
    <t>laura.wuerzberg@uni-hamburg.de</t>
  </si>
  <si>
    <t>Brandt, Angelika/C-1630-2018</t>
  </si>
  <si>
    <t>DFG [JA-1063/14-3, JA-1063-17/1, BR1121/41-1]</t>
  </si>
  <si>
    <t>DFG(German Research Foundation (DFG))</t>
  </si>
  <si>
    <t>The authors are grateful to the Bundesministerium fur Bildung und Forschung (BMBF), the Deutsche Forschungsgemeinschaft (DFG), and the Marx-Foundation for the support of the expedition with RV Polarstern. We would like to thank Prof. D. Wolf-Gladrow (Alfred-Wegener-Institut, Bremerhaven, Germany), chief scientist on RV Polarstern cruise ANT-XXVIII/3, as well as captain and crew of RV Polarstern for their constant support. Furthermore, we would like to thank all SYSTCO and Eddy Pump scientists for the good cooperation, and Martina Vortkamp (Alfred-Wegener-Institut, Bremerhaven, Germany) for data management. Financial support was gained from the DFG Grants (JA-1063/14-3, JA-1063-17/1 and BR1121/41-1). We are very thankful for the constructive comments of Stefano Schiaparelli and Julian Gutt on an earlier version of this manuscript, which helped to considerably improve this publication. This is ANDEEP publication # 195.</t>
  </si>
  <si>
    <t>10.1016/j.dsr2.2014.09.003</t>
  </si>
  <si>
    <t>WOS:000345110800010</t>
  </si>
  <si>
    <t>Kersken, D; Göcke, C; Brandt, A; Lejzerowicz, F; Schwabe, E; Seefeldt, MA; Veit-Köhler, G; Janussen, D</t>
  </si>
  <si>
    <t>Kersken, Daniel; Goecke, Christian; Brandt, Angelika; Lejzerowicz, Franck; Schwabe, Enrico; Seefeldt, Meike Anna; Veit-Koehler, Gritta; Janussen, Dorte</t>
  </si>
  <si>
    <t>The infauna of three widely distributed sponge species (Hexactinellida and Demospongiae) from the deep Ekstrom Shelf in the Weddell Sea, Antarctica</t>
  </si>
  <si>
    <t>Antarctica; Sponges; Infauna; Mycale; Rossella; Sponge ground</t>
  </si>
  <si>
    <t>CRUSTACEA; DIVERSITY; AMPHIPODS; PORIFERA; ECOLOGY; FAUNA; REPRODUCTION; POLYCHAETA; DECAPODA; CLIMATE</t>
  </si>
  <si>
    <t>Due to their high abundance and large body size sponges have a central position in Antarctic zoobenthos, where they form the most extensive sponge grounds of the world. Though research on Antarctic benthos communities is quite established, research on sponge-associated infauna communities is scarce. We analyzed associated infauna of fifteen individuals of the sponge species Mycale (Oxymycale) acerata Kirkpatrick, 1907 (Demospongiae: Mycalina), Rossella antarctica Carter, 1872 and R. racovitzae Topsent, 1901 (both Hexactinellida: Lyssacinosida). Samples were collected from the deep Ekstrom Shelf at 602 m in the South-Eastern Weddell Sea, Antarctica, during the ANT XXIV-2 (SYSTCO I) expedition of RV Polarstern. The number of species, alpha- and beta-diversity and the significantly different species composition of infauna communities related to sponge species were calculated, the latter via cluster analysis. The sponge-associated infauna consisted of five phyla: Foraminifera, Nematoda, Polychaeta, Mollusca and Arthropoda. In total 11,463 infaunal specimens were extracted and we found at least 76 associated species. Highest values of alpha-diversity were calculated for a sample of R. antarctica with a Shannon-Index of 1.84 and Simpson-Index of 0.72 respectively. Our results of the cluster-analysis show significant differences between infauna communities and a unique species composition for single sponge species. Polychaetes of the genus Syllis Lamarck, 1818 were numerous in M. acerata and genera like Pionosyllis Malmgren, 1867 and Cirratulus Lamarck, 1801 were numerous in R. antarctica. Individuals of the amphipod species Seba cf. dubia Schellenberg, 1926 were often found in R. antarctica and R. racovitzae while Colomastix fissilingua Schellenberg, 1926 was frequent in samples of M. acerata. Molluscs were present in M. acerata and R. antarctica but absent in R. racovitzae. (C) 2014 Elsevier Ltd. All rights reserved.</t>
  </si>
  <si>
    <t>[Kersken, Daniel] Univ Rostock, Inst Biol Sci, D-18059 Rostock, Germany; [Goecke, Christian; Janussen, Dorte] Forsch Inst, D-60325 Frankfurt, Germany; [Goecke, Christian; Janussen, Dorte] Nat Museum Senckenberg, D-60325 Frankfurt, Germany; [Brandt, Angelika] Inst Zool, D-20146 Hamburg, Germany; [Brandt, Angelika] Zool Museum, D-20146 Hamburg, Germany; [Lejzerowicz, Franck] Univ Geneva, CH-1211 Geneva, Switzerland; [Schwabe, Enrico] Bavaria State Collect Zool, D-81247 Munich, Germany; [Seefeldt, Meike Anna] Ruhr Univ Bochum, D-44780 Bochum, Germany; [Veit-Koehler, Gritta] DZMB German Ctr Marine Biodivers Res, Senckenberg Meer, D-26382 Wilhelmshaven, Germany</t>
  </si>
  <si>
    <t>University of Rostock; Senckenberg Gesellschaft fur Naturforschung (SGN); University of Geneva; Ruhr University Bochum; Senckenberg Gesellschaft fur Naturforschung (SGN)</t>
  </si>
  <si>
    <t>Janussen, D (corresponding author), Forsch Inst, Senckenberganlage 25, D-60325 Frankfurt, Germany.</t>
  </si>
  <si>
    <t>dorte.janussen@senckenberg.de</t>
  </si>
  <si>
    <t>Brandt, Angelika/C-1630-2018; Lejzerowicz, Franck/AAG-7812-2021</t>
  </si>
  <si>
    <t>Lejzerowicz, Franck/0000-0002-3195-032X; Seefeldt, Meike Anna/0000-0003-2106-6933</t>
  </si>
  <si>
    <t>Deutsche Forschungsgemeinschaft (DFG) [JA 1063/14-1.2]; SYNTHESYS [GB-TAF 885, NL-TAF 11, ES-TAF 1705, AT-TAF-2600]</t>
  </si>
  <si>
    <t>Deutsche Forschungsgemeinschaft (DFG)(German Research Foundation (DFG)); SYNTHESYS</t>
  </si>
  <si>
    <t>The authors are grateful to the BMBF, the Helmholtz foundation and the Friedrich-Wilhelm und Elise Marx Stiftung for the support of the expedition with RV Polarstern. We acknowledge the Deutsche Forschungsgemeinschaft (DFG-Project JA 1063/14-1.2), as well as SYNTHESYS (Projects, GB-TAF 885, NL-TAF 11, ES-TAF 1705, AT-TAF-2600) for financial support to our research on Antarctic Porifera and for funding visits to important Porifera collections. We are especially indebted to the ANDEEP/SYSTCO team and also to the captain and crew of RV Polarstern for good cooperation and excellent handling on board during SYSTCO I-cruise. This is ANDEEP publication number 187.</t>
  </si>
  <si>
    <t>10.1016/j.dsr2.2014.06.005</t>
  </si>
  <si>
    <t>WOS:000345110800012</t>
  </si>
  <si>
    <t>Awasthi, N; Ray, JS; Singh, AK; Band, ST; Rai, VK</t>
  </si>
  <si>
    <t>Awasthi, Neeraj; Ray, Jyotiranjan S.; Singh, Ashutosh K.; Band, Shraddha T.; Rai, Vinai K.</t>
  </si>
  <si>
    <t>Provenance of the Late Quaternary sediments in the Andaman Sea: Implications for monsoon variability and ocean circulation</t>
  </si>
  <si>
    <t>Andaman Sea; sediment core; provenance; Sr-Nd isotopic ratios; South Asian Monsoon</t>
  </si>
  <si>
    <t>BARREN ISLAND VOLCANO; ND ISOTOPE COMPOSITION; INDO-BURMAN RANGES; INDIAN-OCEAN; NORTHERN-HEMISPHERE; SUMMER MONSOON; ZIRCON AGE; BENGAL; CLIMATE; BAY</t>
  </si>
  <si>
    <t>We present a geochemical and Sr-Nd isotopic study on a sediment core collected from the Andaman Sea in an attempt to reconstruct the Late Quaternary weathering and erosion patterns in the watersheds of the river systems of Myanmar and understand their controlling factors. Age control is based on nine radiocarbon dates and O-18 stratigraphy. The rate of sedimentation was strongly controlled by fluctuations of the monsoon. We identify three major sediment provenances: (1) the Irrawaddy catchment, (2) the western slopes of the Indo-Burman-Arakan (IBA) mountain ranges and the Andaman Islands, and (3) the catchments of Salween and Sittang and the Bengal shelf, with the first two contributing 30-60% of the material. Enhanced contributions from juvenile sources and corresponding positive shifts of O-18 are observed at seven time periods (11-14, 20-23, 36, 45, 53, 57, and 62 ka) of which five are synchronous with cooling of the northern hemisphere, suggesting a link between the changes in sediment provenances and the shifting of the locus of the summer monsoon, southward from the Himalayas, without substantial reduction in intensity. Our data, and that from other cores in the region suggest that an eastward moving surface current disperses sediments, derived from the Bengal shelf and western margin of Myanmar, from the eastern Bay of Bengal into the western Andaman Sea and that its strength has increased since the LGM. The existence of this current during the LGM implies that the Andaman Sea and the Bay of Bengal were well connected during the last glacial period.</t>
  </si>
  <si>
    <t>[Awasthi, Neeraj; Ray, Jyotiranjan S.; Band, Shraddha T.; Rai, Vinai K.] Phys Res Lab, Ahmadabad 380009, Gujarat, India; [Singh, Ashutosh K.] Univ Delhi, Ctr Adv Study Geol, Delhi 110007, India</t>
  </si>
  <si>
    <t>Department of Space (DoS), Government of India; Physical Research Laboratory - India; University of Delhi</t>
  </si>
  <si>
    <t>Awasthi, N (corresponding author), Phys Res Lab, Ahmadabad 380009, Gujarat, India.</t>
  </si>
  <si>
    <t>aneeraj@prl.res.in</t>
  </si>
  <si>
    <t>Singh, Anil/JUU-2219-2023; Singh, Ashutosh Kumar/F-9731-2012</t>
  </si>
  <si>
    <t>Singh, Ashutosh Kumar/0000-0003-2616-0697; Rai, Vinai K/0000-0003-4838-7630; band, shraddha/0000-0002-8157-6321</t>
  </si>
  <si>
    <t>Physical Research Laboratory, Ahmedabad; Department of Science and Technology, Government of India, New Delhi [ESS/16/262/2006/P-1]</t>
  </si>
  <si>
    <t>Physical Research Laboratory, Ahmedabad; Department of Science and Technology, Government of India, New Delhi(Department of Science &amp; Technology (India))</t>
  </si>
  <si>
    <t>We thank Anil Kumar of National Centre for Antarctic and Ocean Research, Goa, India for collecting the core for us. Anil D. Shukla helped with major and trace element analyses and R. Rengarajan with the 230Th-excess dating. This project was funded by the Physical Research Laboratory, Ahmedabad, and the Department of Science and Technology, Government of India, New Delhi (Project ESS/16/262/2006/P-1; PI: J. S. Ray). We thank M. Lupker and two anonymous reviews for their comments and suggestions and D. Vance for editorial handling. Data used in the figures are either presented in the Tables (our data) or their source publications have been referenced.</t>
  </si>
  <si>
    <t>10.1002/2014GC005462</t>
  </si>
  <si>
    <t>AU0NN</t>
  </si>
  <si>
    <t>WOS:000345320100008</t>
  </si>
  <si>
    <t>Pang, XP; Liu, HY; Zhao, X</t>
  </si>
  <si>
    <t>Pang Xiaoping; Liu Haiyan; Zhao Xi</t>
  </si>
  <si>
    <t>Selecting suitable sites for an Antarctic research station: a case for a new Chinese research station</t>
  </si>
  <si>
    <t>criteria system; fuzzy analytical hierarchy process; geographical information system; site selection</t>
  </si>
  <si>
    <t>ANALYTIC HIERARCHY PROCESS; EXTENT ANALYSIS METHOD; FUZZY AHP; CHALLENGES</t>
  </si>
  <si>
    <t>Site selection for Antarctic research stations is of great importance and is necessary to support Antarctic expeditions. Site selection is affected by both the scientific investigations planned and the expected life of stations following construction. In the site allocation process, an efficient spatial data management system is required to manage various criteria and a robust allocation method is important to handle decision uncertainties. The aim of this study was to build a criteria system and to conduct a site selection process with aid from geographical information systems (GIS) and the fuzzy analytical hierarchy process (FAHP). In considering the natural environment and building conditions, fifteen factors were used as multiple evaluation sub-criteria and grouped into four main criteria: scientific research, environment, logistical support and topography. Comparisons were made between potentially suitable areas and the locations of existing stations and camps to demonstrate fitness-for-use of the allocation results. Finally, the suitability map was applied to identify candidate sites for a new Chinese research station by considering the position of current stations and areas of scientific interest. This model offers a comprehensive methodology for decision-makers in the assessment of potential Antarctic research station sites.</t>
  </si>
  <si>
    <t>[Pang Xiaoping; Zhao Xi] Wuhan Univ, Chinese Antarctic Ctr Surveying &amp; Mapping, Wuhan 430072, Hubei Province, Peoples R China; [Liu Haiyan] Wuhan Univ, Sch Resource &amp; Environm Sci, Wuhan 430072, Hubei Province, Peoples R China</t>
  </si>
  <si>
    <t>Wuhan University; Wuhan University</t>
  </si>
  <si>
    <t>Pang, XP (corresponding author), Wuhan Univ, Chinese Antarctic Ctr Surveying &amp; Mapping, 129 Luoyu Rd, Wuhan 430072, Hubei Province, Peoples R China.</t>
  </si>
  <si>
    <t>Project of Chinese National Bureau of Oceanography [20120202]; National Natural Science Foundation of China [41301463]</t>
  </si>
  <si>
    <t>Project of Chinese National Bureau of Oceanography; National Natural Science Foundation of China(National Natural Science Foundation of China (NSFC))</t>
  </si>
  <si>
    <t>This research was funded by the Project of Chinese National Bureau of Oceanography (grant no. 20120202) and the National Natural Science Foundation of China (grant no. 41301463). The authors would like to express their many thanks to the scientists and experts from the Chinese Antarctic Center of Surveying and Mapping, Wuhan University, for providing the expert-defined scores of the FAHP, and to two anonymous reviewers for their valuable and constructive comments.</t>
  </si>
  <si>
    <t>10.1017/S0954102013000965</t>
  </si>
  <si>
    <t>AT2BH</t>
  </si>
  <si>
    <t>WOS:000344735300003</t>
  </si>
  <si>
    <t>Pucciarelli, S; Chiappori, F; Devaraj, RR; Yang, G; Yu, T; Ballarini, P; Miceli, C</t>
  </si>
  <si>
    <t>Pucciarelli, Sandra; Chiappori, Federica; Devaraj, Raghul Rajan; Yang, Guang; Yu, Ting; Ballarini, Patrizia; Miceli, Cristina</t>
  </si>
  <si>
    <t>Identification and analysis of two sequences encoding ice-binding proteins obtained from a putative bacterial symbiont of the psychrophilic Antarctic ciliate Euplotes focardii</t>
  </si>
  <si>
    <t>antifreeze; biology; cold-adaptation; genome; horizontal gene transfer; Protozoa</t>
  </si>
  <si>
    <t>HORIZONTAL GENE-TRANSFER; ANTIFREEZE PROTEINS; SEA-ICE; ADAPTATION; EXPRESSION; EVOLUTION</t>
  </si>
  <si>
    <t>We identified two ice-binding protein (IBP) sequences, named EFsymbAFP and EFsymbIBP, from a putative bacterial symbiont of the Antarctic psychrophilic ciliate Euplotes focardii. EFsymbAFP is 57.43% identical to the antifreeze protein (AFP) from the Stigmatella aurantiaca strain DW4/3-1, which was isolated from the Victoria Valley lower glacier. EFsymbIBP is 53.38% identical to the IBP from the Flavobacteriaceae bacterium strain 3519-10, isolated from the glacial ice of Lake Vostok. EFsymbAFP and EFsymbIBP are 31.73% identical at the amino acid level and are organized in tandem on the bacterial chromosome. The relatively low sequence identity and the tandem organization, which appears unique to this symbiont, suggest an occurrence of horizontal gene transfer (HGT). Structurally, EFsymbAFP and EFsymbIBP are similar to the AFPs from the snow mould fungus Typhula ishikariensis and from the Arctic yeast Leucosporidium sp. AY30. A phylogenetic analysis showed that EFsymbAFP and EFsymbIBP cluster principally with the IBP sequences from other Antarctic bacteria, supporting the view that these sequences belong to an Antarctic symbiontic bacterium of E. focardii. These results confirm that IBPs have a complex evolutionary history, which includes HGT events, most probably due to the demands of the environment and the need for rapid adaptation.</t>
  </si>
  <si>
    <t>[Pucciarelli, Sandra; Devaraj, Raghul Rajan; Yang, Guang; Ballarini, Patrizia; Miceli, Cristina] Univ Camerino, Scuola Biosci &amp; Biotecnol, I-62032 Camerino, Italy; [Chiappori, Federica] CNR, Ist Tecnol Biomed, I-20133 Milan, Italy; [Yu, Ting] Univ Queensland, Natl Res Ctr Environm Toxicol, St Lucia, Qld 4108, Australia</t>
  </si>
  <si>
    <t>University of Camerino; Consiglio Nazionale delle Ricerche (CNR); Istituto di Tecnologie Biomediche (ITB-CNR); University of Queensland</t>
  </si>
  <si>
    <t>Pucciarelli, S (corresponding author), Univ Camerino, Scuola Biosci &amp; Biotecnol, I-62032 Camerino, Italy.</t>
  </si>
  <si>
    <t>sandra.pucciarelli@unicam.it</t>
  </si>
  <si>
    <t>Chiappori, Federica/S-5689-2019</t>
  </si>
  <si>
    <t>Chiappori, Federica/0000-0001-8099-4348; Pucciarelli, Sandra/0000-0003-4178-2689; Devaraj, Raghul Rajan/0000-0001-8319-0513; Miceli, Cristina/0000-0002-7829-8471</t>
  </si>
  <si>
    <t>Italian Ministero dell'Istruzione, dell'Universita e della Ricerca (MIUR); Italian Programma Nazionale di Ricerche in Antartide (PNRA); Italian Ministry of Education and Research through the Flagship InterOmics, [PB05]; European MIMOMICS projects; COST (action) [BM1102]; HIRMA [RBAP11YS7K]</t>
  </si>
  <si>
    <t>Italian Ministero dell'Istruzione, dell'Universita e della Ricerca (MIUR)(Ministry of Education, Universities and Research (MIUR)); Italian Programma Nazionale di Ricerche in Antartide (PNRA); Italian Ministry of Education and Research through the Flagship InterOmics,; European MIMOMICS projects; COST (action)(European Cooperation in Science and Technology (COST)); HIRMA</t>
  </si>
  <si>
    <t>This research was supported by grants from the Italian Ministero dell'Istruzione, dell'Universita e della Ricerca (MIUR) (PRIN 2008) and the Italian Programma Nazionale di Ricerche in Antartide (PNRA). We acknowledge support from the Italian Ministry of Education and Research through the Flagship (PB05) InterOmics, HIRMA (RBAP11YS7K) and the European MIMOMICS projects. We are grateful to Vadim Gladishev and all the members of his laboratory for their collaboration in the sequencing the E. focardii genome. Special thanks to Alexei Lobanov for the helpful suggestions during the editing of the manuscript. We acknowledge the COST (action BM1102) for supporting part of this work. We also thank the reviewers for their comments.</t>
  </si>
  <si>
    <t>10.1017/S0954102014000017</t>
  </si>
  <si>
    <t>WOS:000344735300004</t>
  </si>
  <si>
    <t>Stevens, DW; Dunn, MR; Pinkerton, MH; Forman, JS</t>
  </si>
  <si>
    <t>Stevens, Darren W.; Dunn, Matthew R.; Pinkerton, Matthew H.; Forman, Jeff S.</t>
  </si>
  <si>
    <t>Diet of Antarctic toothfish (Dissostichus mawsoni) from the continental slope and oceanic features of the Ross Sea region, Antarctica</t>
  </si>
  <si>
    <t>feeding selectivity; trophic relationships</t>
  </si>
  <si>
    <t>PATAGONIAN TOOTHFISH; SQUID; ELEGINOIDES; HABITS; FISHES; SIZE; FOOD</t>
  </si>
  <si>
    <t>The diet of Dissostichus mawsoni captured by bottom longline in the Ross Sea region was examined during 2003, 2005 and 2010. The diet of sub-adult toothfish was similar to adult toothfish, comprising mainly benthic fishes and cephalopods. Sub-adult toothfish ate a greater variety of smaller prey than adults, including smaller fish and prawns. Grenadiers (Macrourus spp.) were the most important fish and overall prey species. On the continental slope, icefish (Channichthyidae) and eel cods (Muraenolepididae) were also important fish prey, while Psychroteuthis glacialis was the most important cephalopod prey. On oceanic features, toothfish fed mainly on Macrourus spp. but also fed on Antimora rostrata, cephalopods and the occasional mesopelagic to epipelagic fish. Diet varied significantly with toothfish size and location on northern parts of the Mawson and Iselin banks of the Ross Sea continental slope. There was no significant temporal change in diet composition.</t>
  </si>
  <si>
    <t>[Stevens, Darren W.; Pinkerton, Matthew H.; Forman, Jeff S.] Natl Inst Water &amp; Atmospher Res NIWA, Wellington, New Zealand; [Dunn, Matthew R.] Victoria Univ Wellington, Sch Biol Sci, Wellington 6140, New Zealand</t>
  </si>
  <si>
    <t>National Institute of Water &amp; Atmospheric Research (NIWA) - New Zealand; Victoria University Wellington</t>
  </si>
  <si>
    <t>Stevens, DW (corresponding author), Natl Inst Water &amp; Atmospher Res NIWA, Private Bag 14901, Wellington, New Zealand.</t>
  </si>
  <si>
    <t>darren.stevens@niwa.co.nz</t>
  </si>
  <si>
    <t>Dunn, Matthew R/J-3750-2014</t>
  </si>
  <si>
    <t>New Zealand MBIE project C01 x 1001</t>
  </si>
  <si>
    <t>New Zealand MBIE project C01 x 1001(New Zealand Ministry of Business, Innovation and Employment (MBIE))</t>
  </si>
  <si>
    <t>This work was funded by New Zealand MBIE project C01 x 1001 (Protecting Ross Sea Ecosystems). We thank the scientific observers: Gerald Anderson, Jerry Buirski, Donovan Cole, Brent Fairhead, Rick Guild, Stacey Mulgrew, Howard Reid, Stephen Smith and Francois Stoffberg; and Sanford Ltd science advisor and company liaison, Jack Fenaughty, who collected the stomachs used in this study. Andrew Stewart and Peter McMillan helped with the identification of fish prey, while Martin Collins, Paul Rodhouse, Jose Xavier and Yves Cherel helped with the identification of cephalopod prey. Natant decapods and king crabs were identified by Rick Webber and Eliot Dawson. Amphipods and isopods were identified by Niel Bruce. Peter Shearer assisted with stomach examination and digital photography. Anna Kilimnik helped with Russian translation. Brent Wood and Erika Mackay produced Fig. 1. Ben Sharp, Colin Sutton and the New Zealand Antarctic Fisheries Working Group provided useful comments on an earlier draft. We would also like to thank the reviewers for their comments.</t>
  </si>
  <si>
    <t>10.1017/S095410201300093X</t>
  </si>
  <si>
    <t>WOS:000344735300005</t>
  </si>
  <si>
    <t>Kleinteich, J; Hildebrand, F; Wood, SA; Cirés, S; Agha, R; Quesada, A; Pearce, DA; Convey, P; Küpper, FC; Dietrich, DR</t>
  </si>
  <si>
    <t>Kleinteich, J.; Hildebrand, F.; Wood, S. A.; Cires, S.; Agha, R.; Quesada, A.; Pearce, D. A.; Convey, P.; Kuepper, F. C.; Dietrich, D. R.</t>
  </si>
  <si>
    <t>Diversity of toxin and non-toxin containing cyanobacterial mats of meltwater ponds on the Antarctic Peninsula: a pyrosequencing approach</t>
  </si>
  <si>
    <t>automated ribosomal intergenic spacer analysis; cylindrospermopsin; liquid chromatography-mass spectrometry; microcystin</t>
  </si>
  <si>
    <t>CYLINDROSPERMOPSIN; MICROCYSTIN; IDENTIFICATION; TEMPERATURE</t>
  </si>
  <si>
    <t>Despite their pivotal role as primary producers, there is little information as to the diversity and physiology of cyanobacteria in the meltwater ecosystems of polar regions. Thirty cyanobacterial mats from Adelaide Island, Antarctica were investigated using 16S rRNA gene pyrosequencing and automated ribosomal intergenic spacer analysis, and screened for cyanobacterial toxins using molecular and chemical approaches. A total of 274 operational taxonomic units (OTUs) were detected. The richness ranged between 8 and 33 cyanobacterial OTUs per sample, reflecting a high mat diversity. Leptolyngbya and Phormidium (c. 55% and 37% of the OTUs per mat) were dominant. Cyanobacterial community composition was similar between mats, particularly those obtained from closely adjacent locations. The cyanotoxin microcystin was detected in 26 of 27 mats (10-300 ng g(-1) organic mass), while cylindrospermopsin, detected for the first time in Antarctica, was present in 21 of 30 mats (2-156 ng g(-1) organic mass). The latter was confirmed via liquid chromatography-mass spectrometry and by the presence of the cyrAB and cyrJ genes. This study demonstrates the usefulness of pyrosequencing for characterizing diverse cyanobacterial communities, and confirms that cyanobacteria from extreme environments produce a similar range of cyanotoxins as their temperate counterparts.</t>
  </si>
  <si>
    <t>[Kleinteich, J.; Dietrich, D. R.] Univ Konstanz, D-78457 Constance, Germany; [Kleinteich, J.] Univ Liege, Inst Chem B6, Ctr Ingn Prot, B-4000 Cointe Ougree, Belgium; [Hildebrand, F.] European Mol Biol Lab, D-69117 Heidelberg, Germany; [Hildebrand, F.] Vrije Univ Brussel, Dept Biosci Engn, B-1050 Brussels, Belgium; [Wood, S. A.] Cawthron Inst, Nelson 7042, New Zealand; [Wood, S. A.] Univ Waikato, Sch Biol Sci, Hamilton 2001, New Zealand; [Cires, S.; Agha, R.; Quesada, A.] Univ Autonoma Madrid, Dept Biol, E-28049 Madrid, Spain; [Cires, S.] James Cook Univ, Sch Marine &amp; Trop Biol, Townsville, Qld 4811, Australia; [Pearce, D. A.; Convey, P.] British Antarctic Survey, NERC, Cambridge CB3 0ET, England; [Pearce, D. A.] Northumbria Univ, Fac Hlth &amp; Life Sci, Newcastle Upon Tyne NE1 8ST, Tyne &amp; Wear, England; [Pearce, D. A.] Univ Ctr Svalbard, N-9171 Longyearbyen, Norway; [Convey, P.] Univ Canterbury, Gateway Antarctica, Christchurch 8140, New Zealand; [Kuepper, F. C.] Scottish Assoc Marine Sci, Oban PA37 1QA, Argyll, Scotland; [Kuepper, F. C.] Univ Aberdeen, Oceanlab, Newburgh AB41 6AA, Aberdeen, Scotland</t>
  </si>
  <si>
    <t>University of Konstanz; University of Liege; European Molecular Biology Laboratory (EMBL); Vrije Universiteit Brussel; Cawthron Institute; University of Waikato; Autonomous University of Madrid; James Cook University; UK Research &amp; Innovation (UKRI); Natural Environment Research Council (NERC); NERC British Antarctic Survey; Northumbria University; University Centre Svalbard (UNIS); University of Canterbury; UHI Millennium Institute; University of Aberdeen</t>
  </si>
  <si>
    <t>Kleinteich, J (corresponding author), Univ Konstanz, D-78457 Constance, Germany.</t>
  </si>
  <si>
    <t>Daniel.Dietrich@uni-konstanz.de</t>
  </si>
  <si>
    <t>Cirés, Samuel/B-2508-2017; Agha, Ramsy/J-5175-2019; Convey, Peter/AAV-5728-2020; Dietrich, Daniel/AAP-8698-2021; Quesada, Antonio/L-2430-2013; Hildebrand, Falk/K-1914-2014</t>
  </si>
  <si>
    <t>Agha, Ramsy/0000-0002-6109-4624; Convey, Peter/0000-0001-8497-9903; Kuepper, Frithjof/0000-0003-1273-7109; Quesada, Antonio/0000-0002-8913-5993; Pearce, David/0000-0001-5292-4596; Hildebrand, Falk/0000-0002-0078-8948</t>
  </si>
  <si>
    <t>Carl Zeiss Stiftung; Excellence Initiative of the University of Konstanz, Germany; UK Natural Environment Research Council (NERC); British Antarctic Survey (BAS) [AFI-CGS-70]; Research Foundation Flanders (FWO)</t>
  </si>
  <si>
    <t>Carl Zeiss Stiftung; Excellence Initiative of the University of Konstanz, Germany; UK Natural Environment Research Council (NERC)(UK Research &amp; Innovation (UKRI)Natural Environment Research Council (NERC)); British Antarctic Survey (BAS); Research Foundation Flanders (FWO)(FWO)</t>
  </si>
  <si>
    <t>We acknowledge the Carl Zeiss Stiftung and the Excellence Initiative of the University of Konstanz, Germany, for funding the PhD project of JK. JK is now a BeIPD Marie-Curie COFUND research fellow at the University of Liege. We are grateful to UK Natural Environment Research Council (NERC) and British Antarctic Survey (BAS) for funding the AFI-CGS-70 grant and the field trip to Antarctica, as well as all BAS staff for their logistic and scientific support, especially the team of Rothera Research Station. FCK gratefully acknowledges further funding support from NERC (Oceans 2025 WP 4.5 and NF-3 core funding to the Culture Collection of Algae and Protozoa). We thank the Antarctic Science Bursary for funding the 454 (R) sequencing. This research was supported by a Marie Curie International Research Staff Exchange Scheme Fellowship within the 7th European Community Framework Programme (DRD and SAW). For technical support and stimulating discussion, we are very grateful to Dr David Schleheck, Dr Dominik Martin-Creuzburg, Lisa Zimmermann, Julia Stifel, Martina Sattler and Dr Anne Jungblut. FH is supported by the Research Foundation Flanders (FWO). We would also like to thank the reviewers for their valuable comments on the manuscript.</t>
  </si>
  <si>
    <t>10.1017/S0954102014000145</t>
  </si>
  <si>
    <t>WOS:000344735300007</t>
  </si>
  <si>
    <t>Lowther, AD; Lydersen, C; Biuw, M; De Bruyn, PJN; Hofmeyr, GJG; Kovacs, KM</t>
  </si>
  <si>
    <t>Lowther, Andrew D.; Lydersen, Christian; Biuw, Martin; De Bruyn, P. J. Nico; Hofmeyr, Greg J. G.; Kovacs, Kit M.</t>
  </si>
  <si>
    <t>Post-breeding at-sea movements of three central-place foragers in relation to submesoscale fronts in the Southern Ocean around Bouvetoya</t>
  </si>
  <si>
    <t>foraging ecology; fur seals; hidden Markov models; oceanography; penguins; telemetry</t>
  </si>
  <si>
    <t>ANTARCTIC FUR SEALS; MACARONI PENGUINS; EUDYPTES-CHRYSOLOPHUS; ISLAND; ASSOCIATIONS; ZOOPLANKTON; MIGRATION; HABITATS; ACCURACY; BEHAVIOR</t>
  </si>
  <si>
    <t>At-sea behaviour of central-place foraging fur seals and penguins in the Southern Ocean is understudied during the latter stages of parental care and the subsequent pre-moulting period. This biologically important period is costly to investigate due to the risk (or certainty) of losing tracking instruments when the animals moult. Early in this period, parents must meet the increasing demands of larger, more mobile offspring that are still nutritionally dependent and then the parents must recover lost body condition prior to the onset of their annual moult. This study reports late-season, at-sea movement patterns of macaroni penguins, chinstrap penguins and adult female Antarctic fur seals from the subantarctic island Bouvetoya, in relation to remotely-sensed oceanographic features. Foraging trips differing significantly in direction and distance travelled compared to those performed earlier in the breeding season, coincide with the time when offspring would be expected to become independent. On these trips, macaroni penguins moved towards the Polar Front while chinstrap penguins and Antarctic fur seals moved southward. Individuals from all three species appeared to target submesoscale ocean features once they were presumed to have been released from the constraints of feeding their young and were able to travel greater distances from the colony.</t>
  </si>
  <si>
    <t>[Lowther, Andrew D.; Lydersen, Christian; Biuw, Martin; Kovacs, Kit M.] Norwegian Polar Res Inst, Fram Ctr, N-9296 Tromso, Norway; [Biuw, Martin] Aquaplan Niva, Fram Ctr, N-9296 Tromso, Norway; [De Bruyn, P. J. Nico] Univ Pretoria, Dept Zool &amp; Entomol, Mammal Res Inst, ZA-0028 Pretoria, South Africa; [Hofmeyr, Greg J. G.] Port Elizabeth Museum Bayworld, ZA-6013 Port Elizabeth, South Africa</t>
  </si>
  <si>
    <t>Norwegian Polar Institute; University of Pretoria</t>
  </si>
  <si>
    <t>Lowther, AD (corresponding author), Norwegian Polar Res Inst, Fram Ctr, N-9296 Tromso, Norway.</t>
  </si>
  <si>
    <t>andrew.lowther@npolar.no</t>
  </si>
  <si>
    <t>Lowther, Andrew/T-2511-2019; Hofmeyr, G. J. Greg/AAV-3286-2020; Biuw, Martin/AAF-9895-2021; de Bruyn, P. J. Nico/E-4176-2010</t>
  </si>
  <si>
    <t>Lowther, Andrew/0000-0003-4294-3157; Hofmeyr, G. J. Greg/0000-0003-0283-6058; de Bruyn, P. J. Nico/0000-0002-9114-9569; Biuw, Martin/0000-0001-8051-3399</t>
  </si>
  <si>
    <t>Norwegian Antarctic Research Expedition (NARE) programme; Norwegian Research Council</t>
  </si>
  <si>
    <t>Norwegian Antarctic Research Expedition (NARE) programme; Norwegian Research Council(Research Council of Norway)</t>
  </si>
  <si>
    <t>This work was funded by the Norwegian Antarctic Research Expedition (NARE) programme awarded by the Norwegian Research Council. The authors thank Aline Arriola and Petrus Kritzinger for fieldwork help. Logistics support was provided by the Norwegian Polar Institute OLA Department and the South Africa National Antarctic Program (SANAP). We thank the captain and crew of the SA Agulhas for transport to and from the island, and Titan Helicopters Ltd for cargo and personnel transfer between the ship and the island. We also thank two anonymous reviewers who provided comments that were helpful in improving the manuscript.</t>
  </si>
  <si>
    <t>10.1017/S0954102014000170</t>
  </si>
  <si>
    <t>WOS:000344735300008</t>
  </si>
  <si>
    <t>Metfies, K; Nicolaus, A; Von Harbou, L; Bathmann, U; Peeken, I</t>
  </si>
  <si>
    <t>Metfies, Katja; Nicolaus, Anja; Von Harbou, Lena; Bathmann, Ulrich; Peeken, Ilka</t>
  </si>
  <si>
    <t>Molecular analyses of gut contents: elucidating the feeding of co-occurring salps in the Lazarev Sea from a different perspective</t>
  </si>
  <si>
    <t>454-pyrosequencing; ARISA; diet; Ihlea racovitzai; Salpa thompsoni; Southern Ocean</t>
  </si>
  <si>
    <t>SOUTHERN-OCEAN; FOOD-WEB; KRILL; PHYTOPLANKTON; DIVERSITY; ZOOPLANKTON; COMMUNITIES; ECOSYSTEMS; THOMPSONI; GRADIENT</t>
  </si>
  <si>
    <t>The diet of Antarctic salps was elucidated by investigating their gut content using automated ribosomal intergenic spacer analysis (ARISA) and 454-pyrosequencing. Salp samples were collected during the Lazarev Sea Krill Study in the western Weddell Sea (summer 2005-06 and 2007-08, autumn 2004 and winter 2006). Two salp species, Salpa thompsoni and Ihlea racovitzai, both occur in the Southern Ocean and can overlap geographically and seasonally. We provide evidence that, despite the non-selective feeding mechanism, the two co-occurring salp species might have different niches within a habitat. ARISA-patterns of 93 gut content samples revealed strong differences between the two salp species, even at the same sampling site. These differences were confirmed by 454-pyrosequencing of the V4-18S rDNA of ten salps. The pyrosequencing data indicate that flagellates, in particular dinophyceae, constitute a high proportion of the sequence reads identified in the gut content of both salp species. However, within the dinophyceae, differences in the read composition were detected between the two salp species. This supports the findings of a previous study where fatty acid signatures indicate a flagellate-based diet, even though microscopic analyses identified diatoms as the dominant component of salp gut contents.</t>
  </si>
  <si>
    <t>[Metfies, Katja; Nicolaus, Anja; Von Harbou, Lena; Bathmann, Ulrich; Peeken, Ilka] Alfred Wegener Inst Polar &amp; Marine Res, D-27570 Bremerhaven, Germany; [Metfies, Katja] Jacobs Univ Bremen, D-28759 Bremen, Germany; [Bathmann, Ulrich] Leibniz Inst Baltic Sea Res, D-18119 Rostock, Germany; [Peeken, Ilka] Univ Bremen, MARUM Ctr Marine Environm Sci, D-28334 Bremen, Germany</t>
  </si>
  <si>
    <t>Helmholtz Association; Alfred Wegener Institute, Helmholtz Centre for Polar &amp; Marine Research; Jacobs University; Leibniz Institut fur Ostseeforschung Warnemunde; University of Bremen</t>
  </si>
  <si>
    <t>Metfies, K (corresponding author), Alfred Wegener Inst Polar &amp; Marine Res, Handelshafen 12, D-27570 Bremerhaven, Germany.</t>
  </si>
  <si>
    <t>Katja.Metfies@awi.de</t>
  </si>
  <si>
    <t>Bathmann, Ulrich/ISV-4351-2023</t>
  </si>
  <si>
    <t>Nicolaus, Anja/0000-0002-2026-3540; Peeken, Ilka/0000-0003-1531-1664</t>
  </si>
  <si>
    <t>Deutsche Forschungsgemeinschaft [PE565/8_1]; Helmholtz Association [VH-NG-500]</t>
  </si>
  <si>
    <t>Deutsche Forschungsgemeinschaft(German Research Foundation (DFG)); Helmholtz Association(Helmholtz Association)</t>
  </si>
  <si>
    <t>This work was supported by the Deutsche Forschungsgemeinschaft (grant PE565/8_1) and funds of the Helmholtz Association for financing the Helmholtz-University Young Investigators Group PLANKTOSENS (VH-NG-500). We greatly thank the crew of RV Polarstern for excellent support during the work at sea. Furthermore, we thank Kerstin Oetjen for great technical assistance. Annegret Muller and Uwe John are acknowledged for excellent technical support of the fragment analysis. We also thank the reviewers for their valuable comments.</t>
  </si>
  <si>
    <t>10.1017/S0954102014000157</t>
  </si>
  <si>
    <t>WOS:000344735300009</t>
  </si>
  <si>
    <t>Pasotti, F; Convey, P; Vanreusel, A</t>
  </si>
  <si>
    <t>Pasotti, F.; Convey, P.; Vanreusel, A.</t>
  </si>
  <si>
    <t>Potter Cove, west Antarctic Peninsula, shallow water meiofauna: a seasonal snapshot</t>
  </si>
  <si>
    <t>benthos; King George Island; larval recruitment; seasonality; standing stocks</t>
  </si>
  <si>
    <t>KING-GEORGE ISLAND; MARINE NEMATODES; SOUTH SHETLAND; BIOMASS; ECOLOGY; BAY; DIVERSITY; ABUNDANCE; SEDIMENTS; INLET</t>
  </si>
  <si>
    <t>The meiobenthic community of Potter Cove (King George Island, west Antarctic Peninsula) was investigated, focusing on responses to summer/winter conditions in two study sites contrasting in terms of organic matter inputs. Meiofaunal densities were found to be higher in summer and lower in winter, although this result was not significantly related to the in situ availability of organic matter in each season. The combination of food quality and competition for food amongst higher trophic levels may have played a role in determining the standing stocks at the two sites. Meiobenthic winter abundances were sufficiently high to infer that energy sources were not limiting during winter, supporting observations from other studies for both shallow water and continental shelf Antarctic ecosystems. Recruitment within meiofaunal communities was coupled to the seasonal input of fresh detritus for harpacticoid copepods but not for nematodes, suggesting that species-specific life history or trophic features form an important element of the responses observed.</t>
  </si>
  <si>
    <t>[Pasotti, F.; Vanreusel, A.] Univ Ghent, Marine Biol Res Grp, B-9000 Ghent, Belgium; [Convey, P.] British Antarctic Survey, NERC, Cambridge CB3 0ET, England; [Convey, P.] Univ Canterbury, Gateway Antarctica, Christchurch 8140, New Zealand</t>
  </si>
  <si>
    <t>Ghent University; UK Research &amp; Innovation (UKRI); Natural Environment Research Council (NERC); NERC British Antarctic Survey; University of Canterbury</t>
  </si>
  <si>
    <t>Pasotti, F (corresponding author), Univ Ghent, Marine Biol Res Grp, Krijgslaan 281-S8, B-9000 Ghent, Belgium.</t>
  </si>
  <si>
    <t>Francesca.pasotti@ugent.be</t>
  </si>
  <si>
    <t>Convey, Peter/0000-0001-8497-9903; Pasotti, Francesca/0000-0002-8971-8195</t>
  </si>
  <si>
    <t>Ghent University; NERC; ESF IMCOAST project (impact of climate induced glacial melting on marine coastal systems in the western Antarctic Peninsula region); IWT PhD scholarship</t>
  </si>
  <si>
    <t>Ghent University(Ghent University); NERC(UK Research &amp; Innovation (UKRI)Natural Environment Research Council (NERC)); ESF IMCOAST project (impact of climate induced glacial melting on marine coastal systems in the western Antarctic Peninsula region); IWT PhD scholarship</t>
  </si>
  <si>
    <t>We acknowledge the ESF IMCOAST project (impact of climate induced glacial melting on marine coastal systems in the western Antarctic Peninsula region, www.imcoast.org) for financial support. FP was financed through an IWT PhD scholarship and by Ghent University. PC is supported by NERC core funding to the BAS 'Ecosystems' Programme. We thank the Alfred Wegener Institute and the Instituto Antartico Argentino for providing logistic support at the Dallmann Laboratory in Carlini Station. Special thanks to Prof Dr Doris Abele and Oscar Gonzales for their assistance and support. We thank all the scientific and support staff at Carlini Station for their assistance in the diving and boating operations necessary for the collection of the material described. We would also like to thank the reviewers for their comments on the manuscript.</t>
  </si>
  <si>
    <t>10.1017/S0954102014000169</t>
  </si>
  <si>
    <t>WOS:000344735300010</t>
  </si>
  <si>
    <t>Zitterbart, DP; Richter, S; Spiekermann, G; Behrens, LK; Regnery, J; Fontes, RP; Hänssler, T; König-Langlo, G; Weller, R; Fabry, B</t>
  </si>
  <si>
    <t>Zitterbart, Daniel P.; Richter, Sebastian; Spiekermann, Georg; Behrens, Lisa K.; Regnery, Julia; Fontes, Rene P.; Haenssler, Thedda; Koenig-Langlo, Gert; Weller, Rolf; Fabry, Ben</t>
  </si>
  <si>
    <t>Are environmental factors responsible for changed breeding behaviour in emperor penguins?</t>
  </si>
  <si>
    <t>[Zitterbart, Daniel P.; Spiekermann, Georg; Behrens, Lisa K.; Regnery, Julia; Fontes, Rene P.; Haenssler, Thedda; Koenig-Langlo, Gert; Weller, Rolf] Alfred Wegener Inst, Helmholtz Zentrum Polar &amp; Meeresfosch, D-27568 Bremerhaven, Germany; [Zitterbart, Daniel P.; Richter, Sebastian; Fabry, Ben] Univ Erlangen Nurnberg, Dept Phys, D-91052 Erlangen, Germany</t>
  </si>
  <si>
    <t>Helmholtz Association; Alfred Wegener Institute, Helmholtz Centre for Polar &amp; Marine Research; University of Erlangen Nuremberg</t>
  </si>
  <si>
    <t>Zitterbart, DP (corresponding author), Alfred Wegener Inst, Helmholtz Zentrum Polar &amp; Meeresfosch, Alten Hafen 26, D-27568 Bremerhaven, Germany.</t>
  </si>
  <si>
    <t>daniel.zitterbart@awi.de</t>
  </si>
  <si>
    <t>Zitterbart, Daniel P/N-7489-2013; Fabry, Ben/C-5496-2013; Konig-Langlo, Gert/K-5048-2012</t>
  </si>
  <si>
    <t>Fabry, Ben/0000-0003-1737-0465; Regnery, Julia/0000-0003-2704-7813; Konig-Langlo, Gert/0000-0002-6100-4107; Zitterbart, Daniel/0000-0001-9429-4350</t>
  </si>
  <si>
    <t>Deutsche Forschungsgemeinschaft (DFG) [FA336/5-1]</t>
  </si>
  <si>
    <t>We would like to thank AWI Logistics for their invaluable support, Thomas Hollands for help with satellite imagery, and Werner Schneider for helpful comments and technical support. We thank 33 generations of winterers at Neumayer base for collecting environmental data. This study was funded by Deutsche Forschungsgemeinschaft (DFG) grant FA336/5-1 in the framework of the priority programme 'Antarctic research with comparative investigations in Arctic ice areas'. We also thank Professor Walton, Gerry Kooyman and one anonymous reviewer for their constructive comments. There are no competing interests.</t>
  </si>
  <si>
    <t>10.1017/S0954102014000285</t>
  </si>
  <si>
    <t>WOS:000344735300011</t>
  </si>
  <si>
    <t>Scarrow, JW; Balks, MR; Almond, PC</t>
  </si>
  <si>
    <t>Scarrow, Joshua W.; Balks, Megan R.; Almond, Peter C.</t>
  </si>
  <si>
    <t>Three soil chronosequences in recessional glacial deposits near the polar plateau, in the Central Transantarctic Mountains, Antarctica</t>
  </si>
  <si>
    <t>Beardmore; cold desert; Cryosol; Gelisol; sublimation; ultraxerous</t>
  </si>
  <si>
    <t>CHANGING ENVIRONMENT; VICTORIA LAND; LAKE WELLMAN; HISTORY; REGION; VALLEY; ICE</t>
  </si>
  <si>
    <t>Soil chronosequences in till deposits emplaced during glacial retreat in the Central Transantarctic Mountains are described. Discrepancies between the degree of soil development and reported cosmogenic surface exposure ages suggest slower, weaker soil development in this region than encountered in other areas of Antarctica. The study sites (Dominion Range, Mount Achernar and Ong Valley) were located between 83 degrees and 85 degrees S, at altitudes of 1600-2200 m, on the edge of the polar plateau. Soil landscape maps show a gradation of soil properties across landscape units that were designated as homogenous/single-event drifts in previous smaller-scale studies. Along transects away from the current ice edge, the depth to underlying ice thickened (from 2 cm to &gt; 80 cm), soil became more weathered, saltier and less alkaline, and horizonation became more pronounced. Soil thickness, clast abundance and soil chemistry are all consistent with a two-layer mode of soil formation. We suggest that a thin, clast-rich surface horizon, originating from weathering of supraglacial debris, overlies a thick, clast-poor sublimation till. The supraglacial debris has a finite contribution to soil volume, whereas sublimation offers an ongoing source of soil material that thickens the soil from its base.</t>
  </si>
  <si>
    <t>[Scarrow, Joshua W.; Balks, Megan R.] Univ Waikato, Hamilton 3240, New Zealand; [Almond, Peter C.] Lincoln Univ, Fac Agr &amp; Life Sci, Lincoln 7647, New Zealand</t>
  </si>
  <si>
    <t>University of Waikato; Lincoln University - New Zealand</t>
  </si>
  <si>
    <t>Scarrow, JW (corresponding author), Univ Waikato, Hamilton 3240, New Zealand.</t>
  </si>
  <si>
    <t>josh.w.scarrow@gmail.com</t>
  </si>
  <si>
    <t>Landcare Research; Ministry of Business, Innovation and Employment [CO9X1001]</t>
  </si>
  <si>
    <t>Landcare Research; Ministry of Business, Innovation and Employment(New Zealand Ministry of Business, Innovation and Employment (MBIE))</t>
  </si>
  <si>
    <t>The authors thank Landcare Research (specifically Jackie Aislabie) for funding of both fieldwork and lab analyses (Ministry of Business, Innovation and Employment; grant #CO9X1001). The United States Antarctic Research Program (USAP) via the Polar Geospatial Centre, University of Minnesota, provided satellite imagery and maps. Thanks to Errol Balks for field and technical assistance, and Malcolm McLeod and Glen Stichbury for mapping assistance. Logistical support was provided by Antarctica New Zealand and USAP (especially staff at the CTAM field camp). The thorough review byMMcLeod and W Dickinson greatly improved this paper.</t>
  </si>
  <si>
    <t>10.1017/S0954102014000078</t>
  </si>
  <si>
    <t>WOS:000344735300013</t>
  </si>
  <si>
    <t>Lynch, HJ; Larue, MA</t>
  </si>
  <si>
    <t>Lynch, H. J.; LaRue, M. A.</t>
  </si>
  <si>
    <t>First global census of the Adelie Penguin</t>
  </si>
  <si>
    <t>AUK</t>
  </si>
  <si>
    <t>Antarctica; high-resolution satellite imagery; Marine Protected Area; population estimate; Ross Sea; South Shetland Islands</t>
  </si>
  <si>
    <t>ANTARCTIC PENINSULA; POPULATIONS; COLONIES; MANAGEMENT; ROOKERIES; IMAGERY; AREAS; KRILL; SEA</t>
  </si>
  <si>
    <t>We report on the first global census of the Adelie Penguin (Pygoscelis adeliae), achieved using a combination of ground counts and satellite imagery, and find a breeding population 53% larger (3.79 million breeding pairs) than the last estimate in 1993. We provide the first abundance estimates for 41 previously unsurveyed colonies, which collectively contain 420,000 breeding pairs, and report on 17 previously unknown colonies, 11 of which may be recent colonizations. These recent colonizations represent similar to 5% of the increase in known breeding population and provide insight into the ability of these highly philopatric seabirds to colonize new breeding territories. Additionally, we report on 13 colonies not found in the survey, including 8 that we conclude have gone extinct. We find that Adelie Penguin declines on the Antarctic Peninsula are more than offset by increases in East Antarctica. Our global population assessment provides a robust baseline for understanding future changes in abundance and distribution. These results are a critically needed contribution to ongoing negotiations regarding the design and implementation of Marine Protected Areas for the Southern Ocean.</t>
  </si>
  <si>
    <t>[Lynch, H. J.] SUNY Stony Brook, Dept Ecol &amp; Evolut, Stony Brook, NY 11794 USA; [LaRue, M. A.] Univ Minnesota, Conservat Biol Grad Program, St Paul, MN 55108 USA</t>
  </si>
  <si>
    <t>State University of New York (SUNY) System; State University of New York (SUNY) Stony Brook; University of Minnesota System; University of Minnesota Twin Cities</t>
  </si>
  <si>
    <t>Lynch, HJ (corresponding author), SUNY Stony Brook, Dept Ecol &amp; Evolut, Stony Brook, NY 11794 USA.</t>
  </si>
  <si>
    <t>heather.lynch@stonybrook.edu</t>
  </si>
  <si>
    <t>National Science Foundation Office of Polar Programs [NSF/OPP-0739515, NSF/OPP-1255058]; Office of Polar Programs (OPP); Directorate For Geosciences [1255058]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</si>
  <si>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t>
  </si>
  <si>
    <t>We thank M. Schwaller, C. Southwell, and L. Emmerson for providing the data from Schwaller et al. (2013) for comparison, and for fruitful discussion during the course of this study. We thank C. Porter for her expertise and tireless efforts processing the satellite imagery required for this analysis. We gratefully acknowledge assistance from W. Fagan, the National Science Foundation Office of Polar Programs (NSF/OPP-0739515 and NSF/OPP-1255058), and the Polar Geospatial Center for facilitating use of the imagery.</t>
  </si>
  <si>
    <t>AMER ORNITHOLOGISTS UNION</t>
  </si>
  <si>
    <t>LAWRENCE</t>
  </si>
  <si>
    <t>ORNITHOLOGICAL SOC NORTH AMER PO BOX 1897, LAWRENCE, KS 66044-8897 USA</t>
  </si>
  <si>
    <t>0004-8038</t>
  </si>
  <si>
    <t>1938-4254</t>
  </si>
  <si>
    <t>10.1642/AUK-14-31.1</t>
  </si>
  <si>
    <t>AT3GF</t>
  </si>
  <si>
    <t>WOS:000344823200001</t>
  </si>
  <si>
    <t>Patil, SM; Mohan, R; Shetye, S; Gazi, S; Jafar, S</t>
  </si>
  <si>
    <t>Patil, Shramik M.; Mohan, Rahul; Shetye, Suhas; Gazi, Sahina; Jafar, Syed</t>
  </si>
  <si>
    <t>Morphological variability of Emiliania huxleyi in the Indian Sector of the Southern Ocean during the austral summer of 2010 (vol 107, pg 44, 2014)</t>
  </si>
  <si>
    <t>[Patil, Shramik M.; Mohan, Rahul; Shetye, Suhas; Gazi, Sahina] Natl Ctr Antarctic &amp; Ocean Res, Vasco Da Gama 403804, Goa, India</t>
  </si>
  <si>
    <t>Mohan, R (corresponding author), Natl Ctr Antarctic &amp; Ocean Res, Vasco Da Gama 403804, Goa, India.</t>
  </si>
  <si>
    <t>rahulmohangupta@gmail.com</t>
  </si>
  <si>
    <t>10.1016/j.marmicro.2014.08.003</t>
  </si>
  <si>
    <t>AS8QY</t>
  </si>
  <si>
    <t>WOS:000344514500006</t>
  </si>
  <si>
    <t>Michel, A; Flament, T; Rémy, F</t>
  </si>
  <si>
    <t>Michel, Aurelie; Flament, Thomas; Remy, Frederique</t>
  </si>
  <si>
    <t>Study of the Penetration Bias of ENVISAT Altimeter Observations over Antarctica in Comparison to ICESat Observations</t>
  </si>
  <si>
    <t>REMOTE SENSING</t>
  </si>
  <si>
    <t>radar altimetry; laser altimetry; ENVISAT; ICESat; AltiKa; Antarctica; ice sheet; remote sensing</t>
  </si>
  <si>
    <t>RADAR ALTIMETRY; SATELLITE RADAR; DOME-C; SHEET; SURFACE; POLARIZATION; RETURN; MODEL</t>
  </si>
  <si>
    <t>The aim of this article is to characterize the penetration bias of the ENVIronmental SATellite (ENVISAT) radar altimeter over the Antarctic ice sheet through comparison with the more accurate measurements of the Ice, Cloud and land Elevation Satellite (ICESat) altimeter at crossover points. We studied the difference between ENVISAT and ICESat fluctuations over six years. We observed the same patterns between the leading edge width and the elevation difference. Both parameters are linked, and the major bias is due to the lengthening of the leading edge width due to the radar penetration. We show that the elevation difference between both altimeters and the leading edge width are linearly well-linked with a 0.8 Pearson correlation coefficient, whereas the slope effect over the coasts is difficult to analyze. When we analyze each crossover point temporal evolution locally, the linear correlation between the leading edge width and the elevation difference is between -0.6 and -1. Fitting a linear model between them, we find a reliability index greater than 0.7 for the Antarctic Plateau and Dronning Maud Land, which confirms that the penetration effect has a linear influence on the retrieved height. Moreover, we present results from SARAL/AltiKa (launched in February 2013) that confirm SARAL/AltiKa accuracy and the promising information it will provide.</t>
  </si>
  <si>
    <t>[Michel, Aurelie; Flament, Thomas; Remy, Frederique] LEGOS, UMR 5566, F-31400 Toulouse, France; [Michel, Aurelie] CLS, F-31520 Ramonville St Agne, France</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</si>
  <si>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t>
  </si>
  <si>
    <t>Michel, A (corresponding author), LEGOS, UMR 5566, 14 Ave Edouard Belin, F-31400 Toulouse, France.</t>
  </si>
  <si>
    <t>aurelie.michel@legos.obs-mip.fr; T.Flament@leeds.ac.uk; frederique.remy@legos.obs-mip.fr</t>
  </si>
  <si>
    <t>Flament, Thomas/0000-0001-9702-302X</t>
  </si>
  <si>
    <t>CNES/CLS</t>
  </si>
  <si>
    <t>The author was granted CNES/CLS PhD funding. The altimetric data were provided by CTOH/Legos. The author is grateful to the four anonymous reviewers for their very relevant comments and the colleagues that helped with the English.</t>
  </si>
  <si>
    <t>MDPI</t>
  </si>
  <si>
    <t>BASEL</t>
  </si>
  <si>
    <t>ST ALBAN-ANLAGE 66, CH-4052 BASEL, SWITZERLAND</t>
  </si>
  <si>
    <t>2072-4292</t>
  </si>
  <si>
    <t>REMOTE SENS-BASEL</t>
  </si>
  <si>
    <t>Remote Sens.</t>
  </si>
  <si>
    <t>10.3390/rs6109412</t>
  </si>
  <si>
    <t>Environmental Sciences; Geosciences, Multidisciplinary; Remote Sensing; Imaging Science &amp; Photographic Technology</t>
  </si>
  <si>
    <t>Environmental Sciences &amp; Ecology; Geology; Remote Sensing; Imaging Science &amp; Photographic Technology</t>
  </si>
  <si>
    <t>AS7TQ</t>
  </si>
  <si>
    <t>WOS:000344458000013</t>
  </si>
  <si>
    <t>Solar activity and spatial variations of the middle troposphere at the middle and high latitudes of the Northern Hemisphere in winter</t>
  </si>
  <si>
    <t>Long-term trends are observed in the spatial variability of atmospheric circulation in the 18th-23rd solar cycles in the middle troposphere at the middle and high latitudes of the Northern Hemisphere. The intensification of solar activity in the cycle chronologically coincides with the formation of the extensive anomalies of geopotential at the level of 500 hPa over the northern parts of the Atlantic and Pacific oceans. Upper-level troughs gradually move from middle to high latitudes and, having reached the Arctic Ocean, start moving back to the south. The certain synchronization in the manifestation of natural processes on the Sun and Earth enables considering the features of the spatial distribution of natural anomalies for several solar cycles as a kind of the marker of natural long-term fluctuations.</t>
  </si>
  <si>
    <t>Egorov, AG (corresponding author), Arctic &amp; Antarctic Res Inst, Ul Beringa 38, St Petersburg 199397, Russia.</t>
  </si>
  <si>
    <t>ALLERTON PRESS INC</t>
  </si>
  <si>
    <t>18 WEST 27TH ST, NEW YORK, NY 10001 USA</t>
  </si>
  <si>
    <t>10.3103/S1068373914100033</t>
  </si>
  <si>
    <t>AT7CY</t>
  </si>
  <si>
    <t>WOS:000345095500003</t>
  </si>
  <si>
    <t>Zubakin, GK; Ivanov, NE</t>
  </si>
  <si>
    <t>Zubakin, G. K.; Ivanov, N. E.</t>
  </si>
  <si>
    <t>Drift of icebergs and ice fields in the northeastern part of the Barents Sea</t>
  </si>
  <si>
    <t>Considered is the drift of 10 icebergs and 18 ice fields in the northeastern part of the Barents Sea from late May to September 2009. The drift speed is estimated by GPS measurements of geographic coordinates, and the wind, using the air pressure field. The drift variability in the range of synoptic and intraseasonal variability is analyzed by the vector-algebraic method based on the model of the random Euclidean vector. The conjugacy of the drift with the wind is represented by the indices of vector regression (the theory of A.M. Obukhov) and vector correlation. Ice fields differ from icebergs by the high velocities of drift, significant variability, and higher correlation with the wind (0.85-0.99 for fields and 0.78-0.91 for icebergs). The wind and nonwind components of the drift are singled out by the Watanabe-Gudkovich correlation method. Wind coefficients and angles of deviation for the wind drift component amounted to 0.016-0.023 and -6A degrees aEuro broken vertical bar+9A degrees for fields and 0.010-0.015 and 10A degrees-15A degrees for icebergs. The cyclonic circulation is developed in the area of permanent surface currents (of the nonwind nature).</t>
  </si>
  <si>
    <t>[Zubakin, G. K.; Ivanov, N. E.] Arctic &amp; Antarctic Res Inst, St Petersburg 199397, Russia</t>
  </si>
  <si>
    <t>Zubakin, GK (corresponding author), Arctic &amp; Antarctic Res Inst, Ul Beringa 38, St Petersburg 199397, Russia.</t>
  </si>
  <si>
    <t>zubakin@aari.ru; neivanov@aari.ru</t>
  </si>
  <si>
    <t>10.3103/S1068373914100069</t>
  </si>
  <si>
    <t>WOS:000345095500006</t>
  </si>
  <si>
    <t>Bonecker, SLC; de Araujo, AV; de Carvalho, PF; Dias, CD; Fernandes, LFL; Migotto, AE; de Oliveira, OMP</t>
  </si>
  <si>
    <t>Bonecker, Sergio L. C.; de Araujo, Adriana V.; de Carvalho, Pedro F.; Dias, Cristina de O.; Fernandes, Luiz F. L.; Migotto, Alvaro E.; de Oliveira, Otto M. P.</t>
  </si>
  <si>
    <t>Horizontal and vertical distribution of mesozooplankton species richness and composition down to 2,300 m in the southwest Atlantic Ocean</t>
  </si>
  <si>
    <t>ZOOLOGIA</t>
  </si>
  <si>
    <t>Deep sea; diversity; southeastern Brazil; zooplankton</t>
  </si>
  <si>
    <t>BATHYMETRIC DISTRIBUTION; COMMUNITY STRUCTURE; WATER MASSES; ZOOPLANKTON; SEA; ASSEMBLAGES; BAY; PATTERNS; COPEPODS; MEDUSAE</t>
  </si>
  <si>
    <t>We describe the species richness, distribution and composition of mesozooplankton over the continental shelf and slope, and in the water masses in the Campos Basin, southwest Atlantic Ocean. We analyzed the mesozooplankton from two oceanographic cruises (rainy and dry seasons, 2009) with samples taken in five different water masses from the surface to 2,300 m depth. In the Subsurface Water (SS), in both sampling periods, more species were recorded over the slope (rainy: 100; dry: 128) than the continental shelf (rainy: 97; dry: 104). Over the slope, species richness decreased with increasing depth: the highest values were observed in the South Atlantic Central Water (SACW), and the lowest values in the North Atlantic Deep Water (NADW), in both sampling periods. We recorded 262 species in 10 groups (Hydrozoa, Siphonophora, Ctenophora, Branchiopoda, Copepoda, Euphausiacea, Decapoda, Chaetognatha, Appendicularia e Thaliacea), with 13 new occurrences for the southwest Atlantic. Copepoda was the group with the highest species richness, containing 138 species. In both periods, the samples from SS, SACW and Antarctic Intermediate Water (AAIW)/Upper Circumpolar Deep Water (UCDW) were clustered in different faunistic zones, based on species composition. This study confirmed that zooplankton richness in the southwest Atlantic Ocean is underestimated, and suggests that additional efforts must be directed toward a better understanding of this fairly unknown region.</t>
  </si>
  <si>
    <t>[Bonecker, Sergio L. C.; de Araujo, Adriana V.; de Carvalho, Pedro F.; Dias, Cristina de O.] Univ Fed Rio de Janeiro, Inst Biol, Dept Zoologia, Lab Integrado Zooplancton &amp; Ictioplancton, BR-21941590 Rio De Janeiro, RJ, Brazil; [Fernandes, Luiz F. L.] Univ Fed Espirito Santo, Dept Oceanog &amp; Ecol, BR-29075970 Vitoria, Brazil; [Migotto, Alvaro E.] Univ Sao Paulo, Ctr Biol Marinha, BR-11600000 Sao Sebastiao, SP, Brazil; [de Oliveira, Otto M. P.] Univ Fed ABC, Ctr Ciencias Nat &amp; Humanas, BR-09606070 Seio Bernardo Do Campo, SP, Brazil</t>
  </si>
  <si>
    <t>Universidade Federal do Rio de Janeiro; Universidade Federal do Espirito Santo; Universidade de Sao Paulo</t>
  </si>
  <si>
    <t>de Araujo, AV (corresponding author), Univ Fed Rio de Janeiro, Inst Biol, Dept Zoologia, Lab Integrado Zooplancton &amp; Ictioplancton, Predio CCS,Bloco A,Cidade Univ,Ilha Fundao, BR-21941590 Rio De Janeiro, RJ, Brazil.</t>
  </si>
  <si>
    <t>adriana.valente@gmail.com</t>
  </si>
  <si>
    <t>Fernandes, Luiz Loureiro/JPX-9769-2023; de Araujo, Adriana Valente/L-3560-2017; de Oliveira, Otto Müller Patrão/X-5135-2019; Dias, Cristina de Oliveira/A-5533-2013; Bonecker, Sergio L. C./J-8992-2012; Migotto, Alvaro/D-3748-2011</t>
  </si>
  <si>
    <t>Fernandes, Luiz Loureiro/0000-0001-5019-7233; de Araujo, Adriana Valente/0000-0003-1098-6304; de Oliveira, Otto Müller Patrão/0000-0002-6392-2665; Dias, Cristina de Oliveira/0000-0001-8359-0234; Bonecker, Sergio/0000-0001-8156-6900; Migotto, Alvaro/0000-0003-3887-1947</t>
  </si>
  <si>
    <t>SOC BRASILEIRA ZOOLOGIA, UNIV FEDERAL PARANA</t>
  </si>
  <si>
    <t>CURITIBA</t>
  </si>
  <si>
    <t>CAIXA POSTAL 19020, CURITIBA, PARANA 81531-980, BRAZIL</t>
  </si>
  <si>
    <t>1984-4689</t>
  </si>
  <si>
    <t>ZOOLOGIA-CURITIBA</t>
  </si>
  <si>
    <t>Zoologia</t>
  </si>
  <si>
    <t>10.1590/S1984-46702014000500005</t>
  </si>
  <si>
    <t>AT3LK</t>
  </si>
  <si>
    <t>WOS:000344836200005</t>
  </si>
  <si>
    <t>Gomes, V; Passos, MJDCR; Rocha, AJD; dos Santos, TDA; Hasue, FM; Van Ngan, P</t>
  </si>
  <si>
    <t>Gomes, Vicente; Campos Rocha Passos, Maria Jose de Arruda; da Silva Rocha, Arthur Jose; Alves dos Santos, Thais da Cruz; Hasue, Fabio Matsu; Van Ngan, Phan</t>
  </si>
  <si>
    <t>OXYGEN CONSUMPTION AND AMMONIA EXCRETION OF THE ANTARCTIC AMPHIPOD Bovallia gigantea PFEFFER, 1888, AT DIFFERENT TEMPERATURES AND SALINITIES</t>
  </si>
  <si>
    <t>Antarctica; Amphipods; Metabolic adaptations; Temperature; Salinity; Bovallia gigantea</t>
  </si>
  <si>
    <t>COLD ADAPTATION; METABOLISM; ACCLIMATION</t>
  </si>
  <si>
    <t>The energy budget of Antarctic stenothermic and/or stenohaline ectotherms is modulated by variations of temperature and salinity. The joint effects of these latter on polar organisms have been but little studied. Data on this subject are of great importance for an understanding of the energy demand of Antarctic animals such as amphipods, especially when considering their ecological importance and the possible impacts of global changes. Experiments were carried out at the Brazilian Antarctic Station Comandante Ferraz under controlled conditions. Specimens of Bovallia gigantea were collected in Admiralty Bay and acclimated to temperatures of 0 degrees C; 2.5 degrees C and 5 degrees C and to salinities of 35, 30 and 25. Thirty measurements were taken for each of the nine possible combinations of the three temperatures and the three salinities. Metabolic rates were assessed based on oxygen consumption and total ammonia nitrogenous excretion in sealed respirometers. At 0 degrees C and 2.5 degrees C, the metabolic rates of the animals that were acclimated to salinities of 30 or 35 were similar, indicating a possible mechanism of metabolic independence of temperature. However, the metabolic rates were always higher at 5.0 degrees C. The effects of temperature on oxygen consumption and on ammonia excretion rates were intensified by lower salinities. Individuals of B gigantea have a temperature-independent metabolic rate within a narrow temperature window that can be modified in accordance with salinity.</t>
  </si>
  <si>
    <t>[Gomes, Vicente; Campos Rocha Passos, Maria Jose de Arruda; da Silva Rocha, Arthur Jose; Hasue, Fabio Matsu; Van Ngan, Phan] Univ Sao Paulo, Inst Oceanog, BR-05508120 Sao Paulo, Brazil; [Alves dos Santos, Thais da Cruz] Univ Monte Serrat Unimonte, BR-11015530 Santos, SP, Brazil</t>
  </si>
  <si>
    <t>Gomes, Vicente/C-5880-2015</t>
  </si>
  <si>
    <t>Gomes, Vicente/0000-0001-8201-2301</t>
  </si>
  <si>
    <t>Programa Antartico Brasileiro (CNPq-PROANTAR)</t>
  </si>
  <si>
    <t>The authors of the present study would like to thank the Programa Antartico Brasileiro (CNPq-PROANTAR) for its financial support and the Secretaria da Comissao Interministerial para os Recursos do Mar (SECIRM) and the Instituto Oceanografico da Universidade de Sao Paulo (IOUSP) for their logistic support. We are also grateful to the Brazilian Antarctic Station Comandante Ferraz for their assistance and hospitality.</t>
  </si>
  <si>
    <t>10.1590/S1679-87592014078306204</t>
  </si>
  <si>
    <t>AS5QS</t>
  </si>
  <si>
    <t>WOS:000344325500007</t>
  </si>
  <si>
    <t>Marambio, J; Mansilla, A; Avila, M; Rosenfeld, S; Ojeda, J</t>
  </si>
  <si>
    <t>Marambio, J.; Mansilla, A.; Avila, M.; Rosenfeld, S.; Ojeda, J.</t>
  </si>
  <si>
    <t>The effects of different light intensities on the culture of Gigartina skottsbergii (Rhodophyta, Gigartinales) tetrasporophytes and gametophytes in the Magellan region, Chile</t>
  </si>
  <si>
    <t>JOURNAL OF APPLIED PHYCOLOGY</t>
  </si>
  <si>
    <t>Gigartina skottsbergii; Culture; Light intensity; Development; Magellan region</t>
  </si>
  <si>
    <t>GRACILARIA SP RHODOPHYCEAE; KELP MACROCYSTIS-PYRIFERA; BIOLOGICAL BASIS; SOUTHERN CHILE; CULTIVATION; MANAGEMENT; PHOTOSYNTHESIS; MACROALGAE; HOLDFASTS; GENETICS</t>
  </si>
  <si>
    <t>Gigartina skottsbergii is a red seaweed used as raw material for extracting carrageenans, constituting an important economic resource for Chile. In 2009, extraction in the Magellan region reached 15,064 t. The growing demand has adversely affected the sustainability of natural beds, creating an interest in the culture of this resource. In order to provide information relevant to the culture and regeneration of this seaweed, the present study addresses the effects of different light intensities on the growth of G. skottsbergii gametophytes and tetrasporophytes during the early stages of development. Mature reproductive fronds were induced to release spores in the laboratory by a drying process. Gametophytes cultured at different light intensities showed an increase in diameter, which reached 519.13 +/- 108.95 mu m with 4 mu mol photons m(-2) s(-1), while tetrasporophytes showed a greater increase in diameter, reaching 714.11 +/- 116.45 mu m with 8 mu mol photons m(-2) s(-1). Results indicate that both stages of the reproductive cycle are influenced by different light intensities within a limited range. Therefore, both phases require different and specific ranges of light intensity.</t>
  </si>
  <si>
    <t>[Marambio, J.; Mansilla, A.; Rosenfeld, S.; Ojeda, J.] Univ Magallanes, Lab Macroalgas Antarticas &amp; Subantarticas, Punta Arenas, Chile; [Avila, M.] Univ Arturo Prat UNAP, Puerto Montt, Chile; [Mansilla, A.; Rosenfeld, S.] IEB, Santiago, Chile</t>
  </si>
  <si>
    <t>Universidad de Magallanes</t>
  </si>
  <si>
    <t>Mansilla, A (corresponding author), IEB, Santiago, Chile.</t>
  </si>
  <si>
    <t>andres.mansilla@umag.cl</t>
  </si>
  <si>
    <t>Ojeda, Jaime/HHN-1455-2022</t>
  </si>
  <si>
    <t>Mansilla, Andres/0000-0003-3505-7018; ojeda, jaime/0000-0003-3863-9750; Rosenfeld, Sebastian/0000-0002-4363-8018</t>
  </si>
  <si>
    <t>FONDEF; CONICYT, Chile [AQ08I1011]; Millennium Scientific Initiative (Chile) [P05-002 ICM]; Basal Financing Program of CONICYT (Chile) [PFB-23]; Institute of Ecology and Biodiversity (Chile) [ICMP05-002]</t>
  </si>
  <si>
    <t>FONDEF; CONICYT, Chile(Comision Nacional de Investigacion Cientifica y Tecnologica (CONICYT)); Millennium Scientific Initiative (Chile); Basal Financing Program of CONICYT (Chile); Institute of Ecology and Biodiversity (Chile)</t>
  </si>
  <si>
    <t>Financial support to MA and AM is acknowledged from FONDEF and CONICYT, Chile (Project AQ08I1011). The facilities and equipment required were provided by the Laboratory of Sub-Antarctic Macroalgae (LMAS) University of Magallanes. AM acknowledges the Millennium Scientific Initiative (Grant P05-002 ICM, Chile) and the Basal Financing Program of CONICYT (Grant PFB-23, Chile). SR thanks the Masters Scholarship provided by the Institute of Ecology and Biodiversity (Chile) (code ICMP05-002). The collaboration of Susan Angus in the improvement of the English language of the manuscript is also acknowledged.</t>
  </si>
  <si>
    <t>0921-8971</t>
  </si>
  <si>
    <t>1573-5176</t>
  </si>
  <si>
    <t>J APPL PHYCOL</t>
  </si>
  <si>
    <t>J. Appl. Phycol.</t>
  </si>
  <si>
    <t>10.1007/s10811-014-0316-4</t>
  </si>
  <si>
    <t>Biotechnology &amp; Applied Microbiology; Marine &amp; Freshwater Biology</t>
  </si>
  <si>
    <t>AS0XF</t>
  </si>
  <si>
    <t>WOS:000343998400004</t>
  </si>
  <si>
    <t>Arumugm, Y; Gupta, AK; Panigrahi, MK</t>
  </si>
  <si>
    <t>Arumugm, Yuvaraja; Gupta, Anil K.; Panigrahi, Mruganka K.</t>
  </si>
  <si>
    <t>Species diversity variations in Neogene deep-sea benthic foraminifera at ODP Hole 730A, western Arabian Sea</t>
  </si>
  <si>
    <t>JOURNAL OF EARTH SYSTEM SCIENCE</t>
  </si>
  <si>
    <t>Benthic foraminifera; Arabian Sea; species diversity; productivity; Indian monsoon; upwelling</t>
  </si>
  <si>
    <t>PLIOCENE BIOGENIC BLOOM; EASTERN INDIAN-OCEAN; BENTHONIC FORAMINIFERA; SEDIMENT GEOCHEMISTRY; WATER; PRODUCTIVITY; CIRCULATION; MONSOON; TRENDS; PHYTODETRITUS</t>
  </si>
  <si>
    <t>Deep-sea benthic foraminifera are an important and widely used marine proxy to understand paleoceanographic and paleoclimatic changes on regional and global scales, owing to their sensitivity to oceanic and climatic turnovers. Some species of benthic foraminifera are sensitive to changes in water mass properties whereas others are sensitive to organic fluxes and deep-sea oxygenation. Benthic faunal diversity has been found closely linked to food web, bottom water oxygen levels, and substrate and water mass stability. The present study is aimed at analyzing species diversity trends in benthic foraminifera and their linkages with Indian monsoon variability during the Neogene. Species diversity of benthic foraminifera is examined in terms of number of species (S), information function (H), equitability (E) and Sanders' rarefied values, which were combined with relative abundances of high and low productivity benthic foraminifera at Ocean Drilling Program Hole 730A, Oman margin, western Arabian Sea. The Oman margin offers the best opportunity to understand monsoon-driven changes in benthic diversity since summer monsoon winds have greater impact on the study area. The species diversity was higher during the early Miocene Climatic Optimum (similar to 17.2-16.4 Ma) followed by a decrease during 16.4-13 Ma coinciding with a major increase in Antarctic ice volume and increased formation of Antarctic Bottom Water. All the diversity parameters show an increase during 13-11.6 Ma, a gradual decrease during 11.6-9 Ma and then an increase with a maximum at 7 Ma. Thereafter the values show little change until 1.2 Ma when all the parameters abruptly decrease. The benthic foraminiferal populations and diversity at Hole 730A were mainly driven by the Indian monsoon, and polar waters might have played a minor or no role since early Neogene period as the Arabian Sea is an enclosed basin.</t>
  </si>
  <si>
    <t>[Arumugm, Yuvaraja; Gupta, Anil K.; Panigrahi, Mruganka K.] Indian Inst Technol, Kharagpur 721302, W Bengal, India; [Gupta, Anil K.] Wadia Inst Himalayan Geol, Dehra Dun 248001, India</t>
  </si>
  <si>
    <t>Indian Institute of Technology System (IIT System); Indian Institute of Technology (IIT) - Kharagpur; Department of Science &amp; Technology (India); Wadia Institute of Himalayan Geology (WIHG)</t>
  </si>
  <si>
    <t>Arumugm, Y (corresponding author), Indian Inst Technol, Kharagpur 721302, W Bengal, India.</t>
  </si>
  <si>
    <t>agl.yuva@gmail.com</t>
  </si>
  <si>
    <t>arumugam, yuvaraja/0000-0003-0220-5993; Gupta, Anil/0000-0003-0536-3911</t>
  </si>
  <si>
    <t>Department of Science and Technology (DST), New Delhi [SR/S4/ES-304/2007]; DST, New Delhi [SR/S4/ES-304/2007]; Indian Institute of Technology, Kharagpur; Wadia Institute of Himalayan Geology [8/3/2013/2342]</t>
  </si>
  <si>
    <t>Department of Science and Technology (DST), New Delhi(Department of Science &amp; Technology (India)); DST, New Delhi(Department of Science &amp; Technology (India)); Indian Institute of Technology, Kharagpur; Wadia Institute of Himalayan Geology(Department of Science &amp; Technology (India))</t>
  </si>
  <si>
    <t>A K G thanks Integrated Ocean Drilling Program (IODP) for providing samples for the present study (Req. No. 20204B) and Department of Science and Technology (DST), New Delhi for financial support (Grant No. SR/S4/ES-304/2007 and J.C. Bose Fellowship). A Y thanks DST, New Delhi (Grant No. SR/S4/ES-304/2007), Indian Institute of Technology, Kharagpur and Wadia Institute of Himalayan Geology (No.8/3/2013/2342) for financial and infrastructure support.</t>
  </si>
  <si>
    <t>2347-4327</t>
  </si>
  <si>
    <t>0973-774X</t>
  </si>
  <si>
    <t>J EARTH SYST SCI</t>
  </si>
  <si>
    <t>J. Earth Syst. Sci.</t>
  </si>
  <si>
    <t>10.1007/s12040-014-0495-z</t>
  </si>
  <si>
    <t>Geosciences, Multidisciplinary; Multidisciplinary Sciences</t>
  </si>
  <si>
    <t>Geology; Science &amp; Technology - Other Topics</t>
  </si>
  <si>
    <t>AS0FS</t>
  </si>
  <si>
    <t>WOS:000343954200015</t>
  </si>
  <si>
    <t>Eichler, PPB; Billups, K; Vital, H; de Moraes, JA</t>
  </si>
  <si>
    <t>Eichler, Patricia P. B.; Billups, Katharina; Vital, Helenice; de Moraes, Joyce Alves</t>
  </si>
  <si>
    <t>TRACING THERMOHALINE PROPERTIES AND PRODUCTIVITY OF SHELF-WATER MASSES USING THE STABLE ISOTOPIC COMPOSITION OF BENTHIC FORAMTNIFERA</t>
  </si>
  <si>
    <t>JOURNAL OF FORAMINIFERAL RESEARCH</t>
  </si>
  <si>
    <t>WESTERN NORTH-ATLANTIC; CARBON ISOTOPES; PLATA RIVER; CONTINENTAL-SHELF; FORAMINIFERA; DISTRIBUTIONS; SLOPE; CIRCULATION; GLACIATION; INDICATORS</t>
  </si>
  <si>
    <t>We explored the applicability of stable isotopic ratios of nine foraminiferal species, four epifaunal (Pseudononion atlanticum, Cibieides fletcheri, Hoeglundina elegans, Hanzawaia boueana) and five infaunal (Angulogerina angulosa, Uvigerina peregrina, Buccella peruviana, Cassidulina subglobosa, Bulimina marginata), as environmental tracers on the southwest Atlantic continental shelf from samples collected along the Argentinean-Uruguayan-Brazilian Atlantic coast during austral winter 2003 and summer 2004. Linear regressions show that the stable isotopic composition of living foraminifera is associated with geographical and environmental variables (latitude, water depth, temperature, salinity, and dissolved silica). Multiple linear regressions show that the relevant variables in this study are latitude, salinity, and biogenic silica. There is a general trend of higher delta O-18 and lower delta C-13 values with increasing latitude, reflecting the influence of cooler water masses toward the south. Specifically, the delta O-18 data from U. peregrina, H. elegans, and P. atlanticum follow meridional temperature gradients with lower PO values in relatively warm Subtropical Shelf Water at the northernmost sites (27 degrees S) and higher values in colder Sub-Antarctic Shelf Water at the southern sites (to 37 degrees S). Angulogerina angulosa and P. atlanticum delta O-18 values correlate more strongly with salinity than temperature. Positive correlation of delta C-13 and water depth observed for some infaunal species indicates greater input of organic matter to the deeper-water benthos. In summer samples, however, this correlation between delta C-13 and water depth weakens, reflecting a less stratified water mass associated with upwelling. Results from this study support the application of these foraminifera to reconstructions of paleoenvironmental changes from sediment cores.</t>
  </si>
  <si>
    <t>[Eichler, Patricia P. B.; Vital, Helenice] Univ Fed Rio Grande do Norte, CCET, Lab Geol &amp; Geofis Marinha &amp; Monitoramento Ambient, Programa Posgrad Geofis &amp; Geodinam PPGG, BR-59072970 Natal, RN, Brazil; [Billups, Katharina] Univ Delaware, Sch Marine Sci &amp; Policy, Lewes, DE 19958 USA; [de Moraes, Joyce Alves] Univ Fed Rio Grande do Norte, CCSA, PPGA, BR-59072970 Natal, RN, Brazil</t>
  </si>
  <si>
    <t>Universidade Federal do Rio Grande do Norte; University of Delaware; Universidade Federal do Rio Grande do Norte</t>
  </si>
  <si>
    <t>Eichler, PPB (corresponding author), Univ Fed Rio Grande do Norte, CCET, Lab Geol &amp; Geofis Marinha &amp; Monitoramento Ambient, Programa Posgrad Geofis &amp; Geodinam PPGG, Campus Univ, BR-59072970 Natal, RN, Brazil.</t>
  </si>
  <si>
    <t>patriciaeichler@gmail.com</t>
  </si>
  <si>
    <t>Vital, Helenice/H-4898-2013</t>
  </si>
  <si>
    <t>Vital, Helenice/0000-0003-0462-9028</t>
  </si>
  <si>
    <t>Brazilian National Council of Research (CNPq/PDE) [OC 200424/2005]; funding agency Capes (Coordenacao de aperfeicoamento de Pessoal de Nivel superior) through the Edital Ciencias do Mar [207/2010]; U.S. Office of Naval Research (ONR) [N00014-02-1-0295]; Inter-American Institute for Global Change Research (IAI) [SACC/CRN-061]; Fundacao de Amparo a Pesquisa do Estado de Sao Paulo (FAPESP) [2004/01950-3]</t>
  </si>
  <si>
    <t>Brazilian National Council of Research (CNPq/PDE); funding agency Capes (Coordenacao de aperfeicoamento de Pessoal de Nivel superior) through the Edital Ciencias do Mar; U.S. Office of Naval Research (ONR)(Office of Naval Research); Inter-American Institute for Global Change Research (IAI); Fundacao de Amparo a Pesquisa do Estado de Sao Paulo (FAPESP)(Fundacao de Amparo a Pesquisa do Estado de Sao Paulo (FAPESP))</t>
  </si>
  <si>
    <t>The first author thanks the Brazilian National Council of Research (CNPq/PDE OC 200424/2005) for a postdoctoral fellowship grant to the University of Delaware and to the funding agency Capes (Coordenacao de aperfeicoamento de Pessoal de Nivel superior) through the Edital Ciencias do Mar 207/2010 for the postdoctoral fellowship at Laboratorio de Geologia e Geofisica Marinha e Monitoramento Ambiental da Universidade Federal do Rio Grande do Norte (GGEMMA-UFRN-Brazil), providing the means for this research to be published.; The PLATA Cruises and some laboratory work were financially supported by the U.S. Office of Naval Research (ONR, Grant N00014-02-1-0295), the Inter-American Institute for Global Change Research (IAI, Grant SACC/CRN-061), and the Fundacao de Amparo a Pesquisa do Estado de Sao Paulo (FAPESP, Grant 2004/01950-3). We are also grateful for the analytical contributions (suspended matter, organic matter, silicate, nitrate, and nitrite) from Elizabete Santis Braga, Vitor Chiozzine, and Glaucia Berbel of the Oceanographic Institute of Sao Paulo, Brazil. We gratefully acknowledge the help of personnel from DHN (Brazil), SHN (Argentina), and SOHMA (Uruguay) in obtaining all necessary clearances. SeCIRM provided fuel for our summer cruise. Special thanks are due to the crews of the Argentinean oceanographic vessel Ara Puerto Deseado and the Brazilian oceanographic vessel Antares for their help with sample collection. The authors also would like to thank Dr. Pamela Hallock Muller and Dr. Paul Brenckle for their thorough and helpful comments on the manuscript.</t>
  </si>
  <si>
    <t>CUSHMAN FOUNDATION FORAMINIFERAL RESEARCH</t>
  </si>
  <si>
    <t>PO BOX 7065, LAWRENCE, KS 66044-7065 USA</t>
  </si>
  <si>
    <t>0096-1191</t>
  </si>
  <si>
    <t>J FORAMIN RES</t>
  </si>
  <si>
    <t>J. Foraminifer. Res.</t>
  </si>
  <si>
    <t>10.2113/gsjfr.44.4.352</t>
  </si>
  <si>
    <t>AS7OE</t>
  </si>
  <si>
    <t>WOS:000344444300002</t>
  </si>
  <si>
    <t>Quilty, PG; Whtehead, J</t>
  </si>
  <si>
    <t>Quilty, Patrick G.; Whtehead, Jason</t>
  </si>
  <si>
    <t>ALLOPOLYMORPHINA N. GEN. (POLYMORPHINIDAE) FROM THE EARLIEST PLIOCENE OF FLINDERS ISLAND, TASMANIA</t>
  </si>
  <si>
    <t>SOUTHEASTERN AUSTRALIA; MIOCENE</t>
  </si>
  <si>
    <t>A new polymorphinid genus and species Allopolymorphina flindersi Quilty and Whitehead is defined from earliest Pliocene shallow-water, fully marine, calcareous sediments from eastern Flinders Island, northeast Tasmania, Tasman Sea. It is a large, elongate form up to 2.5 mm in length (holotype 1.85 mm), initially polymorphinid but changing early to uniserial frondicularine in later chambers. Specimens occur in most samples of this study, but not in others collected previously from the island. The thin source sequence comes from a previously unrecognized depositional event in outcrop in the western margin of the hydrocarbon-bearing Gippsland Basin of southeastern Australia. Deposition occurred during an interval of high sea level and major coastal onlap.</t>
  </si>
  <si>
    <t>[Quilty, Patrick G.] Univ Tasmania, Sch Earth Sci, Hobart, Tas 7001, Australia; [Quilty, Patrick G.] Univ Tasmania, IMAS, Inst Marine &amp; Antarctic Studies, Hobart, Tas 7001, Australia; [Whtehead, Jason] Univ Tasmania, IASOS, Hobart, Tas 7001, Australia</t>
  </si>
  <si>
    <t>University of Tasmania; University of Tasmania; University of Tasmania</t>
  </si>
  <si>
    <t>Quilty, PG (corresponding author), Univ Tasmania, Sch Earth Sci, Private Bag 79,Private Bag 129, Hobart, Tas 7001, Australia.</t>
  </si>
  <si>
    <t>P.Quilty@utas.edu.au</t>
  </si>
  <si>
    <t>CUSHMAN FOUNDATION FORAMINIFERAL RES</t>
  </si>
  <si>
    <t>MUSEUM COMPARATIVE ZOOLOGY, DEPT INVERTEBRATE PALEONTOLOGY 26 OXFORD ST, HARVARD UNIV, CAMBRIDGE, MA 02138 USA</t>
  </si>
  <si>
    <t>10.2113/gsjfr.44.4.434</t>
  </si>
  <si>
    <t>WOS:000344444300006</t>
  </si>
  <si>
    <t>Qin, DH; Zhou, BT; Xiao, CD</t>
  </si>
  <si>
    <t>Qin Dahe; Zhou Botao; Xiao Cunde</t>
  </si>
  <si>
    <t>Progress in studies of cryospheric changes and their impacts on climate of china</t>
  </si>
  <si>
    <t>JOURNAL OF METEOROLOGICAL RESEARCH</t>
  </si>
  <si>
    <t>cryosphere; climate effect; climate system; global warming</t>
  </si>
  <si>
    <t>SUMMER MONSOON RAINFALL; ARCTIC SEA-ICE; EURASIAN SNOW COVER; QINGHAI-XIZANG PLATEAU; TIBETAN PLATEAU; WINTER SNOW; INTERANNUAL VARIABILITY; NORTH PACIFIC; SPRING SNOW; CIRCULATION</t>
  </si>
  <si>
    <t>The cryosphere is a prominent factor in and an indicator of global climate change. It serves one of the most direct and sensitive feedbacks in the climate system, and plays an important role in the earth's climate system. Cryospheric research has attracted unprecedented attention in the context of global warming, and is now one of the most active areas in studies of global change, sustainable development, and the climate system. This paper addresses recent and potential future changes in the cryosphere both globally and within China under the background of global warming. Particular attention is paid to progress toward understanding the impacts of the Tibetan Plateau and Eurasian snow cover, Arctic and Antarctic sea ice, and permafrost and glaciers on Chinese climate. The future development of cryospheric research in China is also discussed.</t>
  </si>
  <si>
    <t>[Qin Dahe; Xiao Cunde] State Key Lab Cryospher Sci, Lanzhou 730000, Peoples R China; [Qin Dahe] China Meteorol Adm, Beijing 100081, Peoples R China; [Zhou Botao] China Meteorol Adm, Natl Climate Ctr, Beijing 100081, Peoples R China; [Xiao Cunde] Chinese Acad Meteorol Sci, China Meteorol Adm, Beijing 100081, Peoples R China</t>
  </si>
  <si>
    <t>Chinese Academy of Sciences; China Meteorological Administration; China Meteorological Administration; China Meteorological Administration; Chinese Academy of Meteorological Sciences (CAMS)</t>
  </si>
  <si>
    <t>Qin, DH (corresponding author), State Key Lab Cryospher Sci, Lanzhou 730000, Peoples R China.</t>
  </si>
  <si>
    <t>qdh@cma.gov.cn</t>
  </si>
  <si>
    <t>National Key Research and Development Program of China [2013CBA01808]; National Natural Science Foundation of China [41275078]; National Science and Technology Support Program of China [2012BAC20B05]</t>
  </si>
  <si>
    <t>National Key Research and Development Program of China; National Natural Science Foundation of China(National Natural Science Foundation of China (NSFC)); National Science and Technology Support Program of China</t>
  </si>
  <si>
    <t>Supported by the National Key Research and Development Program of China (2013CBA01808), National Natural Science Foundation of China (41275078), and National Science and Technology Support Program of China (2012BAC20B05)</t>
  </si>
  <si>
    <t>2095-6037</t>
  </si>
  <si>
    <t>2198-0934</t>
  </si>
  <si>
    <t>J METEOROL RES-PRC</t>
  </si>
  <si>
    <t>J. Meteorol. Res.</t>
  </si>
  <si>
    <t>10.1007/s13351-014-4029-z</t>
  </si>
  <si>
    <t>AS1ZD</t>
  </si>
  <si>
    <t>WOS:000344078000005</t>
  </si>
  <si>
    <t>Horstmann, M; Humayun, M; Fischer-Gödde, M; Bischoff, A; Weyrauch, M</t>
  </si>
  <si>
    <t>Horstmann, Marian; Humayun, Munir; Fischer-Goedde, Mario; Bischoff, Addi; Weyrauch, Mona</t>
  </si>
  <si>
    <t>Si-bearing metal and niningerite in Almahata Sitta fine-grained ureilites and insights into the diversity of metal on the ureilite parent body</t>
  </si>
  <si>
    <t>ASTEROID 2008 TC3; HIGHLY SIDEROPHILE ELEMENTS; TRACE-ELEMENT; MAGNETIC-SUSCEPTIBILITY; THERMAL HISTORY; ANTARCTIC UREILITES; OXYGEN-ISOTOPE; ORIGIN; CHONDRITES; MINERALOGY</t>
  </si>
  <si>
    <t>A detailed mineralogical and chemical study of Almahata Sitta fine-grained ureilites (MS-20, MS-165, MS-168) was performed to shed light on the origin of these lithologies and their sulfide and metal. The Almahata Sitta fine-grained ureilites (silicates &lt;30m grain size) show textural and chemical evidence for severe impact smelting as described for other fine-grained ureilites. Highly reduced areas in Almahata Sitta fine-grained ureilites show large (up to approximate to 1mm) Si-bearing metal grains (up to approximate to 4.5 wt% Si) and niningerite [Mg-&gt;0.5,Mg-(Mn,Fe)(&lt;0.5)S] with some similarities to the mineralogy of enstatite (E) chondrites. Overall, metal grains show a large compositional variability in Ni and Si concentrations. Niningerite grains probably formed as a by-product of smelting via sulfidation. The large Si-Ni variation in fine-grained ureilite metal could be the result of variable degrees of reduction during impact smelting, inherited from coarse-grained ureilite precursors, or a combination of both. Large Si-bearing metal grains probably formed via coalescence of existing and newly formed metal during impact smelting. Bulk and in situ siderophile trace element abundances indicate three distinct populations of (1) metal crystallized from partial melts in MS-20, (2) metal resembling bulk chondritic compositions in MS-165, and (3) residual metal in MS-168. Almahata Sitta fine-grained ureilites developed their distinctive mineralogy due to severe reduction during smelting. Despite the presence of E chondrite and ureilite stones in the Almahata Sitta fall, a mixing relation of E chondrites or their constituents and ureilite material in Almahata Sitta can be ruled out based on isotopic, textural, and mineral-chemical reasons.</t>
  </si>
  <si>
    <t>[Horstmann, Marian; Fischer-Goedde, Mario; Bischoff, Addi; Weyrauch, Mona] Univ Munster, Inst Planetol, D-48149 Munster, Germany; [Humayun, Munir] Florida State Univ, Natl High Magnet Field Lab, Tallahassee, FL 32310 USA; [Humayun, Munir] Florida State Univ, Dept Earth Ocean &amp; Atmospher Sci, Tallahassee, FL 32310 USA</t>
  </si>
  <si>
    <t>University of Munster; State University System of Florida; Florida State University; State University System of Florida; Florida State University</t>
  </si>
  <si>
    <t>Horstmann, M (corresponding author), Univ Munster, Inst Planetol, Wilhelm Klemm Str 10, D-48149 Munster, Germany.</t>
  </si>
  <si>
    <t>marianhorstmann@uni-muenster.de</t>
  </si>
  <si>
    <t>Humayun, Munir/A-1247-2007</t>
  </si>
  <si>
    <t>Fischer-Godde, Mario/0000-0001-6839-9001; Humayun, Munir/0000-0001-8516-9435</t>
  </si>
  <si>
    <t>NASA [NNX10AI37G]; German Research Foundation (DFG) [SPP 1385]; NASA [NNX10AI37G, 132812] Funding Source: Federal RePORTER</t>
  </si>
  <si>
    <t>NASA(National Aeronautics &amp; Space Administration (NASA)); German Research Foundation (DFG)(German Research Foundation (DFG)); NASA(National Aeronautics &amp; Space Administration (NASA))</t>
  </si>
  <si>
    <t>Ulla Heitmann (Munster) is acknowledged for sample preparation and we thank Gerhard Brugmann (Mainz) for providing spikes for the ID analyses. Very helpful and constructive reviews by Paul Warren, Michael Weisberg, two anonymous reviewers, and comments by the Associate Editor Mike Zolensky helped to significantly improve the manuscript and are highly appreciated. Funding for this research was provided by NASA grant NNX10AI37G (M. Humayun) and partly by the German Research Foundation (DFG) within the Priority Program The First 10 Million Years of the Solar System-A Planetary Materials Approach (SPP 1385).</t>
  </si>
  <si>
    <t>10.1111/maps.12370</t>
  </si>
  <si>
    <t>AS0MT</t>
  </si>
  <si>
    <t>WOS:000343972000013</t>
  </si>
  <si>
    <t>Miller, KJ; Mundy, CN; Mayfield, S</t>
  </si>
  <si>
    <t>Miller, K. J.; Mundy, C. N.; Mayfield, S.</t>
  </si>
  <si>
    <t>Molecular genetics to inform spatial management in benthic invertebrate fisheries: a case study using the Australian Greenlip Abalone</t>
  </si>
  <si>
    <t>abalone; connectivity; fisheries management; microsatellite; S-fisheries</t>
  </si>
  <si>
    <t>EFFECTIVE POPULATION-SIZE; BLACKLIP ABALONE; HALIOTIS-RUBRA; MORPHOMETRIC MARKER; MARINE INVERTEBRATE; RECRUITMENT; DIVERSITY; LAEVIGATA; SCALE; SOFTWARE</t>
  </si>
  <si>
    <t>Hierarchical sampling and subsequent microsatellite genotyping of &gt;2300 Haliotis laevigata (greenlip abalone) from 19 locations distributed across five biogeographic regions have substantially advanced our knowledge of population structure and connectivity in this commercially important species. The study has found key differences in stock structure of H.laevigata compared with the sympatric and congeneric Haliotis rubra (blacklip abalone) and yielded valuable insights into the management of fisheries targeting species characterized by spatial structure at small scales (i.e. S-fisheries). As with H.rubra, H.laevigata comprise a series of metapopulations with strong self-recruitment. However, the spatial extent of H.laevigata metapopulations (reefal areas around 30km(2); distances of up to 135km are effective barriers to larval dispersal) was substantially greater than that identified for H.rubra (Miller etal. 2009). Differences in the dynamics and scale of population processes, even between congeneric haliotids as made evident in this study, imply that for S-fisheries, it is difficult to generalize about the potential consequences of life history commonalities. Consequently, species-specific management reflective of the population structure of the target species remains particularly important. This will likely require integration of information about stock structure and connectivity with data on life history and population dynamics to determine the necessary input (e.g. number of fishers, fishing effort) and output (e.g. minimum legal size, total allowable catch) controls to underpin their sustainable management.</t>
  </si>
  <si>
    <t>[Miller, K. J.; Mundy, C. N.] Univ Tasmania, Inst Marine &amp; Antarctic Studies, Hobart, Tas 7001, Australia; [Miller, K. J.] Australian Inst Marine Sci, UWA Oceans Inst M096, Crawley, WA 6009, Australia; [Mayfield, S.] South Australian Res &amp; Dev Inst, Henley Beach, SA 5022, Australia</t>
  </si>
  <si>
    <t>University of Tasmania; Australian Institute of Marine Science; University of Western Australia; South Australian Research &amp; Development Institute (SARDI)</t>
  </si>
  <si>
    <t>Miller, KJ (corresponding author), Univ Tasmania, Inst Marine &amp; Antarctic Studies, Private Bag 49, Hobart, Tas 7001, Australia.</t>
  </si>
  <si>
    <t>k.miller@aims.gov.au</t>
  </si>
  <si>
    <t>Miller, Karen/V-4098-2019; Mundy, Craig/G-3390-2014; Miller, Karen/A-7902-2011</t>
  </si>
  <si>
    <t>Mundy, Craig/0000-0002-1945-3750;</t>
  </si>
  <si>
    <t>Fisheries Research and Development Corporation, Australian Government</t>
  </si>
  <si>
    <t>Fisheries Research and Development Corporation, Australian Government(Fisheries R&amp;D Corp)</t>
  </si>
  <si>
    <t>This study was supported by funding from the Fisheries Research and Development Corporation on behalf of the Australian Government through a research grant titled 'Towards understanding greenlip abalone population structure'. We thank Ben Stobart, Damian Matthews, Jay Dent, Rowan Chick, Andrew Hogg, Helena Baird, Mike Porteus, David Tarbath and Harry Peeters for assistance with sample collection, and Helena Baird for assistance with molecular laboratory processing. Rowan Chick and Ben Stobart kindly assisted with early drafts of this manuscript. We thank Lobo Orensanz for constructive comment prior to submission.</t>
  </si>
  <si>
    <t>10.1111/mec.12914</t>
  </si>
  <si>
    <t>AR9CN</t>
  </si>
  <si>
    <t>WOS:000343869100005</t>
  </si>
  <si>
    <t>Vargas-Chacoff, L; Martínez, D; Oyarzún, R; Nualart, D; Olavarría, V; Yáñez, A; Bertrán, C; Ruiz-Jarabo, I; Mancera, JM</t>
  </si>
  <si>
    <t>Vargas-Chacoff, L.; Martinez, D.; Oyarzun, R.; Nualart, D.; Olavarria, V.; Yanez, A.; Bertran, C.; Ruiz-Jarabo, I.; Mancera, J. M.</t>
  </si>
  <si>
    <t>Combined effects of high stocking density and Piscirickettsia salmonis treatment on the immune system, metabolism and osmoregulatory responses of the Sub-Antarctic Notothenioid fish Eleginops maclovinus</t>
  </si>
  <si>
    <t>FISH &amp; SHELLFISH IMMUNOLOGY</t>
  </si>
  <si>
    <t>Eleginops maclovinus; IgM; Metabolism; Piscirickettsia salmonis; Stocking density</t>
  </si>
  <si>
    <t>GILTHEAD SEA BREAM; SEABREAM SPARUS-AURATA; SOLEA-SENEGALENSIS KAUP; PHYSIOLOGICAL STRESS RESPONSES; ENERGY-METABOLISM; RAINBOW-TROUT; CROWDING STRESS; BROWN TROUT; CARBOHYDRATE-METABOLISM; CORTISOL</t>
  </si>
  <si>
    <t>The aim of this study was to evaluate immunological, metabolic and osmoregulatory secondary stress responses in Eleginops maclovinus specimens submitted to three different stocking densities: i) low (3.1 kg m(-3)), medium (15 kg m(-3)) and high (60 kg m(-3)) during 10 days, alone or in combination with a previous treatment of a protein extract of the pathogen Piscirickettsia salmonis (0.5 mu g g weight body(-1)). Plasma, liver, gill and kidney samples were obtained at the end of both experiments. Plasma cortisol and amino acid levels increased, while plasma glucose, triglyceride and lactate levels decreased at higher stocking densities. However, no effects were observed on serum Immunoglobulin type M (IgM anti P. salmonis level) values. Gill Na+, K+-ATPase activity enhanced under these experimental conditions, suggesting an osmotic imbalance. Energy metabolism changes, assessed by metabolite concentrations and enzyme activities, indicated a reallocation of energetic substrates at higher stocking densities. Specimens inoculated with a protein extract of P. salmonis and maintained at different stocking densities showed primary stress response, as all groups enhanced plasma cortisol concentrations. Serum IgM levels increased after treatment with P. salmonis extract but a negative influence of high stocking density on IgM production was observed when immune system was activated. Furthermore, treatment with P. salmonis protein extract evoked deep changes in the metabolite stores in all tissues tested, indicating a mobilization of energy substrates in response to infection. The results show that stocking density induced immunological, metabolic and osmoregulatory secondary stress responses in E. maclovinus specimens and that previous treatment with P. salmonis compromise these changes. (C) 2014 Elsevier Ltd. All rights reserved.</t>
  </si>
  <si>
    <t>[Vargas-Chacoff, L.; Martinez, D.; Oyarzun, R.; Bertran, C.] Univ Austral Chile, Inst Ciencias Marinas &amp; Limnol, Valdivia, Chile; [Nualart, D.; Olavarria, V.; Yanez, A.] Univ Austral Chile, Interdisciplinary Ctr Aquaculture Res FONDAP INCA, Inst Bioquim &amp; Microbiol, Valdivia, Chile; [Nualart, D.] EWOS Innovat, Calbuco, Chile; [Ruiz-Jarabo, I.; Mancera, J. M.] Univ Cadiz, Fac Ciencias Mar &amp; Ambientales, Dept Biol, Cadiz 11510, Spain</t>
  </si>
  <si>
    <t>Universidad Austral de Chile; Universidad Austral de Chile; Universidad de Cadiz</t>
  </si>
  <si>
    <t>Vargas-Chacoff, Luis LVCh/A-5855-2012; Oyarzún-Salazar, Ricardo/HGU-6035-2022; Ruiz-Jarabo, I./AAA-6194-2020; Mancera Romero, Juan Miguel/A-8132-2014</t>
  </si>
  <si>
    <t>Oyarzun-Salazar, Ricardo/0000-0003-3177-399X; Ruiz-Jarabo, Ignacio/0000-0002-3918-0921; Vargas-Chacoff, Luis/0000-0002-0497-2582; Mancera Romero, Juan Miguel/0000-0003-0751-5966; MARTINEZ GONZALEZ, DANIXA PAMELA/0000-0002-7363-419X</t>
  </si>
  <si>
    <t>FONDECYT Project [1110235]; FONDAP-INCAR [15110027]</t>
  </si>
  <si>
    <t>FONDECYT Project(Comision Nacional de Investigacion Cientifica y Tecnologica (CONICYT)CONICYT FONDECYT); FONDAP-INCAR(Comision Nacional de Investigacion Cientifica y Tecnologica (CONICYT)CONICYT FONDAP)</t>
  </si>
  <si>
    <t>This study was carried out in the framework of FONDECYT Project 1110235 and FONDAP-INCAR, No 15110027. We thank Dr. Lafayette Eaton for his help checking this manuscript and the Direccion de Investigacion of the Universidad Austral de Chile (DID).</t>
  </si>
  <si>
    <t>1050-4648</t>
  </si>
  <si>
    <t>1095-9947</t>
  </si>
  <si>
    <t>FISH SHELLFISH IMMUN</t>
  </si>
  <si>
    <t>Fish Shellfish Immunol.</t>
  </si>
  <si>
    <t>10.1016/j.fsi.2014.07.024</t>
  </si>
  <si>
    <t>Fisheries; Immunology; Marine &amp; Freshwater Biology; Veterinary Sciences</t>
  </si>
  <si>
    <t>AR1YS</t>
  </si>
  <si>
    <t>WOS:000343381100010</t>
  </si>
  <si>
    <t>Bolaños-Jiménez, J; Mignucci-Giannoni, AA; Blumenthal, J; Bogomolni, A; Casas, JJ; Henríquez, A; Iñíguez Bessega, M; Khan, J; Landrau-Giovannetti, N; Rinaldi, C; Rinaldi, R; Rodríguez-Ferrer, G; Sutty, L; Ward, N; Luksenburg, JA</t>
  </si>
  <si>
    <t>Bolanos-Jimenez, Jaime; Mignucci-Giannoni, Antonio A.; Blumenthal, Janice; Bogomolni, Andrea; Julio Casas, Jose; Henriquez, Angiolina; Iniguez Bessega, Miguel; Khan, Jalaludin; Landrau-Giovannetti, Nelmarie; Rinaldi, Caroline; Rinaldi, Renato; Rodriguez-Ferrer, Grisel; Sutty, Lesley; Ward, Nathalie; Luksenburg, Jolanda Andrea</t>
  </si>
  <si>
    <t>Distribution, feeding habits and morphology of killer whales Orcinus orca in the Caribbean Sea</t>
  </si>
  <si>
    <t>MAMMAL REVIEW</t>
  </si>
  <si>
    <t>diet; occurrence; predation; spatial and temporal distribution</t>
  </si>
  <si>
    <t>LESSER ANTILLEAN ISLAND; BRITISH-COLUMBIA; MARINE MAMMALS; POPULATIONS; DIVERGENCE; BEHAVIOR; COASTAL; ECOLOGY; TURTLE; WATERS</t>
  </si>
  <si>
    <t>Killer whales Orcinus orca are found in all oceans of the world, but most of our knowledge on the species comes from studies conducted at higher latitudes. Studies on killer whales in the Caribbean have been scarce. We compiled 176 records of killer whales from the Caribbean, including 95 previously unreported records and 81 records recovered from the literature, consisting of 27 capture or kill records, 4 stranding records and 145 sighting records. Our results indicate that killer whales are widespread in the Caribbean Sea and can be found year-round in the region. Mean group size was 3.7 animals. A diversity of prey items was recorded, including sea turtles and marine mammals and possibly fish. We cannot exclude ecotype or morphotype-specific dietary specialization in the Caribbean population. A preliminary morphological analysis of 10 characters in 52 individuals from 21 different groups suggests that Caribbean killer whales do not represent any of the four Antarctic and subantarctic types, type 1 from the northwest Atlantic, or resident' and transient' killer whales from the northwest Pacific. Some Caribbean killer whales share a combination of characters typical of type 2 in the North Atlantic, whereas others share those typical of offshore' killer whales in the northwest Pacific. The significance of this is unclear. Comparison of Caribbean killer whales to previously described morphotypes and ecotypes is hampered by the lack of detailed, quantitative data on variation within other types, as well as by the lack of comparisons of genetic diversity. Our study adds to the growing knowledge of the diversity of killer whales worldwide but underscores that additional research is warranted in the tropics.</t>
  </si>
  <si>
    <t>[Bolanos-Jimenez, Jaime] Asociac Civil Sea Vida, AP 162, Cagua 2122, Estado Aragua, Venezuela; [Mignucci-Giannoni, Antonio A.; Landrau-Giovannetti, Nelmarie] Univ Interamer Puerto Rico, Dept Ciencias Nat &amp; Matemat, Bayamon, PR 00957 USA; [Blumenthal, Janice] Cayman Isl Dept Environm, KY1-1002, Grand Cayman, Cayman Islands; [Bogomolni, Andrea] ECCN, East Falmouth, MA 02536 USA; [Julio Casas, Jose] Univ Maritima Int Panama, Fac Ciencias Mar, Panama City, Panama; [Henriquez, Angiolina] AMMF, Pos Chiquito, Aruba; [Iniguez Bessega, Miguel] Fdn Cethus, Olivos, Buenos Aires, Argentina; [Iniguez Bessega, Miguel] Whale &amp; Dolphin Conservat Latin Amer WDC, RA-1636 Olivos, Buenos Aires, Argentina; [Khan, Jalaludin] Indivers Grp, Port Of Spain, Trinidad Tobago; [Rinaldi, Caroline; Rinaldi, Renato] AET, F-97125 Pigeon Bouillante, Guadeloupe, France; [Rodriguez-Ferrer, Grisel] Dept Recursos Nat &amp; Ambientales, Lab Invest Pesqueras, Marina Stn, Mayaguez, PR 00681 USA; [Sutty, Lesley] ECCEA, F-97254 Fort De France, Martinique, France; [Ward, Nathalie] ECCN, Woods Hole, MA 02543 USA; [Luksenburg, Jolanda Andrea] George Mason Univ, Dept Environm Sci &amp; Policy, Fairfax, VA 22030 USA</t>
  </si>
  <si>
    <t>Inter American University of Puerto Rico-San German; George Mason University</t>
  </si>
  <si>
    <t>Bolaños-Jiménez, J (corresponding author), Asociac Civil Sea Vida, AP 162, Cagua 2122, Estado Aragua, Venezuela.</t>
  </si>
  <si>
    <t>bolanos.jimenez@gmail.com; mignucci@manatipr.org; janice.blumenthal@gov.ky; andreab@whoi.edu; josejuliocasas@yahoo.es; angiolinah@gmail.com; miguel.iniguez@cethus.org; jkhantt@gmail.com; nelmarie@manatipr.org; evastropic@wanadoo.fr; evastropic@wanadoo.fr; torneo_pr@yahoo.com; l.sutty@orange.fr; nath51@verizon.net; j.luksenburg@yahoo.com</t>
  </si>
  <si>
    <t>Jiménez, Jaime Bolaños/W-6014-2019</t>
  </si>
  <si>
    <t>Landrau-Giovannetti, Nelmarie/0000-0002-5732-5370; Mignucci-Giannoni, Antonio A./0000-0003-1443-4873; Luksenburg, Jolanda/0000-0003-4424-4368</t>
  </si>
  <si>
    <t>0305-1838</t>
  </si>
  <si>
    <t>1365-2907</t>
  </si>
  <si>
    <t>MAMMAL REV</t>
  </si>
  <si>
    <t>Mammal Rev.</t>
  </si>
  <si>
    <t>10.1111/mam.12021</t>
  </si>
  <si>
    <t>AR7LO</t>
  </si>
  <si>
    <t>WOS:000343761300003</t>
  </si>
  <si>
    <t>He, F; Hu, HQ; Hu, ZJ; Liu, RY</t>
  </si>
  <si>
    <t>He Fang; Hu HongQiao; Hu ZeJun; Liu RuiYuan</t>
  </si>
  <si>
    <t>A new technique for deriving the quiet day curve from imaging riometer data at Zhongshan Station, Antarctic</t>
  </si>
  <si>
    <t>SCIENCE CHINA-TECHNOLOGICAL SCIENCES</t>
  </si>
  <si>
    <t>riometer; absorption; technique</t>
  </si>
  <si>
    <t>ABSORPTION; NOISE; PRECIPITATION</t>
  </si>
  <si>
    <t>A new technique for estimating quiet day curve (QDC) was suggested. To validate the new approach, QDCs were derived from data acquired by the imaging riometer installed at the Chinese Zhongshan Station in Antarctic. The evaluation was performed by comparing the difference between QDC derived by the new technique and those derived by Tanaka's technique. The results were discussed in terms of the diurnal variation and discrepancy. Also, cosmic noise absorption (CNA) images were built using both techniques in order to evaluate the implications of the changes when obtaining them using different methods of the QDC determination. The influence of the multiplicative factor value on the QDC determination in Tanaka's technique was evaluated.</t>
  </si>
  <si>
    <t>[He Fang; Hu HongQiao; Hu ZeJun; Liu RuiYuan] Polar Res Inst China, SOA Key Lab Polar Sci, Shanghai 200136, Peoples R China; [He Fang] Chinese Acad Sci, Inst Geol &amp; Geophys, Key Lab Ionospher Environm, Beijing 100029, Peoples R China</t>
  </si>
  <si>
    <t>Polar Research Institute of China; Chinese Academy of Sciences; Institute of Geology &amp; Geophysics, CAS</t>
  </si>
  <si>
    <t>He, F (corresponding author), Polar Res Inst China, SOA Key Lab Polar Sci, Shanghai 200136, Peoples R China.</t>
  </si>
  <si>
    <t>hefang@pric.gov.cn</t>
  </si>
  <si>
    <t>Hu, Ze-Jun/X-8090-2019</t>
  </si>
  <si>
    <t>Hu, Ze-Jun/0000-0003-2448-2094</t>
  </si>
  <si>
    <t>National Natural Science Foundation of China [41104105, 41374159, 41274164]; Chinese Polar Environment Comprehensive Investigation &amp; Assessment Program [CHINARE-2014-04-01, CHINARE-2014-02-03]</t>
  </si>
  <si>
    <t>National Natural Science Foundation of China(National Natural Science Foundation of China (NSFC)); Chinese Polar Environment Comprehensive Investigation &amp; Assessment Program</t>
  </si>
  <si>
    <t>This work was supported by the National Natural Science Foundation of China (Grant Nos. 41104105, 41374159, 41274164) and the Chinese Polar Environment Comprehensive Investigation &amp; Assessment Program (Grant Nos. CHINARE-2014-04-01, CHINARE-2014-02-03). The authors are grateful to the 28th Chinese Antarctic expedition for their dedicated efforts for collecting the imaging riometer observation data. The online release of Kp index data was provided by the World Data Center for Geomagnetism, Kyoto.</t>
  </si>
  <si>
    <t>1674-7321</t>
  </si>
  <si>
    <t>1869-1900</t>
  </si>
  <si>
    <t>SCI CHINA TECHNOL SC</t>
  </si>
  <si>
    <t>Sci. China-Technol. Sci.</t>
  </si>
  <si>
    <t>10.1007/s11431-014-5616-z</t>
  </si>
  <si>
    <t>Engineering, Multidisciplinary; Materials Science, Multidisciplinary</t>
  </si>
  <si>
    <t>Engineering; Materials Science</t>
  </si>
  <si>
    <t>AR1RU</t>
  </si>
  <si>
    <t>WOS:000343363100011</t>
  </si>
  <si>
    <t>Cooke, SJ; Arlinghaus, R; Bartley, DM; Beard, TD; Cowx, IG; Essington, TE; Jensen, OP; Lynch, A; Taylor, WW; Watson, R</t>
  </si>
  <si>
    <t>Cooke, S. J.; Arlinghaus, R.; Bartley, D. M.; Beard, T. D.; Cowx, I. G.; Essington, T. E.; Jensen, O. P.; Lynch, A.; Taylor, W. W.; Watson, R.</t>
  </si>
  <si>
    <t>Where the waters meet: sharing ideas and experiences between inland and marine realms to promote sustainable fisheries management</t>
  </si>
  <si>
    <t>CANADIAN JOURNAL OF FISHERIES AND AQUATIC SCIENCES</t>
  </si>
  <si>
    <t>RECREATIONAL-FISHERIES; PROTECTED AREAS; ECOSYSTEM APPROACH; FOOD SECURITY; CONSERVATION; FISH; BIODIVERSITY; HABITAT; RESOURCES; STRATEGIES</t>
  </si>
  <si>
    <t>Although inland and marine environments, their fisheries, fishery managers, and the realm-specific management approaches are often different, there are a surprising number of similarities that frequently go unrecognized. We contend that there is much to be gained by greater cross-fertilization and exchange of ideas and strategies between realms and the people who manage them. The purpose of this paper is to provide examples of the potential or demonstrated benefits of working across aquatic boundaries for enhanced sustainable management of the world's fisheries resources. Examples include the need to (1) engage in habitat management and protection as the foundation for fisheries, (2) rethink institutional arrangements and management for open-access fisheries systems, (3) establish reference points and harvest control rules, (4) engage in integrated management approaches, (5) reap conservation benefits from the link to fish as food, and (6) reframe conservation and management of fish to better engage the public and industry. Cross-fertilization and knowledge transfer between realms could be realized using environment-independent curricula and symposia, joint scientific advisory councils for management, integrated development projects, and cross-realm policy dialogue. Given the interdependence of marine and inland fisheries, promoting discussion between the realms has the potential to promote meaningful advances in managing global fisheries.</t>
  </si>
  <si>
    <t>[Cooke, S. J.] Carleton Univ, Dept Biol, Fish Ecol &amp; Conservat Physiol Lab, Ottawa, ON K1S 5B6, Canada; [Arlinghaus, R.] Leibniz Inst Freshwater Ecol &amp; Inland Fisheries, Dept Biol &amp; Ecol Fishes, D-12587 Berlin, Germany; [Arlinghaus, R.] Humboldt Univ, Chair Integrat Fisheries Management, Fac Life Sci, D-10115 Berlin, Germany; [Arlinghaus, R.] Humboldt Univ, Integrat Res Inst Transformat Human Environm Syst, Fac Life Sci, D-10115 Berlin, Germany; [Bartley, D. M.] UN, Dept Fisheries &amp; Aquaculture, Food &amp; Agr Org, I-00153 Rome, Italy; [Beard, T. D.] US Geol Survey, Reston, VA 20192 USA; [Cowx, I. G.] Univ Hull, Hull Int Fisheries Inst, Kingston Upon Hull HU6 7RX, N Humberside, England; [Essington, T. E.] Univ Washington, Sch Aquat &amp; Fishery Sci, Seattle, WA 98195 USA; [Jensen, O. P.] Rutgers State Univ, Inst Marine &amp; Coastal Sci, New Brunswick, NJ 08901 USA; [Lynch, A.] US Geol Survey, Reston, VA 20192 USA; [Lynch, A.; Taylor, W. W.] Michigan State Univ, Dept Fisheries &amp; Wildlife, Ctr Syst Integrat &amp; Sustainabil, E Lansing, MI 48824 USA; [Watson, R.] Univ Tasmania, Inst Marine &amp; Antarctic Studies, Hobart, Tas 7001, Australia</t>
  </si>
  <si>
    <t>Carleton University; Leibniz Institut fur Gewasserokologie und Binnenfischerei (IGB); Humboldt University of Berlin; Humboldt University of Berlin; Food &amp; Agriculture Organization of the United Nations (FAO); United States Department of the Interior; United States Geological Survey; University of Hull; University of Washington; University of Washington Seattle; Rutgers University System; Rutgers University New Brunswick; United States Department of the Interior; United States Geological Survey; Michigan State University; University of Tasmania</t>
  </si>
  <si>
    <t>Cooke, SJ (corresponding author), Carleton Univ, Dept Biol, Fish Ecol &amp; Conservat Physiol Lab, 1125 Colonel By Dr, Ottawa, ON K1S 5B6, Canada.</t>
  </si>
  <si>
    <t>steven_cooke@carleton.ca</t>
  </si>
  <si>
    <t>Cooke, Steven J/F-4193-2010; Arlinghaus, Robert/J-6171-2019; Lynch, Abigail J./H-5059-2019; Cowx, Ian G/A-5540-2009; Arlinghaus, Robert/E-3340-2010; Watson, Reg A/F-4850-2012</t>
  </si>
  <si>
    <t>Cooke, Steven J/0000-0002-5407-0659; Lynch, Abigail J./0000-0001-8449-8392; Arlinghaus, Robert/0000-0003-2861-527X; Watson, Reg A/0000-0001-7201-8865</t>
  </si>
  <si>
    <t>Canada Research Chairs Program; Natural Sciences and Engineering Research Council of Canada; Program on Social-Ecological Research by the German Federal Ministry for Education and Research (Besatzfisch) [01UU0907]</t>
  </si>
  <si>
    <t>Canada Research Chairs Program(Canada Research Chairs); Natural Sciences and Engineering Research Council of Canada(Natural Sciences and Engineering Research Council of Canada (NSERC)CGIAR); Program on Social-Ecological Research by the German Federal Ministry for Education and Research (Besatzfisch)</t>
  </si>
  <si>
    <t>This contribution emerged from one of the themes (i.e., working across boundaries) covered by S.J.C. as part of the J.C. Stevenson Memorial Lectureship at the Canadian Conference for Fisheries Research in Windsor, Ontario, January 2013. S.J.C. is supported by the Canada Research Chairs Program and the Natural Sciences and Engineering Research Council of Canada. R. A. was funded by the Program on Social-Ecological Research by the German Federal Ministry for Education and Research (Besatzfisch, grant No. 01UU0907). We thank Nancy Leonard for comments on the manuscript and Keith Stamplecoskie and Robert Lennox for formatting it. The views expressed in this publication do not necessarily reflect the views or policies of the Food and Agriculture Organization of the United Nations.</t>
  </si>
  <si>
    <t>CANADIAN SCIENCE PUBLISHING</t>
  </si>
  <si>
    <t>65 AURIGA DR, SUITE 203, OTTAWA, ON K2E 7W6, CANADA</t>
  </si>
  <si>
    <t>0706-652X</t>
  </si>
  <si>
    <t>1205-7533</t>
  </si>
  <si>
    <t>CAN J FISH AQUAT SCI</t>
  </si>
  <si>
    <t>Can. J. Fish. Aquat. Sci.</t>
  </si>
  <si>
    <t>10.1139/cjfas-2014-0176</t>
  </si>
  <si>
    <t>AQ8YE</t>
  </si>
  <si>
    <t>WOS:000343125500015</t>
  </si>
  <si>
    <t>Jung, G; Prange, M; Schulz, M</t>
  </si>
  <si>
    <t>Jung, Gerlinde; Prange, Matthias; Schulz, Michael</t>
  </si>
  <si>
    <t>Uplift of Africa as a potential cause for Neogene intensification of the Benguela upwelling system</t>
  </si>
  <si>
    <t>SOUTH ATLANTIC; CLOSURE; SEAWAY; OCEAN; JET</t>
  </si>
  <si>
    <t>The Benguela Current, located off the west coast of southern Africa, is tied to a highly productive upwelling system(1). Over the past 12 million years, the current has cooled, and upwelling has intensified(2-4). These changes have been variously linked to atmospheric and oceanic changes associated with the glaciation of Antarctica and global cooling(5), the closure of the Central American Seaway(1,6) or the further restriction of the Indonesian Seaway(3). The upwelling intensification also occurred during a period of substantial uplift of the African continent(7,8). Here we use a coupled ocean-atmosphere general circulation model to test the effect of African uplift on Benguela upwelling. In our simulations, uplift in the East African Rift system and in southern and southwestern Africa induces an intensification of coastal low-level winds, which leads to increased oceanic upwelling of cool subsurface waters. We compare the effect of African uplift with the simulated impact of the Central American Seaway closure(9), Indonesian Throughflow restriction(10) and Antarctic glaciation(11), and find that African uplift has at least an equally strong influence as each of the three other factors. We therefore conclude that African uplift was an important factor in driving the cooling and strengthening of the Benguela Current and coastal upwelling during the late Miocene and Pliocene epochs.</t>
  </si>
  <si>
    <t>[Jung, Gerlinde] Univ Bremen, MARUM, Ctr Marine Environm Sci, D-28334 Bremen, Germany; Univ Bremen, Fac Geosci, D-28334 Bremen, Germany</t>
  </si>
  <si>
    <t>University of Bremen; University of Bremen</t>
  </si>
  <si>
    <t>Jung, G (corresponding author), Univ Bremen, MARUM, Ctr Marine Environm Sci, D-28334 Bremen, Germany.</t>
  </si>
  <si>
    <t>gjung@marum.de</t>
  </si>
  <si>
    <t>Schulz, Michael/P-7276-2016</t>
  </si>
  <si>
    <t>Schulz, Michael/0000-0001-6500-2697; Prange, Matthias/0000-0001-5874-756X</t>
  </si>
  <si>
    <t>Deutsche Forschungsgemeinschaft (DFG) Research Center/Excellence Cluster 'The Ocean in the Earth System'</t>
  </si>
  <si>
    <t>Deutsche Forschungsgemeinschaft (DFG) Research Center/Excellence Cluster 'The Ocean in the Earth System'(German Research Foundation (DFG))</t>
  </si>
  <si>
    <t>This work was funded by the Deutsche Forschungsgemeinschaft (DFG) Research Center/Excellence Cluster 'The Ocean in the Earth System'. The authors would like to thank G. Strand (NCAR) for making available the spun-up pre-industrial control run restart files. Thanks also to B. Briegleb (NCAR) for making pre-industrial aerosol data available. Special thanks to X. Zhang (MARUM), A. Goldner (Purdue University), U. Krebs-Kanzow (AWI) and S. Khon (University of Kiel) for kindly making available data of additional model simulations of Panama closure, Antarctic glaciation and Indonesian Throughflow restriction. The CCSM3 experiments were run on the SGI Altix Supercomputer of the 'Norddeutscher Verbund fur Hoch- und Hochstleistungsrechnen' (HLRN).</t>
  </si>
  <si>
    <t>10.1038/NGEO2249</t>
  </si>
  <si>
    <t>AQ8VC</t>
  </si>
  <si>
    <t>WOS:000343112600019</t>
  </si>
  <si>
    <t>Qin, X; Li, CJ; Xiao, CD; Hou, SG; Ding, MH; Ren, JW; Qin, DH</t>
  </si>
  <si>
    <t>Qin Xiang; Li ChuanJin; Xiao CunDe; Hou ShuGui; Ding MingHu; Ren JiaWen; Qin DaHe</t>
  </si>
  <si>
    <t>Spatial distribution of marine chemicals along a transect from Zhongshan Station to the Grove Mountain area, Eastern Antarctica</t>
  </si>
  <si>
    <t>marine chemicals; sea-salt; sulfur compounds; Lambert Basin</t>
  </si>
  <si>
    <t>LAMBERT GLACIER BASIN; TRAVERSE ROUTE; FIRN CORE; ICE CORE; RECORD; DOME; VARIABILITY; CIRCULATION; LAND</t>
  </si>
  <si>
    <t>This study investigates the regional distribution of marine aerosol originated species (Na+, Cl-, nss-SO42- and MSA) in the snow pits (or firn cores) collected along a transect between Zhongshan Station and the Grove Mountain area (450 km inland) on the eastern side of the Lambert Glacier Basin. Concentrations of Na+ and Cl- decrease exponentially with distance from the coast to 100 km inland (i.e., 1500 m a.s.l.). Statistical results demonstrate that distance from the coast inland and elevation affect the concentration of sea-salt originated ions in inland areas significantly. Increase of Cl-/Na+ ratio and higher variability in its standard deviation suggest that there are other sources of ions in addition to sea-salt in inland areas of the Antarctic continent. The concentrations of Na+ and Cl- from nine sampling sites in the Grove Mountain area are relatively higher than those from sites along CHINARE transect, although all sites are at similar distance inland. This phenomenon indicates that the bather effect of the mountain may be the most important factor influencing ion deposition. In addition, nss-SO42- and MSA vary differently, with nss-SO42- decreasing with distance more significantly. This implies that sources and transporting pathways influence the deposition of the two sulfur compounds considerably, being supported by the spatial pattern of correlation coefficients between the nss-SO42- and MSA.</t>
  </si>
  <si>
    <t>[Qin Xiang; Li ChuanJin; Xiao CunDe; Hou ShuGui; Ren JiaWen; Qin DaHe] Chinese Acad Sci, Cold &amp; Arid Reg Environm &amp; Engn Res Inst, State Key Lab Cryospher Sci, Lanzhou 730000, Peoples R China; [Hou ShuGui] Nanjing Univ, Sch Geog &amp; Oceanog Sci, Nanjing 210093, Jiangsu, Peoples R China; [Ding MingHu] Chinese Acad Meteorol Sci, Beijing 100081, Peoples R China</t>
  </si>
  <si>
    <t>Chinese Academy of Sciences; Cold &amp; Arid Regions Environmental &amp; Engineering Research Institute, CAS; Nanjing University; China Meteorological Administration; Chinese Academy of Meteorological Sciences (CAMS)</t>
  </si>
  <si>
    <t>Li, CJ (corresponding author), Chinese Acad Sci, Cold &amp; Arid Reg Environm &amp; Engn Res Inst, State Key Lab Cryospher Sci, Lanzhou 730000, Peoples R China.</t>
  </si>
  <si>
    <t>lichuanjin@lzb.ac.cn</t>
  </si>
  <si>
    <t>Hou, Shugui/J-3651-2015; Ding, Minghu/AFU-3600-2022; Jiawen, Ren/K-7734-2012</t>
  </si>
  <si>
    <t>Ding, Minghu/0000-0002-1142-6598; Hou, Shugui/0000-0002-0905-3542</t>
  </si>
  <si>
    <t>Innovative Research Group of the National Natural Science Foundation of China [41121001]; National Basic Research Program of China [2013CBA01804]; Foundation for Excellent Youth Scholars of CAREERI, Chinese Academy of Sciences; National Natural Science Foundation of China [41201069, 40776002, 40825017, 41171052]; Hundred Talent Project of Chinese Academy of Sciences; Polar Scientific Explore Organizing Committee Foundation [20080202, 0852H71001]; State Oceanic Administration of People's Republic of China Project on Climate in Polar Regions [CHINARE 2012-04-04, CHINARE 2012-02-02]</t>
  </si>
  <si>
    <t>Innovative Research Group of the National Natural Science Foundation of China(National Natural Science Foundation of China (NSFC)); National Basic Research Program of China(National Basic Research Program of China); Foundation for Excellent Youth Scholars of CAREERI, Chinese Academy of Sciences; National Natural Science Foundation of China(National Natural Science Foundation of China (NSFC)); Hundred Talent Project of Chinese Academy of Sciences(Chinese Academy of Sciences); Polar Scientific Explore Organizing Committee Foundation; State Oceanic Administration of People's Republic of China Project on Climate in Polar Regions</t>
  </si>
  <si>
    <t>We thank all the members of the 2002-2003 CHINARE for their help in sampling the snow pit and extracting the firn cores. Special thanks go to the two anonymous reviewers, whose comments are important for improving the quality of this manuscript. We thank Xiaoxiang Wang and Xiaoqing Cui for their excellent analyzing work. This work was supported by the Innovative Research Group of the National Natural Science Foundation of China (Grant No. 41121001), the National Basic Research Program of China (Grant No. 2013CBA01804), the Foundation for Excellent Youth Scholars of CAREERI, Chinese Academy of Sciences, the National Natural Science Foundation of China (Grant Nos. 41201069, 40776002, 40825017, 41171052), the Hundred Talent Project of Chinese Academy of Sciences, the Polar Scientific Explore Organizing Committee Foundation (Grant Nos. 20080202, 0852H71001), and State Oceanic Administration of People's Republic of China Project on Climate in Polar Regions (Grant Nos. CHINARE 2012-04-04, CHINARE 2012-02-02).</t>
  </si>
  <si>
    <t>10.1007/s11430-014-4907-3</t>
  </si>
  <si>
    <t>AR1RZ</t>
  </si>
  <si>
    <t>WOS:000343363600009</t>
  </si>
  <si>
    <t>Ma, JH; Wang, HJ</t>
  </si>
  <si>
    <t>Ma JieHua; Wang HuiJun</t>
  </si>
  <si>
    <t>Design and testing of a global climate prediction system based on a coupled climate model</t>
  </si>
  <si>
    <t>climate model; climate prediction; ENSO; monsoon</t>
  </si>
  <si>
    <t>ASIAN SUMMER MONSOON; INTERANNUAL VARIABILITY; ANTARCTIC OSCILLATION; NORTH CHINA; PRECIPITATION; RAINFALL; ENSO</t>
  </si>
  <si>
    <t>A global climate prediction system (PCCSM4) was developed based on the Community Climate System Model, version 4.0, developed by the National Center for Atmospheric Research (NCAR), and an initialization scheme was designed by our group. Thirty-year (1981-2010) one-month-lead retrospective summer climate ensemble predictions were carried out and analyzed. The results showed that PCCSM4 can efficiently capture the main characteristics of HA mean sea surface temperature (SST), sea level pressure (SLP), and precipitation. The prediction skill for SST is high, especially over the central and eastern Pacific where the influence of El Nino-Southern Oscillation (ENSO) is dominant. Temporal correlation coefficients between the predicted Nino3.4 index and observed Nino3.4 index over the 30 years reach 0.7, exceeding the 99% statistical significance level. The prediction of 500-hPa geopotential height, 850-hPa zonal wind and SLP shows greater skill than for precipitation. Overall, the predictability in PCCSM4 is much higher in the tropics than in global terms, or over East Asia. Furthermore, PCCSM4 can simulate the summer climate in typical ENSO years and the interannual variability of the Asian summer monsoon well. These preliminary results suggest that PCCSM4 can be applied to real-time prediction after further testing and improvement.</t>
  </si>
  <si>
    <t>[Ma JieHua; Wang HuiJun] Chinese Acad Sci, Climate Change Res Ctr, Beijing 100029, Peoples R China; [Ma JieHua; Wang HuiJun] Chinese Acad Sci, Inst Atmospher Phys, Nansen Zhu Int Res Ctr, Beijing 100029, Peoples R China</t>
  </si>
  <si>
    <t>Chinese Academy of Sciences; Chinese Academy of Sciences; Institute of Atmospheric Physics, CAS</t>
  </si>
  <si>
    <t>Wang, HJ (corresponding author), Chinese Acad Sci, Climate Change Res Ctr, Beijing 100029, Peoples R China.</t>
  </si>
  <si>
    <t>wanghj@mail.iap.ac.cn</t>
  </si>
  <si>
    <t>National Natural Science Foundation of China [41130103]; Special Fund for Public Welfare Industry (Meteorology) [GYHY201306026]</t>
  </si>
  <si>
    <t>National Natural Science Foundation of China(National Natural Science Foundation of China (NSFC)); Special Fund for Public Welfare Industry (Meteorology)</t>
  </si>
  <si>
    <t>We thank the two anonymous reviewers for their suggestions, which helped to improve the paper. This work was supported by National Natural Science Foundation of China (Grant No. 41130103) and Special Fund for Public Welfare Industry (Meteorology) (Grant No. GYHY201306026).</t>
  </si>
  <si>
    <t>10.1007/s11430-014-4875-7</t>
  </si>
  <si>
    <t>WOS:000343363600014</t>
  </si>
  <si>
    <t>Meessen, J; Backhaus, T; Sadowsky, A; Mrkalj, M; Sánchez, FJ; de la Torre, R; Ott, S</t>
  </si>
  <si>
    <t>Meessen, J.; Backhaus, T.; Sadowsky, A.; Mrkalj, M.; Sanchez, F. J.; de la Torre, R.; Ott, S.</t>
  </si>
  <si>
    <t>Effects of UVC254 nm on the photosynthetic activity of photobionts from the astrobiologically relevant lichens Buellia frigida and Circinaria gyrosa</t>
  </si>
  <si>
    <t>astrobiology; BIOMEX; extremotolerance; lichens; photobionts; photodamage; UVC</t>
  </si>
  <si>
    <t>UV-B RADIATION; SIMULATED MARS CONDITIONS; ULTRAVIOLET-B; PHOTOSYSTEM-II; CHLOROPHYLL FLUORESCENCE; XANTHOPHYLL CYCLE; INDUCED DAMAGE; DNA-DAMAGE; PROTECTION; REPAIR</t>
  </si>
  <si>
    <t>In the past decade, various astrobiological studies on different lichen species investigated the impairment of viability and photosynthetic activity by exposure to simulated or real space parameters (as vacuum, polychromatic ultraviolet (UV)-radiation and monochromatic UVC) and consistently found high post-exposure viability as well as low rates of photosynthetic impairment (de Vera et al. 2003, 2004a; 2004b; de la Torre et al. 2010; Onofri et al. 2012; Sanchez et al. 2012, 2014; Brandt et al. 2014). To achieve a better understanding of the basic mechanisms of resistance, the present study subdued isolated and metabolically active photobionts of two astrobiologically relevant lichens to UVC254 nm, examined its effect on photosynthetic activity by chlorophyll a fluorescence and characterized the UVC-induced damages by quantum yield reduction and measurements of non-photochemical quenching. The results indicate a strong impairment of photosynthetic activity, photoprotective mechanisms and overall photobiont vitality when being irradiated in the isolated and metabolically active state. In conclusion, the present study stresses the higher susceptibility of photobionts towards extreme environmental conditions as UVC-exposure, a stressor that does not occur on the Earth. By comparison with previous studies, the present results highlight the importance of protective mechanisms in lichens, such as morphological-anatomical traits (Meessen et al. 2013), secondary lichen compounds (Meessen et al. 2014) and the symbiont's pivotal ability to pass into anhydrobiosis when desiccating.</t>
  </si>
  <si>
    <t>[Meessen, J.; Backhaus, T.; Sadowsky, A.; Mrkalj, M.; Ott, S.] Univ Dusseldorf, Inst Bot, D-40225 Dusseldorf, Germany; [Sanchez, F. J.; de la Torre, R.] Inst Nacl Tecn Aeroespacial, Madrid 28850, Spain</t>
  </si>
  <si>
    <t>Heinrich Heine University Dusseldorf</t>
  </si>
  <si>
    <t>Meessen, J (corresponding author), Univ Dusseldorf, Inst Bot, Univ Str 1, D-40225 Dusseldorf, Germany.</t>
  </si>
  <si>
    <t>joachimmeessen@gmx.de</t>
  </si>
  <si>
    <t>Nechaeva, Polina Y/N-1148-2015; de la Torre Noetzel, Rosa/AAA-2920-2019</t>
  </si>
  <si>
    <t>Nechaeva, Polina Y/0000-0002-5910-4117; de la Torre Noetzel, Maria Rosa/0000-0003-2394-0268</t>
  </si>
  <si>
    <t>German Federal Ministry of Economics and Technology (BMWi); German Aerospace Center (DLR) [50BW1153]; ESA; DLR; [ESA-ILSRA 2009-0834]</t>
  </si>
  <si>
    <t>German Federal Ministry of Economics and Technology (BMWi)(Federal Ministry for Economic Affairs and Energy (BMWi)); German Aerospace Center (DLR)(Helmholtz AssociationGerman Aerospace Centre (DLR)); ESA(European Space Agency); DLR(Helmholtz AssociationGerman Aerospace Centre (DLR));</t>
  </si>
  <si>
    <t>The authors thank Eva Posthoff for isolating and maintaining the photobiont cultures. We also like to express our gratitude to the German Federal Ministry of Economics and Technology (BMWi) and the German Aerospace Center (DLR) for funding the work of Joachim Meessen (50BW1153) as well as to ESA, DLR and especially Dr J.-P. de Vera for supporting and realizing the space experiment BIOMEX (ESA-ILSRA 2009-0834). Samples of B. frigida were collected by S. Ott during the GANOVEX 10 expedition (DFG, OT 96/15-1) as part of the Antarctic Priority Program 1158. Finally, we thank the anonymous reviewers for their comments and suggestions.</t>
  </si>
  <si>
    <t>10.1017/S1473550414000275</t>
  </si>
  <si>
    <t>AQ7LU</t>
  </si>
  <si>
    <t>WOS:000342999900007</t>
  </si>
  <si>
    <t>Bhuiyan, M; Tucker, D; Watson, K</t>
  </si>
  <si>
    <t>Bhuiyan, Mohammad; Tucker, David; Watson, Kenneth</t>
  </si>
  <si>
    <t>Electrospray ionization-tandem mass spectrometry analysis of phospholipid molecular species from Antarctic and non-Antarctic yeasts</t>
  </si>
  <si>
    <t>JOURNAL OF MICROBIOLOGICAL METHODS</t>
  </si>
  <si>
    <t>Electrospray ionization; Mass spectrometry; Phospholipids; Antarctic yeasts; Non-Antarctic yeasts</t>
  </si>
  <si>
    <t>DRIVEN FRAGMENTATION PROCESSES; ENERGY COLLISIONAL ACTIVATION; STRUCTURAL-CHARACTERIZATION; QUADRUPOLE; MS/MS</t>
  </si>
  <si>
    <t>High performance liquid chromatography-electrospray ionization tandem mass spectrometry was applied to the comprehensive analysis of phospholipids from seven Antarctic and seven non-Antarctic yeasts. Identification of specific fatty acyl moieties to the sn-1 and sn-2 positions of phosphatidylethanolamine (PE), phosphatidylcholine (PC), phosphatidylserine (PS) and phosphatidylinositol (PI) were determined by relative abundance of fragment ions associated with formation of carboxylate anions and loss of fragment ions as free fatty carboxylic acid and ketene. Modulations with growth temperature in fatty acyl moieties in the sn-1 and sn-2 positions were characterized. Principal component analysis demonstrated that PE, PC and to a lesser extent PS, but not PI, were grouped into three distinct clusters consisting of seven Antarctic yeasts (Cryptococcus victoriae, Holtermanniella wattica, H. nyarrowii, Candida psychrophila, Leucosporidium fellii, Glaciozyma antarctica, Rhodotorula mucilaginosa), four non-Antarctic yeasts (C. albicans, Zygosaccharomyces rouxii, Cr. humicolus, R. mucilaginosa) and three strains of Saccharomyces cerevisiae. (C) 2014 Elsevier B.V. All rights reserved.</t>
  </si>
  <si>
    <t>[Bhuiyan, Mohammad; Tucker, David; Watson, Kenneth] Univ New England, Sch Sci &amp; Technol, Armidale, NSW 2351, Australia</t>
  </si>
  <si>
    <t>University of New England</t>
  </si>
  <si>
    <t>Watson, K (corresponding author), Univ New England, Sch Sci &amp; Technol, Armidale, NSW 2351, Australia.</t>
  </si>
  <si>
    <t>kwatson2@une.edu.au</t>
  </si>
  <si>
    <t>This work was supported by internal research grants from the University of New England and a postgraduate research scholarship to M.B.</t>
  </si>
  <si>
    <t>0167-7012</t>
  </si>
  <si>
    <t>1872-8359</t>
  </si>
  <si>
    <t>J MICROBIOL METH</t>
  </si>
  <si>
    <t>J. Microbiol. Methods</t>
  </si>
  <si>
    <t>10.1016/j.mimet.2014.07.011</t>
  </si>
  <si>
    <t>Biochemical Research Methods; Microbiology</t>
  </si>
  <si>
    <t>AQ5WO</t>
  </si>
  <si>
    <t>WOS:000342879500001</t>
  </si>
  <si>
    <t>Kuhn, CE; Costa, DP</t>
  </si>
  <si>
    <t>Kuhn, Carey E.; Costa, Daniel P.</t>
  </si>
  <si>
    <t>Interannual variation in the at-sea behavior of California sea lions (Zalophus californianus)</t>
  </si>
  <si>
    <t>California Current; dive behavior; environmental variation; habitat utilization; interannual variability; satellite tracking</t>
  </si>
  <si>
    <t>ANTARCTIC FUR SEALS; FORAGING BEHAVIOR; GPS TRACKING; EL-NINO; LOLIGO-OPALESCENS; DIVING PATTERNS; MARINE PREDATOR; MARKET SQUID; ADULT FEMALE; CHICK GROWTH</t>
  </si>
  <si>
    <t>To be successful, marine predators must alter their foraging behavior in response to changes in their environment. To understand the impact and severity of environmental change on a population it is necessary to first describe typical foraging patterns and identify the underlying variability that exists in foraging behavior. Therefore, we characterized the at-sea behavior of adult female California sea lions (n = 32) over three years (2003, 2004, and 2005) using satellite transmitters and time-depth recorders and examined how foraging behavior varied among years. In all years, sea lions traveled on average 84.7 +/- 11.1 km from the rookery during foraging trips that were 3.2 +/- 0.3 d. Sea lions spent 42.7% +/- 1.9% of their time at sea diving and displayed short (2.2 +/- 0.2 min), shallow dives (58.5 +/- 8.5 m). Among individuals, there was significant variation in both dive behavior and movement patterns, which was found in all years. Among years, differences were found in trip durations, distances traveled, and some dive variables (e. g., dive duration and bottom time) as sea lions faced moderate variability in their foraging habitat (increased sea-surface temperatures, decreased upwelling, and potential decreased prey abundance). The flexibility we found in the foraging behavior of California sea lions may be a mechanism to cope with environmental variability among years and could be linked to the continuing growth of sea lion populations.</t>
  </si>
  <si>
    <t>[Kuhn, Carey E.] NOAA, Natl Marine Mammal Lab, Alaska Fisheries Sci Ctr, Seattle, WA 98115 USA; [Kuhn, Carey E.; Costa, Daniel P.] Univ Calif Santa Cruz, Long Marine Lab, Dept Ecol &amp; Evolutionary Biol, Santa Cruz, CA 95060 USA</t>
  </si>
  <si>
    <t>National Oceanic Atmospheric Admin (NOAA) - USA; University of California System; University of California Santa Cruz</t>
  </si>
  <si>
    <t>Kuhn, CE (corresponding author), NOAA, Natl Marine Mammal Lab, Alaska Fisheries Sci Ctr, 7600 Sand Point Way NE, Seattle, WA 98115 USA.</t>
  </si>
  <si>
    <t>carey.kuhn@noaa.gov</t>
  </si>
  <si>
    <t>Costa, Daniel Paul/E-2616-2013</t>
  </si>
  <si>
    <t>Costa, Daniel Paul/0000-0002-0233-5782; Kuhn, Carey/0000-0002-6835-9744</t>
  </si>
  <si>
    <t>UC Marine Council Coastal Environmental Quality Initiative; Friends of Long Marine Lab; American Cetacean Society; Myers Oceanographic and Marine Biology Trust; California Sea Grant College Program; National Ocean Partnership Program; Office of Naval Research; Moore Foundation; Packard Foundation; Sloan Foundation</t>
  </si>
  <si>
    <t>UC Marine Council Coastal Environmental Quality Initiative; Friends of Long Marine Lab; American Cetacean Society; Myers Oceanographic and Marine Biology Trust; California Sea Grant College Program; National Ocean Partnership Program; Office of Naval Research(Office of Naval Research); Moore Foundation(Gordon and Betty Moore Foundation); Packard Foundation(The David &amp; Lucile Packard Foundation); Sloan Foundation(Alfred P. Sloan Foundation)</t>
  </si>
  <si>
    <t>This work was made possible by the efforts of a large number of field volunteers and we are thankful for all the support they provided. Specifically, we would like to thank N. Boedeker, T. Goldstein, B. Long, M. Rutishauser, S. Simmons, R. Walsh, and M. Weise. We thank the U.S. Navy and specifically Grace Smith for exceptional field and logistic support. Research was funded by grants from the UC Marine Council Coastal Environmental Quality Initiative, Friends of Long Marine Lab, American Cetacean Society, Myers Oceanographic and Marine Biology Trust, California Sea Grant College Program, National Ocean Partnership Program, Office of Naval Research, and the Moore, Packard, and Sloan Foundations. This research was conducted as a part of the Tagging of Pacific Predators (TOPP). Animal handling procedures were approved by the UCSC Chancellors Animal Research Committee and permitted under NMFS permit #87-1593.</t>
  </si>
  <si>
    <t>10.1111/mms.12110</t>
  </si>
  <si>
    <t>AQ5GR</t>
  </si>
  <si>
    <t>WOS:000342835800002</t>
  </si>
  <si>
    <t>Tanaka, H; Tsukagoshi, A; Karanovic, I</t>
  </si>
  <si>
    <t>Tanaka, Hayato; Tsukagoshi, Akira; Karanovic, Ivana</t>
  </si>
  <si>
    <t>Molecular phylogeny of interstitial Polycopidae ostracods (Crustacea) and descriptions of a new genus and four new species</t>
  </si>
  <si>
    <t>ZOOLOGICAL JOURNAL OF THE LINNEAN SOCIETY</t>
  </si>
  <si>
    <t>Cladocopina; integrative taxonomy; Kliecope; Parapolycope; reproductive character displacement</t>
  </si>
  <si>
    <t>PARAPOLYCOPE CRUSTACEA; CLADOCOPINA; SELECTION; ORIGIN; MAFFT</t>
  </si>
  <si>
    <t>Family Polycopidae is one of the more abundant and diverse taxa occurring in marine interstitial environments. Most of the interstitial polycopids are so far known from Japan and belong to the genus Parapolycope Klie, 1936. In this paper we describe another four new species from Japan. A new genus, Kliecope gen. nov. is erected to include one new species Kliecope mihoensis sp. nov. and one new combination Kliecope oligohalina (Tanaka Sz Tsukagoshi, 2010) comb. nov. Although the morphology of Kliecope is similar to Parapolycope, the new genus has the following diagnostic characters: absence of an inward bulge on the antennular second podomere, presence of two setae bearing a sucker on the antennular third podomere, and absence of a dorsal seta on the basis of mandibula. Another three Parapolycope, Parapolycope setouchiensis sp. nov., Parapolycope subtidatis sp. nov., and Parapolycope miurensis sp. nov. are described as well. To test the phylogenetic relationship between the new genus and Parapolycope, we performed playlogenetic analyses based on the 14 18S rDNA sequences of interstitial Polycopidae species, 12 of which were newly obtained from our material. The 18S gene proved to be suitable for phylogenetic analyses in polycopids with high intraspecific or intrageneric resolution. Here we present trees obtained with maximum n likelihood, maximum parsimony, and neighbour-joining methods, and they support the divergence between Kliecope and Parapolycope with high bootstrap values.</t>
  </si>
  <si>
    <t>[Tanaka, Hayato; Tsukagoshi, Akira] Shizuoka Univ, Dept Environm &amp; Energy Syst, Suruga Ku, Shizuoka 4228529, Japan; [Karanovic, Ivana] Hanyang Univ, Dept Life Sci, Seoul 133791, South Korea; [Karanovic, Ivana] Univ Tasmania, Inst Marine &amp; Antarctic Studies, Hobart, Tas 7001, Australia</t>
  </si>
  <si>
    <t>Shizuoka University; Hanyang University; University of Tasmania</t>
  </si>
  <si>
    <t>Tanaka, H (corresponding author), Shizuoka Univ, Dept Environm &amp; Energy Syst, Suruga Ku, Oya 836, Shizuoka 4228529, Japan.</t>
  </si>
  <si>
    <t>cladocopina@gmail.com</t>
  </si>
  <si>
    <t>Tanaka, Hayato/0000-0003-1237-8855</t>
  </si>
  <si>
    <t>Japan Society for the Promotion of Science for Young Scientists [236212]; Kuroshio Biological Research Foundation</t>
  </si>
  <si>
    <t>Japan Society for the Promotion of Science for Young Scientists(Ministry of Education, Culture, Sports, Science and Technology, Japan (MEXT)Japan Society for the Promotion of Science); Kuroshio Biological Research Foundation</t>
  </si>
  <si>
    <t>The authors thank Prof. Kenji Kato and Dr Hiroyuki Kimura (Shizuoka University) for much advice and for providing research facilities. We appreciate Dr Ryouichi Higashi (Fujieda Higashi High School, Japan) for technical help and advice about molecular phylogenetic analysis. We wish to thank Mr Satoshi Nishimaki for his kind help in sampling. Staff members of the Misaki Marine Biological Station (University of Tokyo), the Shimoda Marine Research Center (University of Tsukuba), the Biological Institute on Kuroshio (Ohtsuki town, Kochi Prefecture), and the TBRC Sesoko Station (University of the Ryukyus) provided us with various facilities. This study was partly funded by the Japan Society for the Promotion of Science for Young Scientists (no. 236212) and the Kuroshio Biological Research Foundation.</t>
  </si>
  <si>
    <t>0024-4082</t>
  </si>
  <si>
    <t>1096-3642</t>
  </si>
  <si>
    <t>ZOOL J LINN SOC-LOND</t>
  </si>
  <si>
    <t>Zool. J. Linn. Soc.</t>
  </si>
  <si>
    <t>10.1111/zoj12176</t>
  </si>
  <si>
    <t>AQ5DU</t>
  </si>
  <si>
    <t>WOS:000342827000003</t>
  </si>
  <si>
    <t>Calder, DR</t>
  </si>
  <si>
    <t>Calder, Dale R.</t>
  </si>
  <si>
    <t>Axel Elof Jaderholm (1868-1927) of Sweden: educator, hydrozoan zoologist and botanist</t>
  </si>
  <si>
    <t>ARCHIVES OF NATURAL HISTORY</t>
  </si>
  <si>
    <t>biography; bryophytes; Cnidaria; hydroids; Hydrozoa; invertebrates; Piperaceae</t>
  </si>
  <si>
    <t>THECATE HYDROIDS; CNIDARIA</t>
  </si>
  <si>
    <t>Axel Elof Jaderholm was born in Soderhamn, Sweden, on 24 July 1868. In 1888 he entered Uppsala Universitet, earning undergraduate (1892) and doctorate (1898) degrees. His doctoral dissertation was based on an anatomical study of South American Peperomia (Piperaceae). While a graduate student he commenced research on hydroids in collections at the university's natural history museum. A science teacher by profession, he served schools in Uppsala (1900-1901), Norrkoping (1901-1905; 1913-1927), Orebro (1905) and Vastervik (1905-1913). In addition to teaching, he undertook research in botany (especially mosses) and zoology (hydroids). A focus of work between 1903 and 1905 involved examination of hydroid collections at the Naturhistoriska Riksmuseet (Stockholm) and the Imperial St Petersburg Academy of Sciences (Russia). Jaderholm's field work dealt largely with bryophytes, although his scientific publications (21 of 28) were mostly on taxonomy of hydroids. His hydroid work was mainly on species from northern Europe, the Antarctic and sub-Antarctic, southern regions of South America, and the western Pacific (especially Japan). He established two new genera and 69 new species of hydroids, a majority of the latter still being recognized as valid. Jaderholm was created a knight of the Order of the Polar Star (Riddare av Nordstjarneorden) in Sweden for accomplishments in science and education. After suffering a series of acute illnesses over the last two years of his life, he died in Norrkoping on 5 March 1927 and was buried in Uppsala. Five species of hydroids have been named in his honour.</t>
  </si>
  <si>
    <t>Royal Ontario Museum, Dept Nat Hist, Toronto, ON M5S 2C6, Canada</t>
  </si>
  <si>
    <t>Royal Ontario Museum</t>
  </si>
  <si>
    <t>Calder, DR (corresponding author), Royal Ontario Museum, Dept Nat Hist, 100 Queens Pk, Toronto, ON M5S 2C6, Canada.</t>
  </si>
  <si>
    <t>dalec@rom.on.ca</t>
  </si>
  <si>
    <t>EDINBURGH UNIV PRESS</t>
  </si>
  <si>
    <t>EDINBURGH</t>
  </si>
  <si>
    <t>THE TUN-HOLYROOD RD, 12 2F JACKSONS ENTRY, EDINBURGH EH8 8PJ, SCOTLAND</t>
  </si>
  <si>
    <t>0260-9541</t>
  </si>
  <si>
    <t>1755-6260</t>
  </si>
  <si>
    <t>ARCH NAT HIST</t>
  </si>
  <si>
    <t>Arch. Nat. Hist.</t>
  </si>
  <si>
    <t>10.3366/anh.2014.0245</t>
  </si>
  <si>
    <t>History &amp; Philosophy Of Science; Multidisciplinary Sciences</t>
  </si>
  <si>
    <t>Science Citation Index Expanded (SCI-EXPANDED); Social Science Citation Index (SSCI); Arts &amp; Humanities Citation Index (A&amp;HCI)</t>
  </si>
  <si>
    <t>History &amp; Philosophy of Science; Science &amp; Technology - Other Topics</t>
  </si>
  <si>
    <t>AQ1HX</t>
  </si>
  <si>
    <t>WOS:000342533600005</t>
  </si>
  <si>
    <t>Paulsen, TS; Wilson, TJ; Demosthenous, C; Millan, C; Jarrard, R; Läufer, A</t>
  </si>
  <si>
    <t>Paulsen, Timothy S.; Wilson, Terry J.; Demosthenous, Christie; Millan, Cristina; Jarrard, Rich; Laeufer, Andreas</t>
  </si>
  <si>
    <t>Kinematics of the Neogene Terror Rift: Constraints from calcite twinning strains in the ANDRILL McMurdo Ice Shelf (AND-1B) core, Victoria Land Basin, Antarctica</t>
  </si>
  <si>
    <t>ROSS SEA REGION; LOW-TEMPERATURE DEFORMATION; TRANSANTARCTIC MOUNTAINS; FISSION-TRACK; NORTH-AMERICA; MANTLE PLUME; DRILL CORE; STRESS; TWINS; WESTERN</t>
  </si>
  <si>
    <t>We report new strain analyses of mechanically twinned calcite in veins hosted by Neogene (13.6-4.3 Ma) sedimentary and volcanic rocks recovered from the Terror Rift system in the southern Ross Sea, Antarctica, by the ANDRILL (ANtarctic geological DRILLing) McMurdo Ice Shelf (MIS) Project. Strain analyses of the ANDRILL MIS AND-1B drill core samples yield prolate and oblate ellipsoids with principal shortening and extension strains ranging from -7% to 9%, respectively. The majority of samples show &lt;= 25% negative expected values, indicating homogeneous coaxial strain characterized predominantly by subvertical shortening. We attribute the subvertical shortening strains to mechanical twinning at relatively shallow depths in an Andersonian normal faulting stress regime induced by sedimentary and ice sheet loading of the stratigraphic sequence and characterized by low stress magnitudes. Oriented samples yield a northwest-southeast average extension direction that is subparallel to other indicators of Neogene extension. This northwest-southeast extension is consistent with strain predicted by Neogene orthogonal rifting in a north-northeast-trending rift segment, as well as models of right-lateral transtensional rifting. The overall paucity of a non-coaxial layer-parallel shortening signal in the AND-1B twin populations favors orthogonal extension in the Neogene Terror Rift system, but could also be due to spatial partitioning of strain in a transtensional rift regime.</t>
  </si>
  <si>
    <t>[Paulsen, Timothy S.; Demosthenous, Christie] Univ Wisconsin, Dept Geol, Oshkosh, WI 54901 USA; [Wilson, Terry J.; Millan, Cristina] Ohio State Univ, Byrd Polar Res Ctr, Columbus, OH 43210 USA; [Wilson, Terry J.; Millan, Cristina] Ohio State Univ, Sch Earth Sci, Columbus, OH 43210 USA; [Jarrard, Rich] Univ Utah, Dept Geol &amp; Geophys, Salt Lake City, UT 84112 USA; [Laeufer, Andreas] Bundesanstalt Geowissensch &amp; Rohstoffe, D-30655 Hannover, Germany</t>
  </si>
  <si>
    <t>University of Wisconsin System; University System of Ohio; Ohio State University; University System of Ohio; Ohio State University; Utah System of Higher Education; University of Utah</t>
  </si>
  <si>
    <t>Läufer, Andreas/ABC-1465-2020</t>
  </si>
  <si>
    <t>Läufer, Andreas/0000-0003-2219-0450</t>
  </si>
  <si>
    <t>U.S. National Science Foundation; New Zealand Foundation for Research Science and Technology; Royal Society of New Zealand Marsden Fund; Italian Antarctic Research Programme; German Research Foundation (DFG) [LA 1080/6]; Alfred Wegener Institute for Polar and Marine Research (Helmholtz Association of German Research Centres)</t>
  </si>
  <si>
    <t>U.S. National Science Foundation(National Science Foundation (NSF)); New Zealand Foundation for Research Science and Technology(New Zealand Foundation for Research, Science and Technology); Royal Society of New Zealand Marsden Fund(Royal Society of New ZealandMarsden Fund (NZ)); Italian Antarctic Research Programme; German Research Foundation (DFG)(German Research Foundation (DFG)); Alfred Wegener Institute for Polar and Marine Research (Helmholtz Association of German Research Centres)</t>
  </si>
  <si>
    <t>We thank members of the ANDRILL (ANtarctic geological DRILLing) MIS (McMurdo Ice Shelf) Project downhole logging team for their work that enabled core reorientation studies after drilling and the ANDRILL MIS Science Team for their contributions to the project. We also thank Richard Groshong and John Craddock for helpful reviews that improved this manuscript, Mark Evans for providing a copy of the calcite strain-gauge software, Rick Allmendinger for providing his stereonet program, and the many ANDRILL support personnel that made this project possible. Paulsen acknowledges the University of Wisconsin Faculty Sabbatical Program for release time to work on this project and thanks the Antarctic Research Centre at Victoria University of Wellington (New Zealand) for hosting this work. 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New Zealand Foundation for Research Science and Technology, Royal Society of New Zealand Marsden Fund, the Italian Antarctic Research Programme, the German Research Foundation (DFG; grant LA 1080/6 to Laufer),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(Nebraska, USA) provided science planning and operational support.</t>
  </si>
  <si>
    <t>10.1130/GES01002.1</t>
  </si>
  <si>
    <t>AQ2JE</t>
  </si>
  <si>
    <t>WOS:000342610800001</t>
  </si>
  <si>
    <t>Hopkins, M; Kailasan, S; Cohen, A; Roux, S; Tucker, KP; Shevenell, A; Agbandje-McKenna, M; Breitbart, M</t>
  </si>
  <si>
    <t>Hopkins, Max; Kailasan, Shweta; Cohen, Allison; Roux, Simon; Tucker, Kimberly Pause; Shevenell, Amelia; Agbandje-McKenna, Mavis; Breitbart, Mya</t>
  </si>
  <si>
    <t>Diversity of environmental single-stranded DNA phages revealed by PCR amplification of the partial major capsid protein</t>
  </si>
  <si>
    <t>ISME JOURNAL</t>
  </si>
  <si>
    <t>single-stranded; phage; virus; gokushovirus; Microviridae</t>
  </si>
  <si>
    <t>METAGENOMIC ANALYSIS; ATOMIC-STRUCTURE; MARINE VIRUSES; UCSF CHIMERA; RNA VIRUSES; BACTERIOPHAGE; SEQUENCE; GENE; VISUALIZATION; ENUMERATION</t>
  </si>
  <si>
    <t>The small single-stranded DNA (ssDNA) bacteriophages of the subfamily Gokushovirinae were traditionally perceived as narrowly targeted, niche-specific viruses infecting obligate parasitic bacteria, such as Chlamydia. The advent of metagenomics revealed gokushoviruses to be widespread in global environmental samples. This study expands knowledge of gokushovirus diversity in the environment by developing a degenerate PCR assay to amplify a portion of the major capsid protein (MCP) gene of gokushoviruses. Over 500 amplicons were sequenced from 10 environmental samples (sediments, sewage, seawater and freshwater), revealing the ubiquity and high diversity of this understudied phage group. Residue-level conservation data generated from multiple alignments was combined with a predicted 3D structure, revealing a tendency for structurally internal residues to be more highly conserved than surface-presenting protein-protein or viral-host interaction domains. Aggregating this data set into a phylogenetic framework, many gokushovirus MCP clades contained samples from multiple environments, although distinct clades dominated the different samples. Antarctic sediment samples contained the most diverse gokushovirus communities, whereas freshwater springs from Florida were the least diverse. Whether the observed diversity is being driven by environmental factors or host-binding interactions remains an open question. The high environmental diversity of this previously overlooked ssDNA viral group necessitates further research elucidating their natural hosts and exploring their ecological roles.</t>
  </si>
  <si>
    <t>[Hopkins, Max; Cohen, Allison; Shevenell, Amelia; Breitbart, Mya] Univ S Florida, Coll Marine Sci, St Petersburg, FL 33701 USA; [Kailasan, Shweta; Agbandje-McKenna, Mavis] Univ Florida, Dept Biochem &amp; Mol Biol, Gainesville, FL 32610 USA; [Roux, Simon] Univ Blaise Pascal, Clermont Univ, Lab Microorganismes Genome &amp; Environm, Clermont Ferrand, France; [Roux, Simon] CNRS, UMR 6023, LMGE, Aubiere, France; [Tucker, Kimberly Pause] Stevenson Univ, Dept Biol, Stevenson, MD USA</t>
  </si>
  <si>
    <t>State University System of Florida; University of South Florida; State University System of Florida; University of Florida; Universite Clermont Auvergne (UCA); Centre National de la Recherche Scientifique (CNRS); Centre National de la Recherche Scientifique (CNRS); Universite Clermont Auvergne (UCA); CNRS - Institute of Ecology &amp; Environment (INEE)</t>
  </si>
  <si>
    <t>Breitbart, M (corresponding author), Univ S Florida, Coll Marine Sci, 140 7th Ave South, St Petersburg, FL 33701 USA.</t>
  </si>
  <si>
    <t>mya@usf.edu</t>
  </si>
  <si>
    <t>Shevenell, Amelia E/C-2757-2015; Tucker, Kimberly/AAS-6317-2021; Roux, Simon/ABE-6255-2020; Breitbart, Mya/B-1366-2009</t>
  </si>
  <si>
    <t>Tucker, Kimberly/0000-0002-5271-3315; Roux, Simon/0000-0002-5831-5895; Breitbart, Mya/0000-0003-3210-2899; Cohen, Allison/0000-0002-1692-2443</t>
  </si>
  <si>
    <t>National Science Foundation (Microbial Interactions and Processes) [MCB-0701984]; National Science Foundation (Division of Biological Infrastructure ) [DBI-0850206]; University of South Florida Internal Awards Program; University of Florida COM Research Funds; University of South Florida; National Science Foundation; French Defense Procurement Agency (DGA); NSF [ANT-1246378]; Div Of Biological Infrastructure; Direct For Biological Sciences [0850206] Funding Source: National Science Foundation</t>
  </si>
  <si>
    <t>National Science Foundation (Microbial Interactions and Processes)(National Science Foundation (NSF)); National Science Foundation (Division of Biological Infrastructure )(National Science Foundation (NSF)); University of South Florida Internal Awards Program; University of Florida COM Research Funds; University of South Florida; National Science Foundation(National Science Foundation (NSF)); French Defense Procurement Agency (DGA); NSF(National Science Foundation (NSF)); Div Of Biological Infrastructure; Direct For Biological Sciences(National Science Foundation (NSF)NSF - Directorate for Biological Sciences (BIO))</t>
  </si>
  <si>
    <t>Funding for this study was provided by grants to MB from the National Science Foundation (Microbial Interactions and Processes MCB-0701984 and Division of Biological Infrastructure DBI-0850206) and a Proposal Enhancement Grant from the University of South Florida Internal Awards Program. MAM and SK were funded by University of Florida COM Research Funds; MH was funded by a Presidential Fellowship from the University of South Florida; AC was funded by an REU Supplement from the National Science Foundation; SR was supported by a PhD grant from the French Defense Procurement Agency (DGA); AS was funded by NSF ANT-1246378. Thanks to the members of the British Services Antarctic Expedition 2012 for collecting the Marguerite Bay marine sediment samples and to Dawn Goldsmith and Bhakti Dwivedi for assistance with bioinformatics and primer design, respectively.</t>
  </si>
  <si>
    <t>1751-7362</t>
  </si>
  <si>
    <t>1751-7370</t>
  </si>
  <si>
    <t>ISME J</t>
  </si>
  <si>
    <t>ISME J.</t>
  </si>
  <si>
    <t>10.1038/ismej.2014.43</t>
  </si>
  <si>
    <t>Ecology; Microbiology</t>
  </si>
  <si>
    <t>Environmental Sciences &amp; Ecology; Microbiology</t>
  </si>
  <si>
    <t>AQ4KI</t>
  </si>
  <si>
    <t>WOS:000342764600012</t>
  </si>
  <si>
    <t>Colesie, C; Green, TGA; Haferkamp, I; Büdel, B</t>
  </si>
  <si>
    <t>Colesie, Claudia; Green, T. G. Allan; Haferkamp, Ilka; Buedel, Burkhard</t>
  </si>
  <si>
    <t>Habitat stress initiates changes in composition, CO2 gas exchange and C-allocation as life traits in biological soil crusts</t>
  </si>
  <si>
    <t>Antarctica; carbon allocation; gas exchange; lichens; life traits; net photosynthesis</t>
  </si>
  <si>
    <t>WATER-VAPOR UPTAKE; GROWTH-RATES; LICHEN; DESERT; LAND; PHOTOSYNTHESIS; CYCLES; CARBON; FIELD; ECOPHYSIOLOGY</t>
  </si>
  <si>
    <t>Biological soil crusts (BSC) are the dominant functional vegetation unit in some of the harshest habitats in the world. We assessed BSC response to stress through changes in biotic composition, CO2 gas exchange and carbon allocation in three lichen-dominated BSC from habitats with different stress levels, two more extreme sites in Antarctica and one moderate site in Germany. Maximal net photosynthesis (NP) was identical, whereas the water content to achieve maximal NP was substantially lower in the Antarctic sites, this apparently being achieved by changes in biomass allocation. Optimal NP temperatures reflected local climate. The Antarctic BSC allocated fixed carbon (tracked using (CO2)-C-14) mostly to the alcohol soluble pool (low-molecular weight sugars, sugar alcohols), which has an important role in desiccation and freezing resistance and antioxidant protection. In contrast, BSC at the moderate site showed greater carbon allocation into the polysaccharide pool, indicating a tendency towards growth. The results indicate that the BSC of the more stressed Antarctic sites emphasise survival rather than growth. Changes in BSC are adaptive and at multiple levels and we identify benefits and risks attached to changing life traits, as well as describing the ecophysiological mechanisms that underlie them.</t>
  </si>
  <si>
    <t>[Colesie, Claudia; Buedel, Burkhard] Univ Kaiserslautern, Dept Plant Ecol &amp; Systemat, D-67663 Kaiserslautern, Germany; [Green, T. G. Allan] Univ Complutense, Dept Biol Vegetal 2, E-28040 Madrid, Spain; [Green, T. G. Allan] Univ Waikato, Dept Sci Biol, Hamilton, New Zealand; [Haferkamp, Ilka] Univ Kaiserslautern, Dept Plant Physiol, D-67663 Kaiserslautern, Germany</t>
  </si>
  <si>
    <t>University of Kaiserslautern; Complutense University of Madrid; University of Waikato; University of Kaiserslautern</t>
  </si>
  <si>
    <t>Colesie, C (corresponding author), Univ Kaiserslautern, Dept Plant Ecol &amp; Systemat, Erwin Schrodinger Str 13-270, D-67663 Kaiserslautern, Germany.</t>
  </si>
  <si>
    <t>claudia.colesie@biologie.uni-kl.de</t>
  </si>
  <si>
    <t>Colesie, Claudia/H-4258-2015</t>
  </si>
  <si>
    <t>Colesie, Claudia/0000-0003-1136-0290</t>
  </si>
  <si>
    <t>New Zealand Foundation for Research; Science and Technology (FRST); University of Waikato Vice Chancellor's Fund; Department of Biological Sciences, University of Waikato; FRST grant; Understanding, valuing and protecting Antarctica's unique terrestrial ecosystems: predicting biocomplexity in Dry Valley ecosystems; Spanish Education Ministry [POL2006-08405, CTM2009-12838-C04-01]; DFG Schwerpunktprogramm [1158 (BU 666/11-1)]; ERA-Net BiodivERsA program; German Research Foundation (DFG); Austrian Science Fund (FWF); Swedish Research Council for Environment, Agricultural Sciences and Spatial Planning (FORMAS); Spanish Ministerio de Economia y Competitividad (MINECO)</t>
  </si>
  <si>
    <t>New Zealand Foundation for Research(New Zealand Foundation for Research, Science and Technology); Science and Technology (FRST)(New Zealand Foundation for Research, Science and Technology); University of Waikato Vice Chancellor's Fund; Department of Biological Sciences, University of Waikato; FRST grant; Understanding, valuing and protecting Antarctica's unique terrestrial ecosystems: predicting biocomplexity in Dry Valley ecosystems; Spanish Education Ministry(Spanish Government); DFG Schwerpunktprogramm(German Research Foundation (DFG)); ERA-Net BiodivERsA program; German Research Foundation (DFG)(German Research Foundation (DFG)); Austrian Science Fund (FWF)(Austrian Science Fund (FWF)); Swedish Research Council for Environment, Agricultural Sciences and Spatial Planning (FORMAS)(Swedish Research Council Formas); Spanish Ministerio de Economia y Competitividad (MINECO)(Spanish Government)</t>
  </si>
  <si>
    <t>We are grateful to Antarctica New Zealand (AntNZ) for logistical support over several years as part of the Latitudinal Gradient Project coordinated by Shulamit Gordon. Logistics support was also provided by the Australian Antarctic Program, the Spanish National Antarctic Program and the US Coastguard Reserve. They are all gratefully thanked. The New Zealand Foundation for Research, Science and Technology (FRST), the University of Waikato Vice Chancellor's Fund and the Department of Biological Sciences, University of Waikato provided financial support. The research was supported by the FRST grant, 'Understanding, valuing and protecting Antarctica's unique terrestrial ecosystems: predicting biocomplexity in Dry Valley ecosystems' and TGAG by the Spanish Education Ministry grants POL2006-08405 and CTM2009-12838-C04-01. BB and CC acknowledge the DFG Schwerpunktprogramm 1158 (BU 666/11-1). Part of the research were also funded by the ERA-Net BiodivERsA program, with the national funders German Research Foundation (DFG), Austrian Science Fund (FWF), The Swedish Research Council for Environment, Agricultural Sciences and Spatial Planning (FORMAS), and the Spanish Ministerio de Economia y Competitividad (MINECO), part of the 2010-2011 BiodivERsA joint call. We thank Professor Neuhaus (TU Kl) for logistic support in the isotope laboratory.</t>
  </si>
  <si>
    <t>10.1038/ismej.2014.47</t>
  </si>
  <si>
    <t>WOS:000342764600013</t>
  </si>
  <si>
    <t>Morrison, KW; Bury, SJ; Thompson, DR</t>
  </si>
  <si>
    <t>Morrison, Kyle W.; Bury, Sarah J.; Thompson, David R.</t>
  </si>
  <si>
    <t>Higher trophic level prey does not represent a higher quality diet in a threatened seabird: implications for relating population dynamics to diet shifts inferred from stable isotopes</t>
  </si>
  <si>
    <t>EUDYPTES-C.-CHRYSOCOME; NORTHERN ROCKHOPPER PENGUIN; NUTRITIONAL-STATUS; DELTA-N-15 VALUES; FORAGING BEHAVIOR; SOUTHERN-OCEAN; BREEDING DIET; BIRD-ISLAND; NEW-ZEALAND; SEA LIONS</t>
  </si>
  <si>
    <t>Diet quality is a key determinant of population dynamics. If a higher trophic level, more fish-based diet is of higher quality for marine predators, then individuals with a higher trophic level diet should have a greater body mass than those feeding at a lower trophic level. We examined this hypothesis using stable isotope analysis to infer dietary trophic level and foraging habitat over three years in eastern rockhopper penguins Eudyptes chrysocome filholi on sub-Antarctic Campbell Island, New Zealand. Rockhopper penguins are 'Vulnerable' to extinction because of widespread and dramatic population declines, perhaps related to nutritional stress caused by a climate-induced shift to a lower trophic level, lower quality diet. We related the stable nitrogen (delta N-15) and carbon (delta C-13) isotope values of blood from 70 chicks, 55 adult females, and 55 adult males to their body masses in the 2010, 2011, and 2012 breeding seasons and examined year, stage, age, and sex differences. Opposite to predictions, heavier males consumed a lower trophic level diet during incubation in 2011, and average chick mass was heavier in 2011 when chicks were fed a more zooplankton-based, pelagic/offshore diet than in 2012. Contrary to the suggested importance of a fish-based diet, our results support the alternative hypothesis that rockhopper penguin populations are likely to be most successful when abundant zooplankton prey are available. We caution that historic shifts to lower trophic level prey should not be assumed to reflect nutritional stress and a cause of population declines.</t>
  </si>
  <si>
    <t>[Morrison, Kyle W.] Massey Univ, Inst Nat Resources, Ecol Grp, Palmerston North 4442, New Zealand; [Morrison, Kyle W.; Bury, Sarah J.; Thompson, David R.] Natl Inst Water &amp; Atmospher Res, Wellington 6021, New Zealand</t>
  </si>
  <si>
    <t>Massey University; National Institute of Water &amp; Atmospheric Research (NIWA) - New Zealand</t>
  </si>
  <si>
    <t>Morrison, KW (corresponding author), Massey Univ, Inst Nat Resources, Ecol Grp, Palmerston North 4442, New Zealand.</t>
  </si>
  <si>
    <t>k.w.morrison@massey.ac.nz</t>
  </si>
  <si>
    <t>Bury, Sarah/JLN-0810-2023</t>
  </si>
  <si>
    <t>Massey University; Natural Sciences and Engineering Research Council of Canada; Education New Zealand; New Zealand Ministry of Business, Innovation, and Employment [C01X0905]; J. S. Watson Conservation Trust of the Royal Forest and Bird Protection Society of New Zealand; Hutton Fund of The Royal Society of New Zealand; Penguin Fund of Japan; Department of Conservation, Southland Conservancy; New Zealand Ministry of Business, Innovation &amp; Employment (MBIE) [C01X0905] Funding Source: New Zealand Ministry of Business, Innovation &amp; Employment (MBIE)</t>
  </si>
  <si>
    <t>Massey University; Natural Sciences and Engineering Research Council of Canada(Natural Sciences and Engineering Research Council of Canada (NSERC)CGIAR); Education New Zealand; New Zealand Ministry of Business, Innovation, and Employment(New Zealand Ministry of Business, Innovation and Employment (MBIE)); J. S. Watson Conservation Trust of the Royal Forest and Bird Protection Society of New Zealand; Hutton Fund of The Royal Society of New Zealand(Royal Society of New Zealand); Penguin Fund of Japan; Department of Conservation, Southland Conservancy; New Zealand Ministry of Business, Innovation &amp; Employment (MBIE)(New Zealand Ministry of Business, Innovation and Employment (MBIE))</t>
  </si>
  <si>
    <t>Our thanks to the two anonymous reviewers of this manuscript for constructive comments. P. Battley, D. Armstrong, P. Sagar, and S. Jamieson provided helpful comments and discussion. Thanks to J. Brown for conducting the SIA. Our methods were approved by the Massey University Animal Ethics Committee, protocol no. 10/90. K. W. M. is grateful to Massey University, the Natural Sciences and Engineering Research Council of Canada, and Education New Zealand for financial support. This work was supported by the New Zealand Ministry of Business, Innovation, and Employment (contract C01X0905 to the National Institute for Water and Atmospheric Research). Additional research funding was generously provided by the J. S. Watson Conservation Trust of the Royal Forest and Bird Protection Society of New Zealand, the Hutton Fund of The Royal Society of New Zealand, and the Penguin Fund of Japan. We are grateful to S. Cockburn at the New Zealand Department of Conservation, National Office for providing RFID data loggers. Thank you to the Department of Conservation, Southland Conservancy for supporting our research on Campbell Island, and to H. Haazen and the crew of RV 'Tiama' for safe transport. This research would not have been possible without the skillful penguin-wrangling of N. Morrison, R. Buchheit, and R. Dunn.</t>
  </si>
  <si>
    <t>10.1007/s00227-014-2502-y</t>
  </si>
  <si>
    <t>AP9QT</t>
  </si>
  <si>
    <t>WOS:000342415200005</t>
  </si>
  <si>
    <t>Santora, JA; Schroeder, ID; Loeb, VJ</t>
  </si>
  <si>
    <t>Santora, Jarrod A.; Schroeder, Isaac D.; Loeb, Valerie J.</t>
  </si>
  <si>
    <t>Spatial assessment of fin whale hotspots and their association with krill within an important Antarctic feeding and fishing ground</t>
  </si>
  <si>
    <t>SOUTH SHETLAND ISLANDS; ECOSYSTEM-BASED MANAGEMENT; EUPHAUSIA-SUPERBA; ELEPHANT ISLAND; BALEEN WHALES; HABITAT USE; VARIABILITY; BIOMASS; FRONTS; PENINSULA</t>
  </si>
  <si>
    <t>Fin whale (Balaenoptera physalus quoyi) habitat use and its relationship to environmental conditions are generally unknown in the Southern Ocean, presenting challenges for predicting their seasonal occurrence and potential effects of fishing pressure and climate change on this endangered species. Using biological data collected during 14 shipboard surveys off the northern Antarctic Peninsula and oceanographic data from satellite remote sensing, we mapped the distribution of fin whale hotspots, Antarctic krill abundance (biomass from acoustics, concentrations from nets) and ocean conditions during mid- and late-summer to investigate the environmental determinants of whale hotspots. Generalized additive models (GAM) were used to test the hypothesis that intra-seasonal changes in fin whale hotspot distribution relate to sea surface temperature (SST), krill abundance and eddy kinetic energy (EKE). More whale hotspots (sightings and individuals) are observed during late- than mid-summer surveys. During mid-summer, hotspots occurred near Elephant Island while in late-summer they were distributed throughout the slope region in proximity to the mean location of the southern Antarctic Circumpolar Current Front. The spatial mean of EKE did not differ between mid- and late-summer surveys, but the spatial mean of SST was significantly warmer during late-summer. The GAM for mid-summer indicates that fin whale hotspots were positively related to SST, EKE and acoustically determined krill biomass. The GAM for late-summer indicates the hotspots were negatively related to net-based krill abundance and positively related to acoustic krill biomass and EKE. This study is important because environmental determinants of fin whale hotspots may be used as reference points for implementing future conservation plans for their recovering populations.</t>
  </si>
  <si>
    <t>[Santora, Jarrod A.] Univ Calif Santa Cruz, Ctr Stock Assessment Res, Santa Cruz, CA 95060 USA; [Schroeder, Isaac D.] Univ Calif Santa Cruz, Div Phys &amp; Biol Sci, Santa Cruz, CA 95064 USA; [Loeb, Valerie J.] Moss Landing Marine Labs, Moss Landing, CA 95039 USA</t>
  </si>
  <si>
    <t>University of California System; University of California Santa Cruz; University of California System; University of California Santa Cruz; Moss Landing Marine Laboratories</t>
  </si>
  <si>
    <t>Santora, JA (corresponding author), Univ Calif Santa Cruz, Ctr Stock Assessment Res, 110 Shaffer Rd, Santa Cruz, CA 95060 USA.</t>
  </si>
  <si>
    <t>jsantora@ucsc.edu</t>
  </si>
  <si>
    <t>U.S. AMLR program; NSF OPP [9983751, 0337648, 1347911]; Directorate For Geosciences; Office of Polar Programs (OPP) [1347911] Funding Source: National Science Foundation; Office of Polar Programs (OPP); Directorate For Geosciences [9983751] Funding Source: National Science Foundation</t>
  </si>
  <si>
    <t>U.S. AMLR program; NSF OPP(National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</si>
  <si>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We thank the previous participants of the NOAA-NMFS U.S. AMLR field season team for their dedication and assistance at sea. Special thanks to M. P. Force for assistance with visual surveys and to C. S. Reiss, A. Cossio and G. Watters for maintaining the shipboard survey and providing acoustic krill data. We are grateful for the constructive feedback by two anonymous reviewers, which greatly improved this paper. The field portion study was funded in part by the U.S. AMLR program, NSF OPP awards 9983751, 0337648 to R. R. Veit and the synthesis was supported by NSF OPP award 1347911.</t>
  </si>
  <si>
    <t>10.1007/s00227-014-2506-7</t>
  </si>
  <si>
    <t>WOS:000342415200009</t>
  </si>
  <si>
    <t>Bumbaco, KA; Hakim, GJ; Mauger, GS; Hryniw, N; Steig, EJ</t>
  </si>
  <si>
    <t>Bumbaco, Karin A.; Hakim, Gregory J.; Mauger, Guillaume S.; Hryniw, Natalia; Steig, Eric J.</t>
  </si>
  <si>
    <t>Evaluating the Antarctic Observational Network with the Antarctic Mesoscale Prediction System (AMPS)</t>
  </si>
  <si>
    <t>WEST ANTARCTICA; CLIMATE; MCMURDO; GLACIER; MODEL</t>
  </si>
  <si>
    <t>Station siting for environmental observing networks is usually made subjectively, which suggests that the monitoring goals for the network may not be met optimally or cost effectively. In Antarctica, where harsh weather conditions make it difficult to install and maintain stations, practical considerations have largely guided the development of the staffed and automated weather station network. The current network coverage in Antarctica is evaluated as a precursor to optimal network design. The Antarctic Mesoscale Prediction System (AMPS) 0000 UTC analysis is used for 4 years (2008-12) with 15-km horizontal grid spacing, and results show that AMPS reproduces the daily correlations in surface temperature and pressure observed between weather stations across the continent. Temperature correlation length scales are greater in East Antarctica than in West Antarctica (including the Antarctic Peninsula), implying that more stations per unit area are needed to sample weather in West Antarctica compared to East Antarctica. There is variability in the temperature correlation length scales within these regions, emphasizing the need for objective studies such as this one for determining the impact of current and new stations. Further analysis shows that large regions are not well sampled by the current network, particularly on daily time scales. Observations are particularly limited in West Antarctica. Combined with the shorter temperature correlation length scales, this implies that West Antarctica is a compelling location for implementing an objective, optimal network design approach.</t>
  </si>
  <si>
    <t>[Bumbaco, Karin A.] Univ Washington, Joint Inst Study Atmosphere &amp; Ocean, Seattle, WA 98105 USA; [Hakim, Gregory J.; Hryniw, Natalia] Univ Washington, Dept Atmospher Sci, Seattle, WA 98105 USA; [Mauger, Guillaume S.] Univ Washington, Climate Impacts Grp, Seattle, WA 98105 USA; [Steig, Eric J.] Univ Washington, Quaternary Res Ctr, Seattle, WA 98105 USA; [Steig, Eric J.] Univ Washington, Dept Earth &amp; Space Sci, Seattle, WA 98105 USA</t>
  </si>
  <si>
    <t>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t>
  </si>
  <si>
    <t>Bumbaco, KA (corresponding author), Univ Washington, Joint Inst Study Atmosphere &amp; Ocean, 3737 Brooklyn Ave NE, Seattle, WA 98105 USA.</t>
  </si>
  <si>
    <t>kbumbaco@uw.edu</t>
  </si>
  <si>
    <t>Steig, Eric J/G-9088-2015</t>
  </si>
  <si>
    <t>Hakim, Gregory/0000-0001-8486-9739; Mauger, Guillaume/0000-0003-1465-7671</t>
  </si>
  <si>
    <t>NSF [1043090]; Office of Polar Programs (OPP); Directorate For Geosciences [1043090] Funding Source: National Science Foundation</t>
  </si>
  <si>
    <t>This study was supported by NSF Grant 1043090, awarded to the University of Washington. Jordan Powers and Kevin Manning (NCAR) provided access to both the observations and the AMPS gridded data, and for that we are grateful. The authors thank two anonymous reviewers and David Bromwich for thoughtful and useful review comments that helped strengthen this manuscript.</t>
  </si>
  <si>
    <t>10.1175/MWR-D-13-00401.1</t>
  </si>
  <si>
    <t>AQ0OK</t>
  </si>
  <si>
    <t>WOS:000342482400018</t>
  </si>
  <si>
    <t>Laskowski, Z; Rocka, A</t>
  </si>
  <si>
    <t>Laskowski, Zdzislaw; Rocka, Anna</t>
  </si>
  <si>
    <t>Molecular identification larvae of Onchobothrium antarcticum (Cestoda: Tetraphyllidea) from marbled rockcod, Notothenia rossii, in Admiralty Bay (King George Island, Antarctica)</t>
  </si>
  <si>
    <t>ACTA PARASITOLOGICA</t>
  </si>
  <si>
    <t>molecular identification; Onchobothrium antarcticum; Antarctica</t>
  </si>
  <si>
    <t>LIFE-CYCLE; PLATYHELMINTHES; HOST</t>
  </si>
  <si>
    <t>Antarctic bony fishes are infected with cestode larvae belonging to the order Tetraphyllidea (parasites as adults in chondrichthyans). Larvae of the Tetraphyllidea differ from each other in the morphology of their scoleces and represent five forms. There are larvae with bothridia subdivided into one, two and three loculi, bothridia sac-like in shape and bothridia undivided with hook-like projections. Only one species of the family Onchobothriidae, Onchobothrium antarcticum, has been described from Antarctica and larvae with trilocular bothridia were assigned to this cestode species. In this study, ten larvae obtained from Notothenia rossii and three adult specimens of Onchobothrium antarcticum isolated from Bathyraja eatonii were examined. A partial sequence of cytochrome c oxidase subunit 1 of three adult specimens and four larvae was identical. The remaining six larval sequences differed from the sequences obtained from adult cestodes. Partial sequences of lsrDNA of all analyzed larvae were identical. These results confirm the taxonomic affiliation of the larvae with trilocular bothridia parasitizing marbled rockcod in Antarctica as Onchobothrium antarcticum.</t>
  </si>
  <si>
    <t>[Laskowski, Zdzislaw; Rocka, Anna] Polish Acad Sci, W Stefanski Inst Parasitol, PL-00818 Warsaw, Poland</t>
  </si>
  <si>
    <t>Polish Academy of Sciences</t>
  </si>
  <si>
    <t>Laskowski, Z (corresponding author), Polish Acad Sci, W Stefanski Inst Parasitol, Twarda 51-55, PL-00818 Warsaw, Poland.</t>
  </si>
  <si>
    <t>laskowz@twarda.pan.pl</t>
  </si>
  <si>
    <t>Laskowski, Zdzislaw/V-5682-2018</t>
  </si>
  <si>
    <t>Laskowski, Zdzislaw/0000-0001-8542-6307</t>
  </si>
  <si>
    <t>Ministry of Science and Higher Education, Poland [N N303 348435]</t>
  </si>
  <si>
    <t>Ministry of Science and Higher Education, Poland(Ministry of Science and Higher Education, Poland)</t>
  </si>
  <si>
    <t>This study was supported by Grant N N303 348435 from the Ministry of Science and Higher Education, Poland. The authors are very grateful to Professor Krzysztof Zdzitowiecki for parasitic materials.</t>
  </si>
  <si>
    <t>1230-2821</t>
  </si>
  <si>
    <t>1896-1851</t>
  </si>
  <si>
    <t>ACTA PARASITOL</t>
  </si>
  <si>
    <t>Acta Parasitolog.</t>
  </si>
  <si>
    <t>10.2478/s11686-014-0301-8</t>
  </si>
  <si>
    <t>Parasitology; Veterinary Sciences; Zoology</t>
  </si>
  <si>
    <t>AP9YG</t>
  </si>
  <si>
    <t>WOS:000342437400030</t>
  </si>
  <si>
    <t>Nuncio, M; Satheesan, K</t>
  </si>
  <si>
    <t>Nuncio, M.; Satheesan, K.</t>
  </si>
  <si>
    <t>Indian Ocean Dipole and southern high latitude precipitation: possible links</t>
  </si>
  <si>
    <t>Indian Ocean Dipole; Precipitation; Antarctica; Rossby wave trains; Teleconnections</t>
  </si>
  <si>
    <t>ANTARCTIC PENINSULA; MODE EVENTS; VARIABILITY; SNOWFALL; REANALYSIS; CLIMATE; SST</t>
  </si>
  <si>
    <t>Southern high latitude precipitation during austral spring in relation to the Indian Ocean Dipole (IOD) and ENSO is investigated in the present study. Both the IOD and ENSO generate Rossby waves trains that create positive and negative pressure anomalies. These anomalous pressure centres generate meridional moisture fluxes that impact the precipitation. Influence of the IOD is detected mainly in the Ross sea region, where the southward moisture transport induced by the low pressure cell enhances precipitation. During strong IOD years, east Antarctica near 100A degrees E, is also characterised by enhanced precipitation induced by the southward moisture transport by a high pressure cell located south of Australia. In the Dronning Maud Land, precipitation is linked to the moisture advection through the Atlantic during ENSO years and not during the IOD years.</t>
  </si>
  <si>
    <t>[Nuncio, M.; Satheesan, K.] Natl Ctr Antarctic &amp; Ocean Res, Vasco Da Gama 403804, Goa, India</t>
  </si>
  <si>
    <t>Nuncio, M (corresponding author), Natl Ctr Antarctic &amp; Ocean Res, Vasco Da Gama 403804, Goa, India.</t>
  </si>
  <si>
    <t>nuncio@ncaor.gov.in</t>
  </si>
  <si>
    <t>K, Satheesan/B-8495-2009</t>
  </si>
  <si>
    <t>K, Satheesan/0000-0003-1456-7203</t>
  </si>
  <si>
    <t>7-8</t>
  </si>
  <si>
    <t>10.1007/s00382-013-2020-5</t>
  </si>
  <si>
    <t>AQ0SS</t>
  </si>
  <si>
    <t>WOS:000342493600015</t>
  </si>
  <si>
    <t>Müller, MS; Massa, B; Phillips, RA; Dell'Omo, G</t>
  </si>
  <si>
    <t>Mueller, Martina S.; Massa, Bruno; Phillips, Richard A.; Dell'Omo, Giacomo</t>
  </si>
  <si>
    <t>Individual consistency and sex differences in migration strategies of Scopoli's shearwaters Calonectris diomedea despite year differences</t>
  </si>
  <si>
    <t>CURRENT ZOOLOGY</t>
  </si>
  <si>
    <t>Avian migration; GLS loggers; Repeatability; Individual strategies</t>
  </si>
  <si>
    <t>TRANS-EQUATORIAL MIGRATION; FLEXIBILITY; EVOLUTION; MIGRANT; COMMON</t>
  </si>
  <si>
    <t>Recently-developed capabilities for tracking the movements of individual birds over the course of a year or longer has provided increasing evidence for consistent individual differences in migration schedules and destinations. This raises questions about the relative importance of individual consistency versus flexibility in the evolution of migration strategies, and has implications for the ability of populations to respond to climatic change. Using geolocators, we tracked the migrations of Scopoli's shearwaters Calonectris diomedea breeding in Linosa (Italy) across three years, and analysed timing and spatial aspects of their movements. Birds showed remarkable variation in their main wintering destination along the western coast of Africa. We found significant individual consistency in the total distance traveled, time spent in transit, and time that individuals spent in the wintering areas. We found extensive sex differences in scheduling, duration, distances and destinations of migratory journeys. We also found sex differences in the degree of individual consistency in aspects of migration behaviour. Despite strong evidence for individual consistency, which indicates that migration journeys from the same bird tended to be more similar than those of different birds, there remained substantial intra-individual variation between years. Indeed, we also found clear annual differences in departure dates, return dates, wintering period, the total distance traveled and return routes from wintering grounds back to the colony. These findings show that this population flexibly shifts migration schedules as well as routes between years in response to direct or indirect effects of heterogeneity in the environment, while maintaining consistent individual migration strategies</t>
  </si>
  <si>
    <t>[Mueller, Martina S.] Nagoya Univ, Grad Sch Environm Studies, Nagoya, Aichi 4648601, Japan; [Massa, Bruno] Univ Palermo, Dept Agr &amp; Forest Sci, I-90133 Palermo, Italy; [Phillips, Richard A.] British Antarctic Survey, Nat Environm Res Council, Cambridge CB3 0ET, England; [Dell'Omo, Giacomo] Ornis Italica, Rome, Italy</t>
  </si>
  <si>
    <t>Nagoya University; University of Palermo; UK Research &amp; Innovation (UKRI); Natural Environment Research Council (NERC); NERC British Antarctic Survey</t>
  </si>
  <si>
    <t>Müller, MS (corresponding author), Nagoya Univ, Grad Sch Environm Studies, Nagoya, Aichi 4648601, Japan.</t>
  </si>
  <si>
    <t>martina.muller9@gmail.com</t>
  </si>
  <si>
    <t>Krammel, Vera/N-4826-2014</t>
  </si>
  <si>
    <t>Dell'Omo, Giacomo/0000-0002-9601-9675</t>
  </si>
  <si>
    <t>Ornis italica; Regione Siciliana, Assessorato Risorse Agricole e Alimentari; JSPS; [LIFE11 + NAT/IT/000093]; Natural Environment Research Council [bas0100025] Funding Source: researchfish; NERC [bas0100025] Funding Source: UKRI</t>
  </si>
  <si>
    <t>Ornis italica; Regione Siciliana, Assessorato Risorse Agricole e Alimentari; JSPS(Ministry of Education, Culture, Sports, Science and Technology, Japan (MEXT)Japan Society for the Promotion of Science); ; Natural Environment Research Council(UK Research &amp; Innovation (UKRI)Natural Environment Research Council (NERC)); NERC(UK Research &amp; Innovation (UKRI)Natural Environment Research Council (NERC))</t>
  </si>
  <si>
    <t>We wish to thank Paolo Becciu, Giulia Bambini and Viviana Stanzione for helping in the field work. Research permit was issued by the Regione Siciliana. This study was supported by Ornis italica and by the Regione Siciliana, Assessorato Risorse Agricole e Alimentari with a grant to the Ringing Unit of Palermo and LIFE11 + NAT/IT/000093 Pelagic Birds. Thank you to Ken Yoda for support during the writing of this ms. M. Muller was funded by a JSPS postdoctoral fellowship.</t>
  </si>
  <si>
    <t>1674-5507</t>
  </si>
  <si>
    <t>2396-9814</t>
  </si>
  <si>
    <t>CURR ZOOL</t>
  </si>
  <si>
    <t>Curr. Zool.</t>
  </si>
  <si>
    <t>10.1093/czoolo/60.5.631</t>
  </si>
  <si>
    <t>AP8UT</t>
  </si>
  <si>
    <t>WOS:000342355500009</t>
  </si>
  <si>
    <t>Herny, C; Massé, M; Bourgeois, O; Carpy, S; Le Mouélic, S; Appéré, T; Smith, IB; Spiga, A; Rodriguez, S</t>
  </si>
  <si>
    <t>Herny, C.; Masse, M.; Bourgeois, O.; Carpy, S.; Le Mouelic, S.; Appere, T.; Smith, I. B.; Spiga, A.; Rodriguez, S.</t>
  </si>
  <si>
    <t>Sedimentation waves on the Martian North Polar Cap: Analogy with megadunes in Antarctica</t>
  </si>
  <si>
    <t>ice sedimentation waves; megadunes; polar caps; Mars; Antarctica</t>
  </si>
  <si>
    <t>ORBITER LASER ALTIMETER; SNOW GRAIN-SIZE; LAYERED DEPOSITS; MASS-BALANCE; BOUNDARY-LAYER; WATER-ICE; MARS; SURFACE; ACCUMULATION; SUBLIMATION</t>
  </si>
  <si>
    <t>Complex interactions between katabatic winds and the cryosphere may lead to the formation of sedimentation waves at the surface of ice sheets. These have been first described and named snow megadunes in Antarctica. Here we use topographic data, optical images, subsurface radar soundings and spectroscopic data acquired by Mars orbiters, to show that the surface of the Martian North Polar Cap displays two superimposed sets of sedimentation waves with differing wavelengths. These sedimentation waves have similarities with Antarctic snow megadunes regarding their surface morphology, texture, grain size asymmetry, and internal stratigraphic architecture. Both sets of Martian sedimentation waves present young ice and occasional sastrugi fields, indicative of net accumulation, on their shallow-dipping upwind sides, their tops and the intervening troughs. Old layers of dusty ice, indicative of net ablation, are exhumed on the steep-dipping downwind sides of the larger waves. Smooth surfaces of coarse-grained ice, indicative of reduced accumulation associated with sublimation metamorphism, cover the steep-dipping downwind sides of the smaller waves. These surface characteristics and the internal stratigraphy revealed by radar soundings are consistent with the interpretation that both sets of Martian sedimentation waves grow and migrate upwind in response to the development of periodic accumulation/ablation patterns controlled by katabatic winds. The recognition of these sedimentation waves provides the basis for the development of a common model of ice/wind interaction at the surface of Martian and terrestrial glaciers. Martian smaller waves, characterized by reduced net accumulation on their downwind sides, are analogous to Antarctic snow megadunes that have been described so far. A terrestrial equivalent remains to be discovered for the larger Martian waves, characterized by net ablation on their downwind sides. (C) 2014 Elsevier B.V. All rights reserved.</t>
  </si>
  <si>
    <t>[Herny, C.; Bourgeois, O.; Carpy, S.; Le Mouelic, S.] Univ Nantes, Lab Planetol &amp; Geodynam Nantes, CNRS, UMR 6112, F-44322 Nantes 3, France; [Masse, M.] Univ Paris 11, Inst Astrophys Spatiale, CNRS, UMR 8617, F-91405 Orsay, France; [Appere, T.] Univ Grenoble 1, Inst Planetol &amp; Astrophys Grenoble, CNRS, UMR 5274, F-38041 Grenoble 9, France; [Appere, T.; Rodriguez, S.] Univ Paris 07, Lab AIM, CNRS, CEA Saclay,DSM,IRFU,SAp,UMR 7158, F-91191 Gif Sur Yvette, France; [Smith, I. B.; Spiga, A.] Univ Paris 06, Meteorol Dynam Lab, CNRS, UMR 8539, Paris, France</t>
  </si>
  <si>
    <t>Centre National de la Recherche Scientifique (CNRS); Nantes Universite; Sorbonne Universite; Universite Paris Saclay; Centre National de la Recherche Scientifique (CNRS); CNRS - National Institute for Earth Sciences &amp; Astronomy (INSU); Centre National de la Recherche Scientifique (CNRS); Communaute Universite Grenoble Alpes; Universite Grenoble Alpes (UGA); Institut de Planetologie et d'Astrophysique de Grenoble (IPAG); Universite Paris Saclay; CEA; Centre National de la Recherche Scientifique (CNRS); Universite Paris Cite; CNRS - National Institute for Earth Sciences &amp; Astronomy (INSU); Sorbonne Universite; Centre National de la Recherche Scientifique (CNRS); CNRS - National Institute for Earth Sciences &amp; Astronomy (INSU)</t>
  </si>
  <si>
    <t>Herny, C (corresponding author), Univ Nantes, Lab Planetol &amp; Geodynam Nantes, CNRS, UMR 6112, 2 Chemin Houssiniere,BP 92205, F-44322 Nantes 3, France.</t>
  </si>
  <si>
    <t>Spiga, Aymeric/O-4858-2014; Herny, Clémence/AAO-7935-2020; Rodriguez, Sebastien/H-5902-2016; Rodriguez, Sebastien/JAO-0156-2023</t>
  </si>
  <si>
    <t>Rodriguez, Sebastien/0000-0003-1219-0641; Rodriguez, Sebastien/0000-0003-1219-0641; carpy, sabrina/0000-0002-2705-6974; Le Mouelic, Stephane/0000-0001-5260-1367; Smith, Isaac/0000-0002-4331-913X; Appere, Thomas/0000-0001-7555-7100</t>
  </si>
  <si>
    <t>Center National de la Recherche Scientifique (CNRS); Centre National d'Ettudes Spatiales; Institut National des Sciences de l'Univers (INSU); Programme National de Planetologie (PNP); Agence Nationale de la Recherche [ANR-12-BS05-001]; ATLAB project from the European program RegPot; Fundation for Polish Science project (FNP) [TEAM/2011-7/9]; French government (Ministere de l'Enseignement Superieur et de la Recherche)</t>
  </si>
  <si>
    <t>Center National de la Recherche Scientifique (CNRS)(Centre National de la Recherche Scientifique (CNRS)); Centre National d'Ettudes Spatiales; Institut National des Sciences de l'Univers (INSU); Programme National de Planetologie (PNP); Agence Nationale de la Recherche(Agence Nationale de la Recherche (ANR)); ATLAB project from the European program RegPot; Fundation for Polish Science project (FNP); French government (Ministere de l'Enseignement Superieur et de la Recherche)</t>
  </si>
  <si>
    <t>This work benefited from financial supports from the Center National de la Recherche Scientifique (CNRS), Centre National d'Ettudes Spatiales, Institut National des Sciences de l'Univers (INSU), Programme National de Planetologie (PNP), Agence Nationale de la Recherche (Project ANR-12-BS05-001 EXODUNES), ATLAB project from the European program RegPot and the Fundation for Polish Science project (FNP) TEAM/2011-7/9. C. Herny is supported by a Ph.D. research grant from the French government (Ministere de l'Enseignement Superieur et de la Recherche). We thank S. Pochat, S. Doute and L. Perret for the constructive discussions. We are grateful to R. Dadic and an anonymous reviewer for their insightful comments on a preliminary version of the article.</t>
  </si>
  <si>
    <t>OCT 1</t>
  </si>
  <si>
    <t>10.1016/j.epsl.2014.06.033</t>
  </si>
  <si>
    <t>AP7GZ</t>
  </si>
  <si>
    <t>WOS:000342247100006</t>
  </si>
  <si>
    <t>Zhang, CX; Guo, ZT</t>
  </si>
  <si>
    <t>Zhang, Chunxia; Guo, Zhengtang</t>
  </si>
  <si>
    <t>Clay mineral changes across the Eocene-Oligocene transition in the sedimentary sequence at Xining occurred prior to global cooling</t>
  </si>
  <si>
    <t>Eocene-Oligocene transition; Clay minerals; Continental record; Xining basin</t>
  </si>
  <si>
    <t>CLIMATE TRANSITION; TIBETAN PLATEAU; NORTH-AMERICA; TARIM BASIN; CHINA; RECORDS; EXTINCTIONS; EVOLUTION; BOUNDARY; ATLANTIC</t>
  </si>
  <si>
    <t>During the Cenozoic, high-quality long-term sedimentary sequences formed in Xining basin at the northeastern margin of the Tibetan Plateau, which are characterized by alternating gypsiferous layers and reddish mudstone beds. The Tashan section was previously dated in detail by magnetostratigraphy, which yielded an age span of 16 to 35.7 Ma. In this study, bulk and clay mineral assemblages and magnetic parameters of the 33.1-35.7 Ma portion were analyzed using X-ray diffraction and magnetic methods to determine the behavior of the Eocene-Oligocene climate transition. Quartz, calcite, feldspar and clay fractions in sediments that are mainly derived from the surrounding catchments, gypsum and dolomite are authigenic minerals. Illite, chlorite, irregular mixed-layer illite-smectite and smectite are the four main clay-sized fractions (&lt;2 mu m) in the gypsum/gypsiferous layers and the reddish mudstone beds, which suggest that no significant tectonic activity occurred in the catchment area of the Xining basin during the period of 35.7-33.1 Ma. Dominant hematite, illite and gypsum in the sediments indicate that the climate was dominantly hot and dry in the Xining basin. This was controlled by a planetary subtropical aridity zonal pattern; the variations in gypsum, dolomite and smectite content are mainly controlled by the climate changes. The characteristics of the clay mineral assemblages suggest that warm and humid fluctuations with hot and dry conditions prevailed during similar to 35.7-34.1 Ma in inner Asia. This changed to cold and dry conditions at similar to 34.1 Ma and remained so from similar to 34.1 to 33.1 Ma. Comparisons with open ocean marine records and Northern Hemisphere continental records indicate that the climate cooling in continental records occurred prior to the main drop of delta O-18 in foraminifera preserved in marine sediments at Oi-1 (33.545 Ma). This demonstrates that the magnitude of Antarctic ice growth during the EOT was not the major contributor to inner Asian aridification, possibly due to the northward moving of subtropical highs that existed in northwest China and was induced by temperate zones moving during the late Eocene to early Oligocene. (c) 2014 Elsevier B.V. All rights reserved.</t>
  </si>
  <si>
    <t>[Zhang, Chunxia; Guo, Zhengtang] Chinese Acad Sci, Inst Geol &amp; Geophys, Key Lab Cenozo Geol &amp; Environm, Beijing 100029, Peoples R China</t>
  </si>
  <si>
    <t>Chinese Academy of Sciences; Institute of Geology &amp; Geophysics, CAS</t>
  </si>
  <si>
    <t>Zhang, CX (corresponding author), Chinese Acad Sci, Inst Geol &amp; Geophys, 19 Bei Tucheng Xilu, Beijing 100029, Peoples R China.</t>
  </si>
  <si>
    <t>cxzhang@mail.iggcas.ac.cn</t>
  </si>
  <si>
    <t>Guo, Zhengtang/B-6854-2008; Zhang, Chunxia/B-3713-2015</t>
  </si>
  <si>
    <t>Guo, Zhengtang/0000-0003-2259-9715; Zhang, Chunxia/0000-0003-4805-1109</t>
  </si>
  <si>
    <t>Chinese Academy of Sciences [XDB03020500]; National Nature Science Foundation of China [41172159]</t>
  </si>
  <si>
    <t>Chinese Academy of Sciences(Chinese Academy of Sciences); National Nature Science Foundation of China(National Natural Science Foundation of China (NSFC))</t>
  </si>
  <si>
    <t>We are grateful to Editor Thierry Correge and two reviewers and Dr Greig A. Paterson, Prof Haibin Wu, Dr Junyi Ge for their useful suggestions of this study. This study was financially supported by the Strategic Priority Research Program of the Chinese Academy of Sciences, grant no. XDB03020500 and the National Nature Science Foundation of China (grant 41172159).</t>
  </si>
  <si>
    <t>10.1016/j.palaeo.2014.06.031</t>
  </si>
  <si>
    <t>AP7PM</t>
  </si>
  <si>
    <t>WOS:000342269200002</t>
  </si>
  <si>
    <t>Brasso, RL; Polito, MJ; Emslie, SD</t>
  </si>
  <si>
    <t>Brasso, Rebecka L.; Polito, Michael J.; Emslie, Steven D.</t>
  </si>
  <si>
    <t>Multi-tissue analyses reveal limited inter-annual and seasonal variation in mercury exposure in an Antarctic penguin community</t>
  </si>
  <si>
    <t>ECOTOXICOLOGY</t>
  </si>
  <si>
    <t>Mercury; Pygoscelis penguins; Antarctica; Stable isotopes; Trophic level</t>
  </si>
  <si>
    <t>MARINE FOOD-WEB; CHINSTRAP PENGUINS; SEABIRD FEATHERS; STABLE-ISOTOPES; SOUTHERN-OCEAN; PACIFIC-OCEAN; TROPHIC POSITION; EGG COMPONENTS; GENTOO; PREY</t>
  </si>
  <si>
    <t>Inter-annual variation in tissue mercury concentrations in birds can result from annual changes in the bioavailability of mercury or shifts in dietary composition and/or trophic level. We investigated potential annual variability in mercury dynamics in the Antarctic marine food web using Pygoscelis penguins as biomonitors. Eggshell membrane, chick down, and adult feathers were collected from three species of sympatrically breeding Pygoscelis penguins during the austral summers of 2006/2007-2010/2011. To evaluate the hypothesis that mercury concentrations in penguins exhibit significant inter-annual variation and to determine the potential source of such variation (dietary or environmental), we compared tissue mercury concentrations with trophic levels as indicated by delta N-15 values from all species and tissues. Overall, no inter-annual variation in mercury was observed in adult feathers suggesting that mercury exposure, on an annual scale, was consistent for Pygoscelis penguins. However, when examining tissues that reflected more discrete time periods (chick down and eggshell membrane) relative to adult feathers, we found some evidence of inter-annual variation in mercury exposure during penguins' pre-breeding and chick rearing periods. Evidence of inter-annual variation in penguin trophic level was also limited suggesting that foraging ecology and environmental factors related to the bioavailability of mercury may provide more explanatory power for mercury exposure compared to trophic level alone. Even so, the variable strength of relationships observed between trophic level and tissue mercury concentrations across and within Pygoscelis penguin species suggest that caution is required when selecting appropriate species and tissue combinations for environmental biomonitoring studies in Antarctica.</t>
  </si>
  <si>
    <t>[Brasso, Rebecka L.; Emslie, Steven D.] Univ N Carolina, Dept Biol &amp; Marine Biol, Wilmington, NC 28403 USA; [Polito, Michael J.] Woods Hole Oceanog Inst, Woods Hole, MA 02543 USA</t>
  </si>
  <si>
    <t>University of North Carolina; University of North Carolina Wilmington; Woods Hole Oceanographic Institution</t>
  </si>
  <si>
    <t>Brasso, RL (corresponding author), Univ N Carolina, Dept Biol &amp; Marine Biol, 601 South Coll Rd, Wilmington, NC 28403 USA.</t>
  </si>
  <si>
    <t>rlbrasso@uncg.edu</t>
  </si>
  <si>
    <t>Polito, Michael/G-9118-2012; Brasso, Rebecka L/I-7014-2013</t>
  </si>
  <si>
    <t>Polito, Michael/0000-0001-8639-4431;</t>
  </si>
  <si>
    <t>United States National Science Foundation Office of Polar Programs grant [ANT0739575]; Directorate For Geosciences; Office of Polar Programs (OPP) [0739575] Funding Source: National Science Foundation</t>
  </si>
  <si>
    <t>United States National Science Foundation Office of Polar Programs grant; Directorate For Geosciences; Office of Polar Programs (OPP)(National Science Foundation (NSF)NSF - Directorate for Geosciences (GEO))</t>
  </si>
  <si>
    <t>Funding for this research was provided by a United States National Science Foundation Office of Polar Programs grant (Grant No. ANT0739575) to S. Emslie, M. Polito, and W. Patterson. For their assistance with sample collection we thank the US Antarctic Marine Living Resources program researchers at the Admiralty Bay field camps including W. Trivelpiece, and S. Trivelpiece. We thank Raytheon Polar Services and Lockheed Martin for logistical support. D. Besic, B. Drummond, K. Durenberger, E. Guber, A. Hydrusko, T. Prokopiuk, C. Tobias and E. Unger provided helpful assistance with sample preparation and stable isotope analysis. This study was conducted under approved animal use protocols from the Institutional Animal Care and Use Committees at the University of California San Diego (S05480) and the University of North Carolina Wilmington (A0910-020) and in accordance to Antarctic Conservation Act permits provided by NSF OPP to S. Emslie (2006-001), R. Holt (2008-008) and G. Watters (2011-05).</t>
  </si>
  <si>
    <t>0963-9292</t>
  </si>
  <si>
    <t>1573-3017</t>
  </si>
  <si>
    <t>Ecotoxicology</t>
  </si>
  <si>
    <t>10.1007/s10646-014-1291-x</t>
  </si>
  <si>
    <t>Ecology; Environmental Sciences; Toxicology</t>
  </si>
  <si>
    <t>AP6TN</t>
  </si>
  <si>
    <t>WOS:000342210700013</t>
  </si>
  <si>
    <t>Baillie, SM; Ritchie, PA; Brunton, DH</t>
  </si>
  <si>
    <t>Baillie, Shauna M.; Ritchie, Peter A.; Brunton, Dianne H.</t>
  </si>
  <si>
    <t>Population genetic connectivity of an endemic New Zealand passerine after large-scale local extirpations: a model of re-colonization potential</t>
  </si>
  <si>
    <t>dispersal; gene flow; habitat loss; Korimako; population structure; re-colonization potential</t>
  </si>
  <si>
    <t>F-STATISTICS; SOFTWARE; PATTERNS; DIFFERENTIATION; CONSERVATION; DIVERGENCE; BOTTLENECK; DIVERSITY; INFERENCE; DISTANCE</t>
  </si>
  <si>
    <t>Little is known about how a 70% loss of native forests has affected the genetic connectivity of remnant bird populations in New Zealand. We use the common and widely distributed New Zealand Bellbird Anthornis melanura as an indicator species of population connectivity for well-flighted birds. Using eight microsatellite loci, we identified five main genetic populations in the North Island, South Island, sub-Antarctic Auckland Islands and two small remnant island populations adjacent to a large region of avian extirpations in northern North Island. Only one remnant island population, on a 30-year-old conservation reserve at Tiritiri Matangi, displayed a clear signature of recent genetic bottleneck. The 7% migration rate at Tiritiri Matangi indicates that bottlenecks can be maintained despite habitat rehabilitation, possibly through behavioural barriers to gene flow. Adjacent to the same extirpation zone, Bellbirds on the Poor Knights Islands were found to have low genetic diversity and low re-colonization potential. Two gaps concordant with deforestation patterns separated the Kapiti Coast of southern North Island from populations to both the north and the south. In summary, we identified linked avian habitats, as well as isolated and inbred populations and suggest that Bellbirds are good re-colonizers. We emphasize the importance of genetic studies that assess animal dispersal among newly rehabilitated habitat patches.</t>
  </si>
  <si>
    <t>[Baillie, Shauna M.; Brunton, Dianne H.] Massey Univ, Inst Nat &amp; Math Sci, Auckland, New Zealand; [Baillie, Shauna M.; Ritchie, Peter A.] Victoria Univ Wellington, Sch Biol Sci, Wellington, New Zealand</t>
  </si>
  <si>
    <t>Massey University; Victoria University Wellington</t>
  </si>
  <si>
    <t>Baillie, SM (corresponding author), Dalhousie Univ, Marine Gene Probe Lab, Life Sci Ctr, 1355 Oxford St,POB 15000, Halifax, NS B3H 4R2, Canada.</t>
  </si>
  <si>
    <t>Shauna.Baillie@Dal.Ca</t>
  </si>
  <si>
    <t>Ritchie, Peter/0000-0002-8351-7931</t>
  </si>
  <si>
    <t>Canadian Natural Science and Engineering Research Council Post Graduate Student scholarship; New Zealand Institute of Natural Resources Massey University</t>
  </si>
  <si>
    <t>This study was funded by a Canadian Natural Science and Engineering Research Council Post Graduate Student scholarship to S. M. B. and the New Zealand Institute of Natural Resources Massey University. All blood collection from birds was performed under permit of the New Zealand Department of Conservation (DOC), Auckland Regional Council and Massey University Animal Ethics Committee. Gracious thanks go especially to Jordi Segers, Morag Fordham and Simon Fordham, and also to Barbara Elgi, Eva Krause and Birgit Ziesemann who helped capture Bellbirds in the Hauraki Gulf. Michael Anderson and Yuri Shanas were crucial to fieldwork at the Poor Knights Islands. Graeme Elliott of DOC generously collected blood samples from the Auckland Islands. Finally, we extend many thanks especially to Sebastien Rioux-Paquette, and also to Monica Gruber, Elizabeth Heeg, Hilary Miller, Kristina Ramstad, Rauri Bowie and anonymous reviewers for providing comments, literature and insight on this and earlier versions of the manuscript.</t>
  </si>
  <si>
    <t>10.1111/ibi.12182</t>
  </si>
  <si>
    <t>AP2EM</t>
  </si>
  <si>
    <t>WOS:000341885300011</t>
  </si>
  <si>
    <t>Motokawa, S; Hattori, H; Sasaki, H; Taguchi, S</t>
  </si>
  <si>
    <t>Motokawa, Shozo; Hattori, Hiroshi; Sasaki, Hiroshi; Taguchi, Satoru</t>
  </si>
  <si>
    <t>Photoprotective acclimation of micro- and nano-size phytoplankton assemblages in the Indian sector of the Southern Ocean</t>
  </si>
  <si>
    <t>De-epoxidation state; Euphotic layer; Microsize fraction; Nano-size fraction; Surface mixed layer; Xanthophyll pigments</t>
  </si>
  <si>
    <t>PHAEOCYSTIS-ANTARCTICA; FRAGILARIOPSIS-CYLINDRUS; MARINE-PHYTOPLANKTON; BACILLARIOPHYCEAE; FLUORESCENCE; PIGMENTS; SEA; PHOTOPHYSIOLOGY; PHOTOADAPTATION; PHOTOSYNTHESIS</t>
  </si>
  <si>
    <t>Phytoplankton in the mixed layer is exposed to increasing levels of light when transported to the surface layer of the ocean. The photoprotective response of natural assemblages of phytoplankton can differ among community structures. We investigated photoprotective acclimation and xanthophyll cycle pigments in size-fractionated natural phytoplankton assemblages during the austral summer in the Indian sector of the Southern Ocean. We estimated concentrations of phytoplankton pigments in the micro-size fractions (&gt; 20 mu m) and nano-size fractions (2-20 mu m) by subtracting concentrations in the &lt; 20 mu m fractions from concentrations in the bulk samples, and by subtracting concentrations in the &lt; 2 mu m fractions from concentrations in the &lt; 20 mu m fractions, respectively. Changes in the ratios of the xanthophyll cycle pigments diadinoxanthin (DD) and diatoxanthin (DT) were determined at three optical depths in the mixed layer and during 48 h deck incubations under solar photosynthetically available radiation and ultraviolet radiation. Large variations in (DD + DT)/Chl a in the mixed layer (percent coefficient of variation &gt; 67 %) and in deck incubation bottles under variable light conditions (&gt; 75 % of the temporal variation) for the micro-size fractions suggest a higher potential for photoprotective acclimation than for the nano-size fractions. Decreases in DT/(DD + DT) with increases in the optical depth of the mixed layer (zeta (MLD)) suggest that larger variations in light availability in the mixed layer might predict lower values of DT/(DD + DT) at the surface, regardless of cell size.</t>
  </si>
  <si>
    <t>[Motokawa, Shozo; Taguchi, Satoru] Soka Univ, Hachioji, Tokyo 1928577, Japan; [Hattori, Hiroshi] Tokai Univ, Sapporo, Hokkaido 0058601, Japan; [Sasaki, Hiroshi] Ishinomaki Senshu Univ, Ishinomaki, Miyagi 9868580, Japan</t>
  </si>
  <si>
    <t>Soka University; Tokai University</t>
  </si>
  <si>
    <t>Taguchi, S (corresponding author), Soka Univ, 1-236 Tangi Cho, Hachioji, Tokyo 1928577, Japan.</t>
  </si>
  <si>
    <t>staguchi@soka.ac.jp</t>
  </si>
  <si>
    <t>Motokawa, Shozo/0000-0002-4060-0946</t>
  </si>
  <si>
    <t>RAMEEC (Responses of Antarctic Marine Ecosystems to global Environmental Changes with Carbonate systems) project of JARE; Grants-in-Aid for Scientific Research [26340011] Funding Source: KAKEN</t>
  </si>
  <si>
    <t>RAMEEC (Responses of Antarctic Marine Ecosystems to global Environmental Changes with Carbonate systems) project of JARE; Grants-in-Aid for Scientific Research(Ministry of Education, Culture, Sports, Science and Technology, Japan (MEXT)Japan Society for the Promotion of ScienceGrants-in-Aid for Scientific Research (KAKENHI))</t>
  </si>
  <si>
    <t>The authors wish to thank G. Hashida and M. Moteki for supporting the cruises and this study. The authors also wish to thank V.S. Kuwahara, T. Hirawake, T. Iida, S. Takao, and H. Endo for providing technical support for the experiments. The authors also wish to thank the captain, officers, and crew of the TR/V Umitaka-maru, the students of the Tokyo University of Marine Science and Technology, and the scientists of JARE-52 and -53, especially F. Akiha and S. Suganami, for technical assistance with sampling. This work was supported in part by the RAMEEC (Responses of Antarctic Marine Ecosystems to global Environmental Changes with Carbonate systems) project of JARE. We thank the anonymous reviewers for their constructive suggestions and comments.</t>
  </si>
  <si>
    <t>10.1007/s00300-014-1527-5</t>
  </si>
  <si>
    <t>AP6ZW</t>
  </si>
  <si>
    <t>WOS:000342228200001</t>
  </si>
  <si>
    <t>Pérez-Barros, P; Lovrich, GA; Calcagno, JA; Confalonieri, VA</t>
  </si>
  <si>
    <t>Perez-Barros, Patricia; Lovrich, Gustavo A.; Calcagno, Javier A.; Confalonieri, Viviana A.</t>
  </si>
  <si>
    <t>Is Munida gregaria (Crustacea: Decapoda: Munididae) a truly transpacific species?</t>
  </si>
  <si>
    <t>Marine biogeography; Squat lobsters; East Pacific Barrier; Antarctic Circumpolar Current; COI; ND1</t>
  </si>
  <si>
    <t>SQUAT LOBSTERS; BEAGLE CHANNEL; SOUTHERN-OCEAN; GENE FLOW; TIME DEPENDENCY; ANOMURA; PACIFIC; DNA; GALATHEIDAE; DIVERGENCE</t>
  </si>
  <si>
    <t>The East Pacific Barrier has been recognized as the World's largest marine biogeographic barrier. Munida gregaria is the only species of its family with transpacific populations; however, it still remains to be elucidated whether these two distantly located populations belong to the same species. In this study, we investigated the genetic cohesion of M. gregaria across the East Pacific Barrier by analyzing mitochondrial markers. Cytochrome oxidase subunit I and NADH dehydrogenase subunit 1 genes were sequenced for individuals from different areas, i.e., the southeast Pacific, the southern tip of South America, the southwest Atlantic, and the southwest Pacific. A median-joining network, pairwise F (ST)s, genetic diversity statistics, and neutrality tests were computed. Our results, i.e., the absence of different haplogroups on both sides of the East Pacific Barrier and existence of shared haplotypes, showed that populations on both sides of this barrier belong to the same species. At a population genetic level, our results suggest that individuals from both regions have been connected, since although some differentiation was found between the southern tip of South America and the southwest Pacific, the southeast Pacific and southwest Atlantic showed no signs of differentiation from the southwest Pacific. In addition, our results provided evidence of a population expansion in southern South America during the Pleistocene. The role of Pleistocene glaciations and the Antarctic Circumpolar Current in shaping the distribution of sub-Antarctic marine invertebrates is discussed.</t>
  </si>
  <si>
    <t>[Perez-Barros, Patricia; Calcagno, Javier A.; Confalonieri, Viviana A.] Univ Buenos Aires, Fac Ciencias Exactas &amp; Nat, Dept Ecol Genet &amp; Evoluc, IEGEBA CONICET UBA, Buenos Aires, DF, Argentina; [Lovrich, Gustavo A.] Consejo Nacl Invest Cient &amp; Tecn, Ctr Austral Invest Cient CADIC, Ushuaia, Tierra Del Fueg, Argentina</t>
  </si>
  <si>
    <t>Pérez-Barros, P (corresponding author), Univ Buenos Aires, Fac Ciencias Exactas &amp; Nat, Dept Ecol Genet &amp; Evoluc, IEGEBA CONICET UBA, Ciudad Univ,Pabellon 2,4 Piso,C1428EHA, Buenos Aires, DF, Argentina.</t>
  </si>
  <si>
    <t>patopb@yahoo.com</t>
  </si>
  <si>
    <t>Lovrich, Gustavo/0000-0001-8424-6566; Confalonieri, Viviana Andrea/0000-0003-4499-9816</t>
  </si>
  <si>
    <t>UBACyT X030</t>
  </si>
  <si>
    <t>The authors thank Barbara Williams, Karen Neely, Leonardo Venerus, Cecilia Avalos, Roxana Leon Lazo, and Cecilia Ravalli for kindly providing us samples from different localities; Silvia Pietrokovsky for revising the English; and three anonymous reviewers for their comments, which greatly improved this manuscript. This project was funded by UBACyT X030.</t>
  </si>
  <si>
    <t>10.1007/s00300-014-1531-9</t>
  </si>
  <si>
    <t>WOS:000342228200004</t>
  </si>
  <si>
    <t>Scioscia, G; Rey, AR; Samaniego, RAS; Florentín, O; Schiavini, A</t>
  </si>
  <si>
    <t>Scioscia, Gabriela; Raya Rey, Andrea; Saenz Samaniego, Ricardo A.; Florentin, Olga; Schiavini, Adrian</t>
  </si>
  <si>
    <t>Intra- and interannual variation in the diet of the Magellanic penguin (Spheniscus magellanicus) at Martillo Island, Beagle Channel</t>
  </si>
  <si>
    <t>Diet composition; Seabirds; Sub-Antarctic; Temporal fluctuation; Tierra del Fuego</t>
  </si>
  <si>
    <t>MUNIDA-SUBRUGOSA CRUSTACEA; TIERRA-DEL-FUEGO; FALKLAND ISLANDS; BECHERVAISE ISLAND; FORAGING BEHAVIOR; EAST ANTARCTICA; PELAGIC FISH; ARGENTINA; ABUNDANCE; DECAPODA</t>
  </si>
  <si>
    <t>Knowledge of seabirds' diet at each breeding site and its temporal variation is key to understanding and evaluating how changes in marine resources affect each seabird population. In this study, we determined the diet of Magellanic penguins (MP, Spheniscus magellanicus) at Martillo Island, accounting for sex, breeding stage and year. We analyzed a total of 144 stomach contents during three consecutive breeding seasons (2006-2007, 2007-2008 and 2008-2009) and stages (incubation, early and late chick-rearing). MP fed mainly on fuegian sprat (Sprattus fuegensis), which represented 75 % of the biomass consumed by birds during the entire study. The next important prey was squat lobster (Munida gregaria), followed by Patagonian squid (Loligo gahi). Both sexes consumed similar prey items. We observed variation in diet relative composition among breeding years and stages. Fuegian sprat consumption decreased throughout the years whereas squat lobster increased. Penguins consumed a higher proportion of squat lobster and Patagonian squid during the incubation stage than in the chick-rearing stages, whereas fuegian sprat was almost the only prey item consumed during the late chick-rearing stage. MPs show certain flexibility in the use of resources probably as a response to changes in prey populations. Variability in the diet among different reproductive stages could be related to changes in the distribution and abundance of their main prey near the colony during the breeding season together with changes in the energy requirements of seabirds.</t>
  </si>
  <si>
    <t>[Scioscia, Gabriela; Raya Rey, Andrea; Saenz Samaniego, Ricardo A.; Florentin, Olga; Schiavini, Adrian] Consejo Nacl Invest Cient &amp; Tecn, Ctr Austral Invest Cient CADIC, RA-9410 Ushuaia, Tierra Del Fueg, Argentina; [Schiavini, Adrian] Wildlife Conservat Soc, Bronx, NY 10460 USA</t>
  </si>
  <si>
    <t>Consejo Nacional de Investigaciones Cientificas y Tecnicas (CONICET); Wildlife Conservation Society</t>
  </si>
  <si>
    <t>Scioscia, G (corresponding author), Consejo Nacl Invest Cient &amp; Tecn, Ctr Austral Invest Cient CADIC, Bernardo Houssay 200, RA-9410 Ushuaia, Tierra Del Fueg, Argentina.</t>
  </si>
  <si>
    <t>gscioscia@gmail.com</t>
  </si>
  <si>
    <t>Raya Rey, Andrea/0000-0003-0127-6650; Schiavini, Adrian Carlos Miguel/0000-0001-6621-4827</t>
  </si>
  <si>
    <t>Consejo Nacional de Investigaciones Cientificas y Tecnicas (CONICET)(Consejo Nacional de Investigaciones Cientificas y Tecnicas (CONICET)); Wildlife Conservation Society</t>
  </si>
  <si>
    <t>This research was made possible through the support of the Consejo Nacional de Investigaciones Cientificas y Tecnicas (CONICET). Financial support was provided by the Wildlife Conservation Society. We thank Jorge, Andres and Alejandro Greco from Piratur for logistic support and transportation to the island. We are also grateful to Museo Acatushun and Natalie Goodall. We thank Mariano Diez,Federico Tapella, Marcela Liljesthrom, Natalia Paso Viola, Noelia Volpe, Guillermo Panisse, M. Florencia Colavita, Alfredo Barreto, Constanza Alberio, Natalia Dellabianca, N. Rosciano and M. Paula Sotelano for field and/or laboratory assistance and Marcela Liljesthrom for advice on language. We are grateful to the editor and three anonymous reviewers for providing useful suggestions to improve the manuscript.</t>
  </si>
  <si>
    <t>10.1007/s00300-014-1532-8</t>
  </si>
  <si>
    <t>WOS:000342228200005</t>
  </si>
  <si>
    <t>Roberts, D; Howard, WR; Roberts, JL; Bray, SG; Moy, AD; Trull, TW; Hopcroft, RR</t>
  </si>
  <si>
    <t>Roberts, Donna; Howard, William R.; Roberts, Jason L.; Bray, Stephen G.; Moy, Andrew D.; Trull, Thomas W.; Hopcroft, Russell R.</t>
  </si>
  <si>
    <t>Diverse trends in shell weight of three Southern Ocean pteropod taxa collected with Polar Frontal Zone sediment traps from 1997 to 2007</t>
  </si>
  <si>
    <t>Southern Ocean; Polar Frontal Zone; Sediment traps; Pteropod; Aragonite; Ocean acidification</t>
  </si>
  <si>
    <t>EMILIANIA-HUXLEYI; CARBON-DIOXIDE; ROSS SEA; ARAGONITE; ACIDIFICATION; SEAWATER; IMPACT; FLUXES; CYCLE; CALCIFICATION</t>
  </si>
  <si>
    <t>The impact of ocean acidification on key ocean calcifiers is predicted to be imminent, particularly in high-latitude ecosystems. Long-term field observations are essential to ground truth predictions of change in regional ecosystems. Here, we report on aragonitic pteropods collected to sediment traps at 800 m depth at 54A degrees S, 140A degrees E in the Polar Frontal Zone (PFZ) of the Southern Ocean from 1997 to 2007. Statistically significant trends were not identified in either mass or number flux from 1997 to 2007; however, differences emerged in decadal trends seen in shell weight for each of the three common taxa collected: Limacina helicina antarctica forma antarctica shells became significantly lighter (P &lt; 0.05), L. retroversa australis shells became significantly heavier (P &lt; 0.05) and L. helicina antarctica forma rangi shells did not change significantly. These results suggest that factors other than ocean acidification affect pteropod population variations on decadal timescales, with the potential to either amplify or counter the impact of decreasing aragonite saturation state, at least in the short term. Comparison to sea surface temperature and chlorophyll biomass did not identify these as significant drivers of the observed changes, and attribution across these multiple variables requires better understanding of pteropod physiology and ecology. Our PFZ pelagic pteropod observations provide a reference for evaluation of southern polar pteropod responses to changing ocean conditions in coming decades. Importantly, these data also raise the issue of taxonomic care when monitoring the region for impacts of ocean acidification on calcifiers.</t>
  </si>
  <si>
    <t>[Roberts, Donna; Roberts, Jason L.; Bray, Stephen G.; Moy, Andrew D.; Trull, Thomas W.] Univ Tasmania, Antarctic Climate &amp; Ecosyst Cooperat Res Ctr, Hobart, Tas 7001, Australia; [Howard, William R.] Univ Melbourne, Sch Earth Sci, Melbourne, Vic 3010, Australia; [Roberts, Jason L.; Moy, Andrew D.] Australian Antarctic Div, Dept Environm, Kingston, Tas 7050, Australia; [Trull, Thomas W.] CSIRO, Marine &amp; Atmospher Res, Hobart, Tas 7000, Australia; [Trull, Thomas W.] Univ Tasmania, Inst Marine &amp; Antarctic Studies, Hobart, Tas 7001, Australia; [Hopcroft, Russell R.] Univ Alaska Fairbanks, Inst Marine Sci, Fairbanks, AK 99775 USA</t>
  </si>
  <si>
    <t>Antarctic Climate &amp; Ecosystems Cooperative Research Centre (ACE CRC); University of Tasmania; University of Melbourne; Melbourne Bioinformatics; Australian Antarctic Division; Commonwealth Scientific &amp; Industrial Research Organisation (CSIRO); University of Tasmania; University of Alaska System; University of Alaska Fairbanks</t>
  </si>
  <si>
    <t>Roberts, D (corresponding author), Univ Tasmania, Antarctic Climate &amp; Ecosyst Cooperat Res Ctr, Private Bag 80, Hobart, Tas 7001, Australia.</t>
  </si>
  <si>
    <t>D.Roberts@acecrc.org.au</t>
  </si>
  <si>
    <t>Hopcroft, Russell R/I-6286-2012; Trull, Tom W/B-7028-2014; Roberts, Jason L/B-2235-2012</t>
  </si>
  <si>
    <t>Roberts, Jason L/0000-0002-3477-4069; Roberts, Donna/0000-0001-6701-6662</t>
  </si>
  <si>
    <t>Australian Government through the Department of Climate Change and Energy Efficiency, Australian Cooperative Research Centres Program, the Australian Antarctic Sciences program [1156]; Australian Marine National Facility</t>
  </si>
  <si>
    <t>Australian Government through the Department of Climate Change and Energy Efficiency, Australian Cooperative Research Centres Program, the Australian Antarctic Sciences program(Australian GovernmentDepartment of Industry, Innovation and ScienceCooperative Research Centres (CRC) Programme); Australian Marine National Facility</t>
  </si>
  <si>
    <t>This work by the Australian Government through the Department of Climate Change and Energy Efficiency, Australian Cooperative Research Centres Program, the Australian Antarctic Sciences program (AAS # 1156) and the Australian Marine National Facility. Chl-a analyses and visualizations used in this paper were produced with the Giovanni online data system, developed and maintained by the NASA GES DISC. We thank three anonymous reviewers for their comprehensive reviews, which greatly enhanced the final manuscript.</t>
  </si>
  <si>
    <t>10.1007/s00300-014-1534-6</t>
  </si>
  <si>
    <t>Green Submitted, Green Accepted, hybrid</t>
  </si>
  <si>
    <t>WOS:000342228200007</t>
  </si>
  <si>
    <t>Hashim, NHF; Sulaiman, S; Abu Bakar, FD; Illias, RM; Kawahara, H; Najimudin, N; Mahadi, NM; Murad, AMA</t>
  </si>
  <si>
    <t>Hashim, Noor Haza Fazlin; Sulaiman, Suhaila; Abu Bakar, Farah Diba; Illias, Rosli Md; Kawahara, Hidehisa; Najimudin, Nazalan; Mahadi, Nor Muhammad; Murad, Abdul Munir Abdul</t>
  </si>
  <si>
    <t>Molecular cloning, expression and characterisation of Afp4, an antifreeze protein from Glaciozyma antarctica</t>
  </si>
  <si>
    <t>Thermal hysteresis; Inhibition of recrystallisation; Homology modelling; Heterologous protein expression</t>
  </si>
  <si>
    <t>ICE-BINDING PROTEIN; YEAST; INHIBITION; ADSORPTION; PREDICTION; MECHANISM; ALIGNMENT; GROWTH; PI12</t>
  </si>
  <si>
    <t>Antifreeze proteins (AFPs) are proteins with affinity towards ice and contribute to the survival of psychrophiles in subzero environment. Limited studies have been conducted on how AFPs from psychrophilic yeasts interact with ice. In this study, we describe the functional properties of an antifreeze protein from a psychrophilic Antarctic yeast, Glaciozyma antarctica. A cDNA encoding the antifreeze protein, AFP4, from G. antarctica PI12 was amplified from the mRNA extracted from cells grown at 4 A degrees C. Sequence characterisation of Afp4 showed high similarity to fungal AFPs from Leucosporidium sp. AY30, LeIBP (93 %). The 786-bp cDNA encodes a 261-amino-acid protein with a theoretical pI of 4.4. Attempts to produce the recombinant Afp4 in Escherichia coli resulted in the formation of inclusion bodies (IB). The IB were subsequently denatured and refolded by dilution. Gel filtration confirmed that the refolded recombinant Afp4 is monomeric with molecular mass of similar to 25 kDa. Thermal hysteresis (TH) and recrystallisation inhibition assays confirmed the function of Afp4 as an antifreeze protein. In the presence of Afp4, ice crystals were modified into hexagonal shapes with TH values of 0.08 A degrees C and smaller ice grains were observed compared with solutions without AFP. Structural analyses via homology modelling showed that Afp4 folds into beta-helices with three distinct faces: a, b and c. Superimposition analyses predicted the b-face as the ice-binding surface of Afp4, whereby the mechanism of interaction is driven by hydrophobic interactions and the flatness of surface. This study may contribute towards an understanding of AFPs from psychrophilic yeasts.</t>
  </si>
  <si>
    <t>[Hashim, Noor Haza Fazlin; Sulaiman, Suhaila; Abu Bakar, Farah Diba; Murad, Abdul Munir Abdul] Univ Kebangsaan Malaysia, Sch Biosci &amp; Biotechnol, Fac Sci &amp; Technol, Bangi 43600, Selangor, Malaysia; [Illias, Rosli Md] Univ Teknol Malaysia, Fac Chem &amp; Nat Resources Engn, Dept Bioproc Engn, Skudai 81310, Kagawa, Malaysia; [Kawahara, Hidehisa] Kansai Univ, Dept Life Sci &amp; Biotechnol, Suita, Osaka 5648680, Japan; [Najimudin, Nazalan] Univ Sains Malaysia, Sch Biol Sci, George Town 11800, Malaysia; [Mahadi, Nor Muhammad] Malaysia Genome Inst, Kajang 43000, Selangor, Malaysia</t>
  </si>
  <si>
    <t>Universiti Kebangsaan Malaysia; Universiti Teknologi Malaysia; Kansai University; Universiti Sains Malaysia</t>
  </si>
  <si>
    <t>Murad, AMA (corresponding author), Univ Kebangsaan Malaysia, Sch Biosci &amp; Biotechnol, Fac Sci &amp; Technol, Bangi 43600, Selangor, Malaysia.</t>
  </si>
  <si>
    <t>munir@ukm.edu.my</t>
  </si>
  <si>
    <t>Najimudin, Nazalan/B-2952-2011; Sulaiman, Suhaila/AAK-1612-2020; Sulaiman, Suhaila/J-4350-2019; Murad, Abdul/CAG-9324-2022; Abdul Murad, Abdul Munir/L-8575-2017</t>
  </si>
  <si>
    <t>Sulaiman, Suhaila/0000-0002-6781-4493; Abdul Murad, Abdul Munir/0000-0001-6402-7198; Hashim, Noor Haza Fazlin/0000-0002-6385-6469</t>
  </si>
  <si>
    <t>Ministry of Science, Technology and Innovation (MOSTI), Malaysia [10-05-16-MB002, 07-05-MGI-GMB014]; Australian Antarctic Division; Malaysian Antarctic Research Programme (MARP) of the Academy of Science, Malaysia</t>
  </si>
  <si>
    <t>Ministry of Science, Technology and Innovation (MOSTI), Malaysia(Ministry of Energy, Science, Technology, Environment and Climate Change (MESTECC), Malaysia); Australian Antarctic Division; Malaysian Antarctic Research Programme (MARP) of the Academy of Science, Malaysia</t>
  </si>
  <si>
    <t>This research was funded by the Ministry of Science, Technology and Innovation (MOSTI), Malaysia, under the research grants 10-05-16-MB002 and 07-05-MGI-GMB014. We thank Professor William J. Broughton for critical reading the manuscript and helpful comments. We acknowledge support given by the Australian Antarctic Division and the Malaysian Antarctic Research Programme (MARP) of the Academy of Science, Malaysia.</t>
  </si>
  <si>
    <t>10.1007/s00300-014-1539-1</t>
  </si>
  <si>
    <t>WOS:000342228200011</t>
  </si>
  <si>
    <t>Moreira, E; Juáres, M; Barrera-Oro, E</t>
  </si>
  <si>
    <t>Moreira, Eugenia; Juares, Mariana; Barrera-Oro, Esteban</t>
  </si>
  <si>
    <t>Dietary overlap among early juvenile stages in an Antarctic notothenioid fish assemblage at Potter Cove, South Shetland Islands</t>
  </si>
  <si>
    <t>Juvenile fish; Food competition; Trophic ecology; Antarctic ecosystem</t>
  </si>
  <si>
    <t>TERRA-NOVA BAY; FEEDING ECOLOGY; FOOD; MARINE; HABITS; PISCES</t>
  </si>
  <si>
    <t>To date, studies of food overlap in Antarctic fish have been performed on a mixture of late juvenile and adult stages, leaving the young immature specimens (TL a parts per thousand currency sign 10 cm) practically unexplored. We studied diet overlap and potential competition among early juvenile individuals in a coastal notothenioid community at Potter Cove, by analysing the stomach contents of 225 fish of 5 species collected in the summer of 2009-2010. We used frequency of occurrence (F %) and the coefficient Q for diet evaluation and the method of Tyler and the similarity index S for food overlap. Amphipods of the suborder Gammaridea were the main (Q &gt; 2.900) and most frequent (% F) prey for all species, although Notothenia coriiceps also consumed gastropods of the family Littorinidae, mostly Laevilitorina antarctica. Secondary prey were algae for Notothenia rossii and N. coriiceps, calanoid (pelagic) and harpacticoid (benthic) copepods for Trematomus newnesi and the latter copepods and isopods of the family Munnidae for Lepidonotothen nudifrons. The reoccurrence of prey among fish species was 39.6 % and food overlap between 90 % of species pairs was under 58 %. Because similarly low values of diet overlap were reported for intermediate/advanced juveniles and adults of the same species at the same site, we conclude that there is no difference in the degree of interspecific food overlap and therefore potential competition between the immature and mature fraction of the fish community. Food competition is avoided by resource partitioning along a depth gradient or by different prey species.</t>
  </si>
  <si>
    <t>[Moreira, Eugenia; Juares, Mariana; Barrera-Oro, Esteban] Inst Antartico Argentino, Buenos Aires, DF, Argentina; [Moreira, Eugenia; Barrera-Oro, Esteban] Consejo Nacl Invest Cient &amp; Tecn, RA-1033 Buenos Aires, DF, Argentina; [Barrera-Oro, Esteban] Museo Argentino Ciencias Nat Bernardino Rivadavia, Buenos Aires, DF, Argentina</t>
  </si>
  <si>
    <t>Instituto Antartico Argentino; Consejo Nacional de Investigaciones Cientificas y Tecnicas (CONICET); Museo Argentino de Ciencias Naturales Bernardino Rivadavia (MACN)</t>
  </si>
  <si>
    <t>Moreira, E (corresponding author), Inst Antartico Argentino, Balcarce 290,CP C1064AAF, Buenos Aires, DF, Argentina.</t>
  </si>
  <si>
    <t>eugeniamoreira@yahoo.com.ar</t>
  </si>
  <si>
    <t>Juares, Mariana A./0000-0002-6763-0416; MOREIRA, EUGENIA/0000-0002-3704-1696</t>
  </si>
  <si>
    <t>10.1007/s00300-014-1545-3</t>
  </si>
  <si>
    <t>WOS:000342228200012</t>
  </si>
  <si>
    <t>Velasco-Castrillón, A; Gibson, JAE; Stevens, MI</t>
  </si>
  <si>
    <t>Velasco-Castrillon, Alejandro; Gibson, John A. E.; Stevens, Mark I.</t>
  </si>
  <si>
    <t>A review of current Antarctic limno-terrestrial microfauna</t>
  </si>
  <si>
    <t>Tardigrada; Rotifera; Nematoda; DNA barcoding; Antarctic Conservation Biogeographic Regions (ACBR)</t>
  </si>
  <si>
    <t>DRONNING-MAUD-LAND; VICTORIA LAND; EAST ANTARCTICA; LARSEMANN HILLS; BUNGER HILLS; ICE-FREE; SOIL INVERTEBRATES; SPECIES-DIVERSITY; VESTFOLD-HILLS; 1981 NEMATODA</t>
  </si>
  <si>
    <t>Antarctic arthropods (mites and springtails) have been the subject of numerous studies. However, by far, the most diverse and numerically dominant fauna in Antarctica are the limno-terrestrial microfauna (tardigrades, rotifers and nematodes). Although they have been the focus of several studies, there remains uncertainty of the actual number of species in Antarctica. Inadequate sampling and conserved morphology are the main cause of misclassification of species and underestimation of this diversity. Most species' distributional records are dominated by proximity to research stations or limited opportunistic collections, and therefore, an absence of records for a species may also be a consequence of the limitations of sampling. Limitations in fundamental knowledge of how many species are present and how widespread they are prevents any meaningful analyses that have been applied more generally to the arthropods within Antarctica, such as exploring ancient origins (at least pre-last glacial maximum) and tracking colonisation routes from glacial refugia. In this review, we list published species names and where possible the distribution of microfaunal (tardigrade, rotifer and nematode) species reported for Antarctica. Our current state of knowledge of Antarctic records (south of 60A degrees S) includes 28 bdelloid rotifers, 66 monogonont rotifers, 59 tardigrades and 68 nematodes. In the light of the difficulties in working with microfauna across such geographical scales, we emphasise the need for molecular markers to help understand the 'true levels' of diversity and suggest future directions for Antarctic biodiversity assessment and species discovery.</t>
  </si>
  <si>
    <t>[Velasco-Castrillon, Alejandro] Univ Adelaide, Sch Earth &amp; Environm Sci, Australian Ctr Evolutionary Biol &amp; Biodivers, Adelaide, SA 5005, Australia; [Gibson, John A. E.] Univ Tasmania, Inst Marine &amp; Antarctic Studies, Hobart, Tas 7001, Australia; [Stevens, Mark I.] S Australian Museum, Adelaide, SA 5000, Australia; [Stevens, Mark I.] Univ S Australia, Sch Pharm &amp; Med Sci, Adelaide, SA 5001, Australia</t>
  </si>
  <si>
    <t>University of Adelaide; University of Tasmania; University of South Australia</t>
  </si>
  <si>
    <t>Velasco-Castrillón, A (corresponding author), Univ Adelaide, Sch Earth &amp; Environm Sci, Australian Ctr Evolutionary Biol &amp; Biodivers, Adelaide, SA 5005, Australia.</t>
  </si>
  <si>
    <t>macalusio@yahoo.com</t>
  </si>
  <si>
    <t>Sir Douglas Mawson Doctoral Scholarship; Australian Antarctic Division [ASAC 2355]</t>
  </si>
  <si>
    <t>Sir Douglas Mawson Doctoral Scholarship; Australian Antarctic Division</t>
  </si>
  <si>
    <t>We thank Dieter Piepenburg for editorial comments and two anonymous reviewers. In particular, we thank Dr. Sven Bostrom for providing a thorough review of the nematodes and Dr. Sandra McInnes for assisting with the tardigrades. We are grateful to the University of Adelaide (http://www.sciences.adelaide.edu.au/) for a PhD scholarship to AVC and the South Australian Museum Mawson Trust for providing funding for the Sir Douglas Mawson Doctoral Scholarship (http://www.samuseum.sa.gov.au/). This study was partially supported and funded by the Australian Antarctic Division (http://www.antarctica.gov.au/) Project (ASAC 2355 to MIS).</t>
  </si>
  <si>
    <t>10.1007/s00300-014-1544-4</t>
  </si>
  <si>
    <t>WOS:000342228200013</t>
  </si>
  <si>
    <t>Hospitaleche, CA</t>
  </si>
  <si>
    <t>Acosta Hospitaleche, Carolina</t>
  </si>
  <si>
    <t>New giant penguin bones from Antarctica: Systematic and paleobiological significance</t>
  </si>
  <si>
    <t>COMPTES RENDUS PALEVOL</t>
  </si>
  <si>
    <t>Giant penguins; Palaeeudyptes klekowskii; Eocene; Antarctica; Submeseta Formation</t>
  </si>
  <si>
    <t>SEYMOUR ISLAND; FOSSIL PENGUINS; LATE EOCENE; AVES</t>
  </si>
  <si>
    <t>A tarsometatarsus and a fragmented humerus of striking dimensions recently collected in the Late Eocene locality DPV 13/84 Submeseta Formation-level 38 Submeseta II-, Seymour (Marambio) Island, Antarctic Peninsula were both assigned to Palaeeudyptes klekowskii. According to estimates, the tarsometatarsus would belong to the largest and most massive penguin described so far. This bird was probably a piscivorous penguin, with high diving ability for catching prey. Although the humerus is not an appropriate element for body mass or body length assessments, it also belonged to a huge penguin. (C) 2014 Academie des sciences. Published by Elsevier Masson SAS. All rights reserved.</t>
  </si>
  <si>
    <t>Consejo Nacl Invest Cient &amp; Tecn, Museo La Plata, Div Paleontol Vertebrados, La Plata, Buenos Aires, Argentina</t>
  </si>
  <si>
    <t>National University of La Plata; Museo La Plata; Consejo Nacional de Investigaciones Cientificas y Tecnicas (CONICET)</t>
  </si>
  <si>
    <t>Hospitaleche, CA (corresponding author), Consejo Nacl Invest Cient &amp; Tecn, Museo La Plata, Div Paleontol Vertebrados, Paseo Basque S-N,B1900FWA, La Plata, Buenos Aires, Argentina.</t>
  </si>
  <si>
    <t>acostacaro@fcnym.unlp.edu.ar</t>
  </si>
  <si>
    <t>Acosta Hospitaleche, Carolina/E-5740-2017</t>
  </si>
  <si>
    <t>Acosta Hospitaleche, Carolina/0000-0002-2614-1448</t>
  </si>
  <si>
    <t>ACAD SCIENCES</t>
  </si>
  <si>
    <t>23 QUAI DE CONTI, PARIS, FRANCE</t>
  </si>
  <si>
    <t>1631-0683</t>
  </si>
  <si>
    <t>1777-571X</t>
  </si>
  <si>
    <t>CR PALEVOL</t>
  </si>
  <si>
    <t>C. R. Palevol</t>
  </si>
  <si>
    <t>10.1016/j.crpv.2014.03.008</t>
  </si>
  <si>
    <t>AP1BS</t>
  </si>
  <si>
    <t>WOS:000341802000002</t>
  </si>
  <si>
    <t>Briciu, AE; Mihaila, D</t>
  </si>
  <si>
    <t>Briciu, Andrei-Emil; Mihaila, Dumitru</t>
  </si>
  <si>
    <t>Wavelet analysis of some rivers in SE Europe and selected climate indices</t>
  </si>
  <si>
    <t>Wavelet coherence analysis; Global wavelet spectrum; Multidecadal variability; Upstream-downstream comparison</t>
  </si>
  <si>
    <t>NORTH-ATLANTIC OSCILLATION; NINO-SOUTHERN-OSCILLATION; SOLAR-ACTIVITY; GEOPOTENTIAL HEIGHT; ARCTIC OSCILLATION; VARIABILITY; STREAMFLOW; FREQUENCY; RAINFALL; TIME</t>
  </si>
  <si>
    <t>The influence of some climatic oscillations and sunspot number on river flows in Romania, Ukraine, and Moldova is verified by using standard wavelet analyses. The selected climate oscillations are Arctic Oscillation (AO), Antarctic Oscillation (AAO), East Atlantic Oscillation (EAO), East Atlantic/West Russia Oscillation (EAWRO), NINO3.4, North Atlantic Oscillation (NAO), Pacific/North America Oscillation (PNAO), Pacific Decadal Oscillation (PDO), Polar/Eurasia Oscillation (PEO), Scandinavian Oscillation (ScandO), Southern Oscillation (SO), and West Pacific Oscillation (WPO). Forty-five hydrological stations from an area of 45,000 km(2) were used in order to discover the spatial evolution of the periodicities found in rivers. The wavelet analysis is novel for the rivers in the study area. There is an important difference between the periodicities found in mountain and plateau areas and those found in the plain area. There is a general downstream increase in the confidence level of the identified periods, even if the atmospheric precipitation has more relevant periodicities in the mountain area. The periodicities can be grouped into two compact groups: 1-16.5 and 27.8-55.6 years. The correlation matrix of the global wavelet spectrum (GWS) values indicates that NAO, EAWRO, PDO, and the sunspot number are the main factors that generate the periodicities in rivers. It is the first time when the influence of PDO on local rivers is proven. All river periodicities smaller than 16 years have a confidence level of 0.95 or above, as proven by the GWS analysis of the daily discharge data, and are caused by multiple external factors.</t>
  </si>
  <si>
    <t>[Briciu, Andrei-Emil; Mihaila, Dumitru] Stefan Cel Mare Univ Suceava, Suceava 720229, Romania</t>
  </si>
  <si>
    <t>Stefan cel Mare University of Suceava</t>
  </si>
  <si>
    <t>Briciu, AE (corresponding author), Stefan Cel Mare Univ Suceava, 13 Univ St, Suceava 720229, Romania.</t>
  </si>
  <si>
    <t>andreibriciu@atlas.usv.ro</t>
  </si>
  <si>
    <t>Briciu, Andrei-Emil/D-1742-2018; Dumitru, Mihaila/ABD-6449-2021</t>
  </si>
  <si>
    <t>Briciu, Andrei-Emil/0000-0002-4683-9739;</t>
  </si>
  <si>
    <t>10.1007/s10661-014-3853-z</t>
  </si>
  <si>
    <t>AO6YC</t>
  </si>
  <si>
    <t>WOS:000341497800022</t>
  </si>
  <si>
    <t>Ahn, DH; Shin, SC; Park, H</t>
  </si>
  <si>
    <t>Ahn, Do Hwan; Shin, Seung Chul; Park, Hyun</t>
  </si>
  <si>
    <t>Characterization of Toll-like receptor gene expression and the pathogen agonist response in the antarctic bullhead notothen Notothenia coriiceps</t>
  </si>
  <si>
    <t>IMMUNOGENETICS</t>
  </si>
  <si>
    <t>Antarctic fish; Notothenioid; Immune system; Toll-like receptors; Gene expression</t>
  </si>
  <si>
    <t>LEUCINE-RICH REPEAT; TROUT ONCORHYNCHUS-MYKISS; CUTTING EDGE; RECOGNITION; FAMILY; FISH; IDENTIFICATION; EVOLUTION; DOMAIN; LIPOPOLYSACCHARIDE</t>
  </si>
  <si>
    <t>Notothenia coriiceps, a typical Antarctic notothenioid teleost, has evolved to adapt to the extreme Antarctic marine environment. We previously reported an extensive analysis of the Antarctic notothenioid transcriptome. In this study, we focused on a key component of the innate immune system, the Toll-like receptors (TLRs). We cloned the full-length sequence of 12 TLRs of N. coriiceps. The N. coriiceps transcriptome for TLR homologue (ncTLR) genes encode a typical TLR structure, with multiple extracellular leucine-rich regions and an intracellular Toll/IL-1 receptor (TIR) domain. Using phylogenetic analysis, we established that all of the cloned ncTLR genes could be classified into the same orthologous clade with other teleost TLRs. ncTLRs were widely expressed in various organs, with the highest expression levels observed in immune-related tissues, such as the skin, spleen, and kidney. A subset of the ncTLR genes was expressed at higher levels in fish exposed to pathogen-mimicking agonists, heat-killed Escherichia coli, and polyinosinic-polycytidylic acid (poly(I:C)). However, the mechanism involved in the upregulation of TLR expression following pathogen exposure in fish is currently unknown. Further research is required to elucidate these mechanisms and to thereby increase our understanding of vertebrate immune system evolution.</t>
  </si>
  <si>
    <t>[Ahn, Do Hwan; Shin, Seung Chul; Park, Hyun] Korea Polar Res Inst, Div Polar Life Sci, Inchon 406840, South Korea; [Ahn, Do Hwan; Park, Hyun] Korea Univ Sci &amp; Technol, Taejon 406840, South Korea</t>
  </si>
  <si>
    <t>Korea Institute of Ocean Science &amp; Technology (KIOST); Korea Polar Research Institute (KOPRI)</t>
  </si>
  <si>
    <t>Park, H (corresponding author), Korea Univ Sci &amp; Technol, Taejon 406840, South Korea.</t>
  </si>
  <si>
    <t>hpark@kopri.re.kr</t>
  </si>
  <si>
    <t>Park, Hyun/0000-0002-8055-2010</t>
  </si>
  <si>
    <t>Antarctic organisms: cold-adaptation mechanisms and its application grant - Korea Polar Research Institute (KOPRI) [PE14070]</t>
  </si>
  <si>
    <t>Antarctic organisms: cold-adaptation mechanisms and its application grant - Korea Polar Research Institute (KOPRI)(Korea Polar Research Institute of Marine Research Placement (KOPRI))</t>
  </si>
  <si>
    <t>This work was supported by the Antarctic organisms: cold-adaptation mechanisms and its application grant (PE14070) funded by the Korea Polar Research Institute (KOPRI).</t>
  </si>
  <si>
    <t>0093-7711</t>
  </si>
  <si>
    <t>1432-1211</t>
  </si>
  <si>
    <t>Immunogenetics</t>
  </si>
  <si>
    <t>10.1007/s00251-014-0792-3</t>
  </si>
  <si>
    <t>Genetics &amp; Heredity; Immunology</t>
  </si>
  <si>
    <t>AP1MX</t>
  </si>
  <si>
    <t>WOS:000341835800005</t>
  </si>
  <si>
    <t>Hong, SM; Sung, HS; Kang, MH; Kim, CG; Lee, YH; Kim, DJ; Lee, JM; Kusakabe, T</t>
  </si>
  <si>
    <t>Hong, Sun Mee; Sung, Ho Sun; Kang, Mee Hye; Kim, Choong-Gon; Lee, Youn-Ho; Kim, Dae-Jung; Lee, Jae Man; Kusakabe, Takahiro</t>
  </si>
  <si>
    <t>Characterization of Cryptopygus antarcticus Endo-β-1,4-Glucanase from Bombyx mori Expression Systems</t>
  </si>
  <si>
    <t>MOLECULAR BIOTECHNOLOGY</t>
  </si>
  <si>
    <t>Baculovirus; Silkworm; Bacteria; Glycosyl hydrolase; Antarctic springtail; N-glycosylation</t>
  </si>
  <si>
    <t>HIGH-LEVEL EXPRESSION; ESCHERICHIA-COLI; MOLECULAR-CLONING; CELLULASE GENE; BINDING; PURIFICATION; SILKWORM; GLYCOSYLATION; BACULOVIRUS; OLIGOSACCHARIDES</t>
  </si>
  <si>
    <t>Endo-beta-1,4-glucanase (CaCel) from Antarctic springtail, Cryptopygus antarcticus, a cellulase with high activity at low temperature, shows potential industrial use. To obtain sufficient active cellulase for characterization, CaCel gene was expressed in Bombyx mori-baculovirus expression systems. Recombinant CaCel (rCaCel) has been expressed in Escherichia coli (Ec-CaCel) at temperatures below 10 A degrees C, but the expression yield was low. Here, rCaCel with a silkworm secretion signal (Bm-CaCel) was successfully expressed and secreted into pupal hemolymph and purified to near 90 % purity by Ni-affinity chromatography. The yield and specific activity of rCaCel purified from B. mori were estimated at 31 mg/l and 43.2 U/mg, respectively, which is significantly higher than the CaCel yield obtained from E. coli (0.46 mg/l and 35.8 U/mg). The optimal pH and temperature for the rCaCels purified from E. coli and B. mori were 3.5 and 50 A degrees C. Both rCaCels were active at a broad range of pH values and temperatures, and retained more than 30 % of their maximal activity at 0 A degrees C. Oligosaccharide structural analysis revealed that Bm-CaCel contains elaborated N- and O-linked glycans, whereas Ec-CaCel contains putative O-linked glycans. Thermostability of Bm-CaCel from B. mori at 60 A degrees C was higher than that from E. coli, probably due to glycosylation.</t>
  </si>
  <si>
    <t>[Hong, Sun Mee; Sung, Ho Sun] Gyeongbuk Inst Marine Bioind, Dept Res &amp; Dev, Uljin 767813, South Korea; [Kang, Mee Hye; Kim, Choong-Gon; Lee, Youn-Ho] Korea Inst Ocean Sci Technol, Marine Biol &amp; Living Resources Res Dept, Ansan 426744, South Korea; [Kim, Dae-Jung] Natl Fisheries Res &amp; Dev Inst, Aquaculture Res Team, Headquarters Biosci &amp; Technol, Pusan 619902, South Korea; [Lee, Jae Man; Kusakabe, Takahiro] Kyushu Univ, Lab Silkworm Sci, Grad Sch Bioresource &amp; Bioenvironm Sci, Fukuoka 8128581, Japan</t>
  </si>
  <si>
    <t>Korea Institute of Ocean Science &amp; Technology (KIOST); Kyushu University</t>
  </si>
  <si>
    <t>Hong, SM (corresponding author), Gyeongbuk Inst Marine Bioind, Dept Res &amp; Dev, Uljin 767813, South Korea.</t>
  </si>
  <si>
    <t>hongsunmee@gimb.or.kr</t>
  </si>
  <si>
    <t>Kim, Jin/AAS-5810-2021; Kim, Jung Hee/AAG-1191-2019</t>
  </si>
  <si>
    <t>Kim, Jin/0000-0002-7667-9588; Kim, Jung Hee/0000-0003-1932-0234</t>
  </si>
  <si>
    <t>Bioindustry Technology Development Program, Ministry for Food, Agriculture, Forestry and Fisheries, Republic of Korea [111062-03-1-HD110, 111116-01-1-SB010]; National Fisheries Research and Development Institute [RP-2014-AQ-027]</t>
  </si>
  <si>
    <t>Bioindustry Technology Development Program, Ministry for Food, Agriculture, Forestry and Fisheries, Republic of Korea; National Fisheries Research and Development Institute</t>
  </si>
  <si>
    <t>We thank Young-Sik Seok of the Institute of Kangwon-do Agricultural Pure Stock, Korea for the provision and maintenance of silkworms. This work was supported by the Bioindustry Technology Development Program, Ministry for Food, Agriculture, Forestry and Fisheries, Republic of Korea (No: 111062-03-1-HD110 and 111116-01-1-SB010) and partially by the National Fisheries Research and Development Institute (RP-2014-AQ-027).</t>
  </si>
  <si>
    <t>999 RIVERVIEW DRIVE SUITE 208, TOTOWA, NJ 07512 USA</t>
  </si>
  <si>
    <t>1073-6085</t>
  </si>
  <si>
    <t>1559-0305</t>
  </si>
  <si>
    <t>MOL BIOTECHNOL</t>
  </si>
  <si>
    <t>Mol. Biotechnol.</t>
  </si>
  <si>
    <t>10.1007/s12033-014-9767-8</t>
  </si>
  <si>
    <t>Biochemistry &amp; Molecular Biology; Biotechnology &amp; Applied Microbiology</t>
  </si>
  <si>
    <t>AP1GK</t>
  </si>
  <si>
    <t>WOS:000341815700002</t>
  </si>
  <si>
    <t>Walton, DWH</t>
  </si>
  <si>
    <t>Walton, D. W. H.</t>
  </si>
  <si>
    <t>Scanning the horizon</t>
  </si>
  <si>
    <t>Walton, David/0000-0002-7103-4043</t>
  </si>
  <si>
    <t>NERC [bas010011] Funding Source: UKRI; Natural Environment Research Council [bas010011] Funding Source: researchfish</t>
  </si>
  <si>
    <t>10.1017/S0954102014000662</t>
  </si>
  <si>
    <t>WOS:000344735300001</t>
  </si>
  <si>
    <t>De Los Rios, A; Wierzchos, J; Ascaso, C</t>
  </si>
  <si>
    <t>De Los Rios, Asuncion; Wierzchos, Jacek; Ascaso, Carmen</t>
  </si>
  <si>
    <t>The lithic microbial ecosystems of Antarctica's McMurdo Dry Valleys</t>
  </si>
  <si>
    <t>endoliths; lichens; lithic microhabitat; lithobiontic microorganisms</t>
  </si>
  <si>
    <t>ENDOLITHIC CYANOBACTERIAL COMMUNITIES; BIOWEATHERED GRANITIC BIOTITE; UV-B RADIATION; ROSS DESERT; CONTINENTAL ANTARCTICA; ULTRAVIOLET-RADIATION; SAXICOLOUS LICHENS; GENETIC DIVERSITY; FOSSIL FORMATION; VICTORIA-LAND</t>
  </si>
  <si>
    <t>We review the lithic microbial ecosystems of the McMurdo Dry Valleys as the main form of terrestrial colonization in this region, and assess the role of environmental controls such as temperature, solar radiation, water availability, wind, nutrient availability, salinity and the physicochemical properties of the colonized rock. Epilithic communities, especially those dominated by lichens, are able to withstand extreme environmental conditions but subsurface endolithic microhabitats provide more tolerant conditions. Endolithic microbial communities can be grouped into two main classes: eukaryotic communities (dominated by lichenized fungi and algae) and prokaryotic communities (dominated by cyanobacteria). Heterotrophic bacteria and non-lichenized algae and fungi (mainly black fungi) are also components of these communities. These lithobiontic microorganisms generally have effective mechanisms against freezing temperatures and desiccation. Extracellular polymeric substances play an important role not only in protecting microbial cells but also in community organization and in mitigating microenvironmental conditions. Antarctic lithobiontic communities are comprised of microbial consortia within which multiple interactions between the different biological and abiotic components are essential for microbial survival, whilst fossils and biomarkers provide evidence of earlier successful microbial life in Antarctic deserts. Finally, the uniqueness of the present lithobiont assemblages suggests they are the outcome of geographical isolation during the evolution of the continent and not merely the descendants of a subset of globally distributed taxa that have adapted to the extreme environmental conditions.</t>
  </si>
  <si>
    <t>[De Los Rios, Asuncion; Wierzchos, Jacek; Ascaso, Carmen] CSIC, Museo Nacl Ciencias Nat, Madrid 28006, Spain</t>
  </si>
  <si>
    <t>Consejo Superior de Investigaciones Cientificas (CSIC); CSIC - Museo Nacional de Ciencias Naturales (MNCN)</t>
  </si>
  <si>
    <t>De Los Rios, A (corresponding author), CSIC, Museo Nacl Ciencias Nat, Serrano 115 Dpdo, Madrid 28006, Spain.</t>
  </si>
  <si>
    <t>de los Rios, Asuncion/L-3694-2014; Ascaso, Carmen/F-5369-2011; Wierzchos, Jacek/F-7036-2011</t>
  </si>
  <si>
    <t>de los Rios, Asuncion/0000-0002-0266-3516; Ascaso, Carmen/0000-0001-9665-193X; Wierzchos, Jacek/0000-0003-3084-3837</t>
  </si>
  <si>
    <t>Spanish Ministry of Economy and Competitiveness [CTM2012-38222-CO2-02, CGL2010-16004]</t>
  </si>
  <si>
    <t>Spanish Ministry of Economy and Competitiveness(Spanish Government)</t>
  </si>
  <si>
    <t>The authors thank all those who kindly provided the Antarctic rock samples used in our investigations, especially Prof Sancho and Dr E.I. Friedmann, and A. Burton for reviewing the English. We also thank Drs Alan Green and Chris McKay for facilitating the collection of samples from the McMurdo Dry Valleys, and the investigators of the Antarctic New Zealand Program for their excellent scientific and logistic organization of the Dry Valley expeditions. We are very grateful to D.W.H. Walton for the invitation to write this synthesis and two anonymous reviewers for their constructive comments. This work was supported by grant CTM2012-38222-CO2-02 and CGL2010-16004 from the Spanish Ministry of Economy and Competitiveness.</t>
  </si>
  <si>
    <t>10.1017/S0954102014000194</t>
  </si>
  <si>
    <t>WOS:000344735300002</t>
  </si>
  <si>
    <t>Sun, BH; Dennis, PG; Laudicina, VA; Ord, VJ; Rushton, SP; O'Donnell, AG; Newsham, KK; Hopkins, DW</t>
  </si>
  <si>
    <t>Sun Benhua; Dennis, P. G.; Laudicina, V. A.; Ord, V. J.; Rushton, S. P.; O'Donnell, A. G.; Newsham, K. K.; Hopkins, D. W.</t>
  </si>
  <si>
    <t>Biogeochemical responses to nutrient, moisture and temperature manipulations of soil from Signy Island, South Orkney Islands in the Maritime Antarctic</t>
  </si>
  <si>
    <t>carbon mineralization; nitrogen mineralization; organic substrates; soil respiration; warming; water addition</t>
  </si>
  <si>
    <t>MICROBIAL RESPIRATION; VASCULAR PLANTS; NITROGEN; MICROORGANISMS; CARBON; SUPPLEMENTATION; NITRIFICATION; COMMUNITIES; BIOMASS; PLOTS</t>
  </si>
  <si>
    <t>We have investigated how the microbially-driven processes of carbon (C) mineralization (respiration) and nitrogen (N) mineralization/immobilization in a soil from the northern Maritime Antarctic respond to differences in water availability (20% and 80% water-holding capacity) and temperature (5 degrees C and 15 degrees C) in the presence and absence of different organic substrates (2 mg C as either glucose, glycine or tryptone soy broth (TSB) powder (a complex microbial growth medium)) in a controlled laboratory experiment over 175 days. Soil respiration and N mineralization/immobilization in the presence of a C-rich substrate (glucose) increased with increases in water and temperature. These factors were influential individually and had an additive effect when applied together. For the N-rich substrates (glycine and TSB), microbial responses to increased water or temperature alone were weak or not significant, but these factors interacted to give significantly positive increases when applied together. These data indicate that under the expected changes in environmental conditions in the Maritime Antarctic, where temperature and the availability of water and organic substrates will probably increase, soil microbial activity will lead to more rapid C and N cycling and have a positive feedback on these biogeochemical processes, particularly where or when these factors increase concurrently.</t>
  </si>
  <si>
    <t>[Sun Benhua] Northwest A&amp;F Univ, Coll Nat Resources &amp; Environm, Yangling 712100, Shaanxi Provinc, Peoples R China; [Dennis, P. G.] Univ Queensland, Australian Ctr Ecogen, Brisbane, Qld 4072, Australia; [Dennis, P. G.] Univ Queensland, Adv Water Management Ctr, Brisbane, Qld 4072, Australia; [Laudicina, V. A.] Univ Palermo, Dipartimento Sci Agr &amp; Forestali, I-90128 Palermo, Italy; [Ord, V. J.; Rushton, S. P.] Newcastle Univ, Sch Biol, Newcastle Upon Tyne NE1 7RU, Tyne &amp; Wear, England; [O'Donnell, A. G.] Univ Western Australia, Fac Sci, Inst Agr, Nedlands, WA 6009, Australia; [Newsham, K. K.] British Antarctic Survey, NERC, Cambridge CB3 0ET, England; [Hopkins, D. W.] Heriot Watt Univ, Sch Life Sci, Edinburgh EH14 4AS, Midlothian, Scotland</t>
  </si>
  <si>
    <t>Northwest A&amp;F University - China; University of Queensland; University of Queensland; University of Palermo; Newcastle University - UK; University of Western Australia; UK Research &amp; Innovation (UKRI); Natural Environment Research Council (NERC); NERC British Antarctic Survey; Heriot Watt University</t>
  </si>
  <si>
    <t>Sun, BH (corresponding author), Northwest A&amp;F Univ, Coll Nat Resources &amp; Environm, Yangling 712100, Shaanxi Provinc, Peoples R China.</t>
  </si>
  <si>
    <t>david.hopkins@hw.ac.uk</t>
  </si>
  <si>
    <t>Dennis, Paul G/H-2141-2017; Laudicina, Vito Armando/F-8187-2015; Sun, Benhua/C-8420-2009</t>
  </si>
  <si>
    <t>Laudicina, Vito Armando/0000-0002-5531-0669; O'Donnell, Tony/0000-0003-2001-4533; Hopkins, David/0000-0003-0953-8643; Sun, Benhua/0000-0001-8490-3642</t>
  </si>
  <si>
    <t>UK Natural Environment Research Council through the Antarctic Funding Initiative [AFI 7/05, NE/D00893X/1]; Chinese 111 Project [B12007]; NERC [NE/D00893X/1] Funding Source: UKRI; Natural Environment Research Council [NE/D00893X/1] Funding Source: researchfish</t>
  </si>
  <si>
    <t>UK Natural Environment Research Council through the Antarctic Funding Initiative; Chinese 111 Project; NERC(UK Research &amp; Innovation (UKRI)Natural Environment Research Council (NERC)); Natural Environment Research Council(UK Research &amp; Innovation (UKRI)Natural Environment Research Council (NERC))</t>
  </si>
  <si>
    <t>Funding was supplied by the UK Natural Environment Research Council through the Antarctic Funding Initiative (AFI 7/05; NE/D00893X/1). Logistical support was provided by the British Antarctic Survey. Sun Benhua was supported by the Chinese 111 Project (No. B12007). We would like to thank the reviewers for their constructive comments.</t>
  </si>
  <si>
    <t>10.1017/S0954102014000030</t>
  </si>
  <si>
    <t>WOS:000344735300006</t>
  </si>
  <si>
    <t>Levy, J; Nolin, A; Fountain, A; Head, J</t>
  </si>
  <si>
    <t>Levy, Joseph; Nolin, Anne; Fountain, Andrew; Head, James</t>
  </si>
  <si>
    <t>Hyperspectral measurements of wet, dry and saline soils from the McMurdo Dry Valleys: soil moisture properties from remote sensing</t>
  </si>
  <si>
    <t>active layer; permafrost; spectroscopy; terrestrial environment; water tracks</t>
  </si>
  <si>
    <t>TAYLOR VALLEY; ACTIVE-LAYER; POLAR DESERT; ANTARCTICA; REFLECTANCE; WATER; GEOCHEMISTRY; SPECTROSCOPY; ENVIRONMENT; PERMAFROST</t>
  </si>
  <si>
    <t>Soil moisture is a spatially heterogeneous quantity in the McMurdo Dry Valleys of Antarctica that exerts a large influence on the biological community and on the thermal state of Dry Valleys permafrost. The goal of this project was to determine whether hyperspectral remote sensing techniques could be used to determine soil moisture conditions in the Dry Valleys. We measured the spectral reflectance factors of wetted soil samples from the Dry Valleys under natural light conditions and related diagnostic spectral features to surface layer soil moisture content. Diagnostic water absorption features in the spectra at 1.4 mu m and 1.9 mu m were present in all samples, including samples doped with high concentrations of chloride salts. The depth of the 1.4 mu m absorption is shown to increase linearly with increasing gravimetric water content. These results suggest that airborne hyperspectral imaging of the Dry Valleys could generate soil moisture maps of this environment over large spatial areas using non-invasive remote-sensing techniques.</t>
  </si>
  <si>
    <t>[Levy, Joseph] Univ Texas Austin, Inst Geophys, Jackson Sch Geosci, Austin, TX 78758 USA; [Nolin, Anne] Oregon State Univ, Coll Earth Ocean &amp; Atmospher Sci, Corvallis, OR 97331 USA; Portland State Univ, Dept Geol, Portland, OR 97210 USA; [Head, James] Brown Univ, Dept Geol Sci, Providence, RI 02912 USA</t>
  </si>
  <si>
    <t>University of Texas System; University of Texas Austin; Oregon State University; Portland State University; Brown University</t>
  </si>
  <si>
    <t>Levy, J (corresponding author), Univ Texas Austin, Inst Geophys, Jackson Sch Geosci, Austin, TX 78758 USA.</t>
  </si>
  <si>
    <t>joe.levy@utexas.edu</t>
  </si>
  <si>
    <t>Levy, Joseph/0000-0002-6222-139X</t>
  </si>
  <si>
    <t>NSF Office of Polar Programs Antarctic Earth Sciences division [ANT-1343649]; Directorate For Geosciences; Office of Polar Programs (OPP) [1115245] Funding Source: National Science Foundation</t>
  </si>
  <si>
    <t>NSF Office of Polar Programs Antarctic Earth Sciences division; Directorate For Geosciences; Office of Polar Programs (OPP)(National Science Foundation (NSF)NSF - Directorate for Geosciences (GEO))</t>
  </si>
  <si>
    <t>This work was supported by the NSF Office of Polar Programs Antarctic Earth Sciences division via award ANT-1343649 to JSL, AGF and W. Berry Lyons. This work benefitted from discussions with MCM-LTER team members (www.mcmlter.org) and from the comments of two anonymous reviewers.</t>
  </si>
  <si>
    <t>10.1017/S0954102013000977</t>
  </si>
  <si>
    <t>WOS:000344735300012</t>
  </si>
  <si>
    <t>Tavernier, I; Verleyen, E; Hodgson, DA; Heirman, K; Roberts, SJ; Imura, S; Kudoh, S; Sabbe, K; De Batist, M; Vyverman, W</t>
  </si>
  <si>
    <t>Tavernier, Ines; Verleyen, Elie; Hodgson, Dominic A.; Heirman, Katrien; Roberts, Stephen J.; Imura, Satoshi; Kudoh, Sakae; Sabbe, Koen; De Batist, Marc; Vyverman, Wim</t>
  </si>
  <si>
    <t>Absence of a Medieval Climate Anomaly, Little Ice Age and twentieth century warming in Skarvsnes, Lutzow Holm Bay, East Antarctica</t>
  </si>
  <si>
    <t>diatom-based transfer function; Holocene climate changes; isolation basin; palaeoclimatology; Syowa Oasis</t>
  </si>
  <si>
    <t>HOLOCENE CLIMATE; WINDMILL ISLANDS; DIATOM FLORA; PENINSULA; HISTORY; CALIBRATION; BASIN; LAKES; BP; PERSPECTIVE</t>
  </si>
  <si>
    <t>Palaeoclimate changes, such as the Medieval Climate Anomaly and the Little Ice Age, are well-defined in the Northern Hemisphere during the past 2000 years. In contrast, these anomalies appear to be either absent, or less well-defined, in high-latitude regions of the Southern Hemisphere. Here, we inferred environmental changes during the past two millennia from proxies in a sediment core from Mago Ike, an East Antarctic lake in Skarvsnes (Lutzow Holm Bay). Variations in lake primary production were inferred from fossil pigments, sedimentological and geochemical proxies and combined with absolute diatom counts to infer past diatom productivity and community changes. Three distinct stratigraphic zones were recognized, resulting from a shift from marine to lacustrine conditions with a clear transition zone in between. The presence of open-watermarine diatoms indicates a coastal zone seasonally free of sea ice between c. 2120-1500 cal yr BP. Subsequently, the lake became isolated from the ocean due to isostatic uplift. Freshwater conditions were established from c. 1120 cal yr BP onwards after which the proxies are considered highly sensitive to temperature changes. There is no evidence for a Medieval Climate Anomaly, Little Ice Age or twentieth century warming in our lake sediment record suggesting that studies that have imposed Northern Hemisphere climate anomalies onto Southern Hemisphere palaeoclimate records should be treated with caution.</t>
  </si>
  <si>
    <t>[Tavernier, Ines; Verleyen, Elie; Sabbe, Koen; Vyverman, Wim] Univ Ghent, Krijgslaan 281 S8, B-9000 Ghent, Belgium; [Hodgson, Dominic A.; Roberts, Stephen J.] British Antarctic Survey, NERC, Cambridge CB3 OET, England; [Heirman, Katrien; De Batist, Marc] Univ Ghent, Renard Ctr Marine Geol, B-9000 Ghent, Belgium; [Imura, Satoshi; Kudoh, Sakae] Natl Inst Polar Res, Tachikawa, Tokyo 1908518, Japan; [Hodgson, Dominic A.] Univ Durham, Dept Geog, Durham DH1 3LE, England</t>
  </si>
  <si>
    <t>Ghent University; UK Research &amp; Innovation (UKRI); Natural Environment Research Council (NERC); NERC British Antarctic Survey; Ghent University; Research Organization of Information &amp; Systems (ROIS); National Institute of Polar Research (NIPR) - Japan; Durham University</t>
  </si>
  <si>
    <t>Tavernier, I (corresponding author), Univ Ghent, Krijgslaan 281 S8, B-9000 Ghent, Belgium.</t>
  </si>
  <si>
    <t>Ines.Tavernier@UGent.be</t>
  </si>
  <si>
    <t>De Batist, Marc/F-5722-2012</t>
  </si>
  <si>
    <t>De Batist, Marc/0000-0002-1625-2080; Roberts, Stephen/0000-0003-3407-9127; Heirman, Katrien/0000-0001-6832-8385</t>
  </si>
  <si>
    <t>Belspo project 'Holocene climate variability and ecosystem change in coastal East and Maritime Antarctica' (HOLANT); British Antarctic Survey 'Chemistry and Past Climate programme'; Institute for the Promotion of Innovation by Science and Technology in Flanders; Fund for Scientific Research Flanders; NERC [bas0100024] Funding Source: UKRI; Natural Environment Research Council [bas0100024] Funding Source: researchfish; Grants-in-Aid for Scientific Research [23247012] Funding Source: KAKEN</t>
  </si>
  <si>
    <t>Belspo project 'Holocene climate variability and ecosystem change in coastal East and Maritime Antarctica' (HOLANT); British Antarctic Survey 'Chemistry and Past Climate programme'; Institute for the Promotion of Innovation by Science and Technology in Flanders(Institute for the Promotion of Innovation by Science and Technology in Flanders (IWT)); Fund for Scientific Research Flanders(FWO);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</si>
  <si>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This research was funded by the Belspo project 'Holocene climate variability and ecosystem change in coastal East and Maritime Antarctica' (HOLANT) and the British Antarctic Survey 'Chemistry and Past Climate programme'. IT was funded by the Institute for the Promotion of Innovation by Science and Technology in Flanders. EV and KH were funded by the Fund for Scientific Research Flanders. Dirk Vangansbeke is thanked for the help with the CN analyses, Ilse Daveloose for the pigment analyses, Renaat Dasseville for the SEM-photos, Peter Fretwell for making the maps, Bart van de Vijver for his help with the diatom identification, Ann-Eline Debeer for making the slides, and Bart Aelterman for his help with the CLAM software. The Department of Geography, Durham University is thanked for access to sediment core analytical facilities. Two anonymous reviewers are thanked for their valuable comments on an earlier version of the paper. This work contributed to the PAGES Antarctica2k programme.</t>
  </si>
  <si>
    <t>10.1017/S0954102014000029</t>
  </si>
  <si>
    <t>WOS:000344735300014</t>
  </si>
  <si>
    <t>Teinilä, K; Frey, A; Hillamo, R; Tülp, HC; Weller, R</t>
  </si>
  <si>
    <t>Teinila, K.; Frey, A.; Hillamo, R.; Tuelp, H. C.; Weller, R.</t>
  </si>
  <si>
    <t>A study of the sea-salt chemistry using size-segregated aerosol measurements at coastal Antarctic station Neumayer</t>
  </si>
  <si>
    <t>Antarctica; Sea salt modification; Mass size distribution; Particle number concentration</t>
  </si>
  <si>
    <t>CASCADE IMPACTOR; DUMONT DURVILLE; PARTICLES; DISTRIBUTIONS; INVERSION; RECORDS; SUMMER</t>
  </si>
  <si>
    <t>Aerosol chemical and physical properties were measured in 2010 at Neumayer research station, Antarctica. Samples for chemical analysis (ion chromatography) were collected using a Teflon/Nylon filter combination (Thy) sampler, and with a multi stage low pressure impactor (SDI). Particle number concentration was measured continuously with a Grimm OPC optical particle counter. Total particle number concentration varied largely throughout the year, and the highest number concentrations for particles larger than 0.3 mu m were observed simultaneously with the highest sea salt concentrations. About 50% of the sea salt aerosol mass was found in the submicron size range. Below 0.2 mu m of particle aerodynamic diameter the contribution of sea salt aerosols was negligible. Further analysis showed that sea salt aerosols had undergone physico-chemical processes, either during the transportation, or during their formation. High degree of chloride depletion was observed during austral summer, when the presence of acidic gases exhibit their characteristic seasonal maximum. Apart from chloride depletion, excess chloride relating to sodium was also detected in one SDI sample, indicating actually a sodium depletion by mirabilite formation on freshly formed sea ice areas. Analysis of selected episodes showed that the concentration of sea salt particles, their modal structure, and their chemical composition is connected with their source areas, their formation mechanisms, and local transport history. (C) 2014 Published by Elsevier Ltd.</t>
  </si>
  <si>
    <t>[Teinila, K.; Frey, A.; Hillamo, R.] Finnish Meteorol Inst, Atmospher Composit Res, FIN-00560 Helsinki, Finland; [Tuelp, H. C.; Weller, R.] Helmholtz Zentrum Polar &amp; Meeresforsch, Alfred Wegener Inst, D-27570 Bremenhaven, Germany</t>
  </si>
  <si>
    <t>Finnish Meteorological Institute; Helmholtz Association; Alfred Wegener Institute, Helmholtz Centre for Polar &amp; Marine Research</t>
  </si>
  <si>
    <t>Teinilä, K (corresponding author), Finnish Meteorol Inst, Atmospher Composit Res, Erik Palmenin Aukio 1, FIN-00560 Helsinki, Finland.</t>
  </si>
  <si>
    <t>kimmo.teinila@fmi.fi</t>
  </si>
  <si>
    <t>Academy of Finland [127411]; Academy of Finland (AKA) [127411] Funding Source: Academy of Finland (AKA)</t>
  </si>
  <si>
    <t>Academy of Finland(Research Council of Finland); Academy of Finland (AKA)(Research Council of Finland)</t>
  </si>
  <si>
    <t>The authors would like to thank the technicians and scientist of the Neumayer overwintering crew, whose outstanding commitment enabled achieving high quality aerosol records. We are thankful to NOAA Air Resources Laboratory for having made available the HYSPLIT trajectory calculation program as well as all used input data files. This work was funded by the Academy of Finland (contract 127411).</t>
  </si>
  <si>
    <t>10.1016/j.atmosenv.2014.07.025</t>
  </si>
  <si>
    <t>AP7HF</t>
  </si>
  <si>
    <t>WOS:000342247700002</t>
  </si>
  <si>
    <t>Park, TW; Deng, Y; Cai, M; Jeong, JH; Zhou, RJ</t>
  </si>
  <si>
    <t>Park, Tae-Won; Deng, Yi; Cai, Ming; Jeong, Jee-Hoon; Zhou, Renjun</t>
  </si>
  <si>
    <t>A dissection of the surface temperature biases in the Community Earth System Model</t>
  </si>
  <si>
    <t>CESM1 surface temperature bias; Temperature decomposition; Radiative and nonradiativeprocesses; Climate feedback-responses analysis method</t>
  </si>
  <si>
    <t>INDIVIDUAL FEEDBACK PROCESSES; ERA-INTERIM REANALYSIS; RADIATIVE-TRANSFER; SEA-ICE; CLIMATE; VARIABILITY; OCEAN; ATMOSPHERE; FRAMEWORK; NCEP</t>
  </si>
  <si>
    <t>Based upon the climate feedback-responses analysis method, a quantitative attribution analysis is conducted for the annual-mean surface temperature biases in the Community Earth System Model version 1 (CESM1). Surface temperature biases are decomposed into partial temperature biases associated with model biases in albedo, water vapor, cloud, sensible/latent heat flux, surface dynamics, and atmospheric dynamics. A globally-averaged cold bias of -1.22 K in CESM1 is largely attributable to albedo bias that accounts for approximately -0.80 K. Over land, albedo bias contributes -1.20 K to the averaged cold bias of -1.45 K. The cold bias over ocean, on the other hand, results from multiple factors including albedo, cloud, oceanic dynamics, and atmospheric dynamics. Bias in the model representation of oceanic dynamics is the primary cause of cold (warm) biases in the Northern (Southern) Hemisphere oceans while surface latent heat flux over oceans always acts to compensate for the overall temperature biases. Albedo bias resulted from the model's simulation of snow cover and sea ice is the main contributor to temperature biases over high-latitude lands and the Arctic and Antarctic region. Longwave effect of water vapor is responsible for an overall warm (cold) bias in the subtropics (tropics) due to an overestimate (underestimate) of specific humidity in the region. Cloud forcing of temperature biases exhibits large regional variations and the model bias in the simulated ocean mixed layer depth is a key contributor to the partial sea surface temperature biases associated with oceanic dynamics. On a global scale, biases in the model representation of radiative processes account more for surface temperature biases compared to non-radiative, dynamical processes.</t>
  </si>
  <si>
    <t>[Park, Tae-Won; Deng, Yi] Georgia Inst Technol, Sch Earth &amp; Atmospher Sci, Atlanta, GA 30332 USA; [Cai, Ming] Florida State Univ, Dept Earth Ocean &amp; Atmospher Sci, Tallahassee, FL 32306 USA; [Jeong, Jee-Hoon] Chonnam Natl Univ, Fac Earth Syst &amp; Environm Sci, Kwangju, South Korea; [Zhou, Renjun] Univ Sci &amp; Technol China, Sch Earth &amp; Space Sci, Hefei 230026, Peoples R China</t>
  </si>
  <si>
    <t>University System of Georgia; Georgia Institute of Technology; State University System of Florida; Florida State University; Chonnam National University; Chinese Academy of Sciences; University of Science &amp; Technology of China, CAS</t>
  </si>
  <si>
    <t>Park, TW (corresponding author), Georgia Inst Technol, Sch Earth &amp; Atmospher Sci, Atlanta, GA 30332 USA.</t>
  </si>
  <si>
    <t>taewon.park@eas.gatech.edu; yi.deng@eas.gatech.edu</t>
  </si>
  <si>
    <t>Park, Tae-Won/AAE-3559-2019; Deng, Yi/K-6664-2012; cai, ming/HPF-1404-2023; Park, Taewon/D-1392-2014; Cai, Ming/F-2133-2017; Jeong, Jee-Hoon/A-4286-2010</t>
  </si>
  <si>
    <t>Cai, Ming/0000-0002-1614-1102; Jeong, Jee-Hoon/0000-0002-3358-3949; Deng, Yi/0000-0003-0659-2767</t>
  </si>
  <si>
    <t>DOE Office of Science Regional and Global Climate Modeling (RGCM) [DE-SC0005596, DE-SC0004974]; NSF [AGS 114760]; Korea Meteorological Administration Research and Development Program [CATER 2013-3066]; U.S. Department of Energy (DOE) [DE-SC0005596, DE-SC0004974] Funding Source: U.S. Department of Energy (DOE)</t>
  </si>
  <si>
    <t>DOE Office of Science Regional and Global Climate Modeling (RGCM)(United States Department of Energy (DOE)); NSF(National Science Foundation (NSF)); Korea Meteorological Administration Research and Development Program(Korea Meteorological Administration (KMA)); U.S. Department of Energy (DOE)(United States Department of Energy (DOE))</t>
  </si>
  <si>
    <t>The ERA-Interim data used in this study were provided by the European Centre for Medium-Range Weather forecast (ECMFW). The Georgia Tech authors (Deng and Park) and FSU author (Cai) were supported by DOE Office of Science Regional and Global Climate Modeling (RGCM) program DE-SC0005596 and Grant DE-SC0004974, respectively. Deng is also supported by NSF grant AGS 114760. Jee-Hoon Jeong is supported by the Korea Meteorological Administration Research and Development Program under Grant CATER 2013-3066.</t>
  </si>
  <si>
    <t>10.1007/s00382-013-2029-9</t>
  </si>
  <si>
    <t>WOS:000342493600020</t>
  </si>
  <si>
    <t>Bracegirdle, TJ; Turner, J; Hosking, JS; Phillips, T</t>
  </si>
  <si>
    <t>Bracegirdle, Thomas J.; Turner, John; Hosking, J. Scott; Phillips, Tony</t>
  </si>
  <si>
    <t>Sources of uncertainty in projections of twenty-first century westerly wind changes over the Amundsen Sea, West Antarctica, in CMIP5 climate models</t>
  </si>
  <si>
    <t>Teleconnection; Tropical; Glacier retreat; Climate change</t>
  </si>
  <si>
    <t>NINO-SOUTHERN-OSCILLATION; ANNULAR MODE; VARIABILITY; BIAS</t>
  </si>
  <si>
    <t>The influence of changes in winds over the Amundsen Sea has been shown to be a potentially key mechanism in explaining rapid loss of ice from major glaciers in West Antarctica, which is having a significant impact on global sea level. Here, Coupled Model Intercomparison Project Phase 5 (CMIP5) climate model data are used to assess twenty-first century projections in westerly winds over the Amundsen Sea (U (AS) ). The importance of model uncertainty and internal climate variability in RCP4.5 and RCP8.5 scenario projections are quantified and potential sources of model uncertainty are considered. For the decade 2090-2099 the CMIP5 models show an ensemble mean twenty-first century response in annual mean U (AS) of 0.3 and 0.7 m s(-1) following the RCP4.5 and RCP8.5 scenarios respectively. However, as a consequence of large internal climate variability over the Amundsen Sea, it takes until around 2030 (2065) for the RCP8.5 response to exceed one (two) standard deviation(s) of decadal internal variability. In all scenarios and seasons the model uncertainty is large. However the present-day climatological zonal wind bias over the whole South Pacific, which is important for tropical teleconnections, is strongly related to inter-model differences in projected change in U (AS) (more skilful models show larger U (AS) increases). This relationship is significant in winter (r = -0.56) and spring (r = -0.65), when the influence of the tropics on the Amundsen Sea region is known to be important. Horizontal grid spacing and present day sea ice extent are not significant sources of inter-model spread.</t>
  </si>
  <si>
    <t>[Bracegirdle, Thomas J.; Turner, John; Hosking, J. Scott; Phillips, Tony] British Antarctic Survey, Cambridge CB3 0ET, England</t>
  </si>
  <si>
    <t>Bracegirdle, TJ (corresponding author), British Antarctic Survey, Madingley Rd, Cambridge CB3 0ET, England.</t>
  </si>
  <si>
    <t>tjbra@bas.ac.uk</t>
  </si>
  <si>
    <t>Bracegirdle, Tom/AAD-6060-2020; Hosking, Scott/D-3437-2013</t>
  </si>
  <si>
    <t>Turner, John/0000-0002-6111-5122; Hosking, Scott/0000-0002-3646-3504; Bracegirdle, Thomas/0000-0002-8868-4739</t>
  </si>
  <si>
    <t>The UK Natural Environment Research Council [NE/H02333X/1]; Natural Environment Research Council [bas0100023, NE/H02333X/1] Funding Source: researchfish; NERC [bas0100023, NE/H02333X/1] Funding Source: UKRI</t>
  </si>
  <si>
    <t>The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</si>
  <si>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It was funded by The UK Natural Environment Research Council (grant reference number NE/H02333X/1). Two anonymous reviewers are thanked for their useful and constructive comments.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European Centre for Medium-Range Weather Forecasts are thanked for providing the ERA-Interim dataset.</t>
  </si>
  <si>
    <t>10.1007/s00382-013-2032-1</t>
  </si>
  <si>
    <t>WOS:000342493600023</t>
  </si>
  <si>
    <t>Fyke, J; Eby, M; Mackintosh, A; Weaver, A</t>
  </si>
  <si>
    <t>Fyke, Jeremy; Eby, Michael; Mackintosh, Andrew; Weaver, Andrew</t>
  </si>
  <si>
    <t>Impact of climate sensitivity and polar amplification on projections of Greenland Ice Sheet loss</t>
  </si>
  <si>
    <t>Climate sensitivity; Polar amplification; Greenland Ice Sheet</t>
  </si>
  <si>
    <t>MODEL</t>
  </si>
  <si>
    <t>The future rate of Greenland Ice Sheet (GrIS) deglaciation and the future contribution of GrIS deglaciation to sea level rise will depend critically on the magnitude of northern hemispheric polar amplification and global equilibrium climate sensitivity. Here, these relationships are analyzed using an ensemble of multi-century coupled ice-sheet/climate model simulations seeded with observationally-constrained initial conditions and then integrated forward under tripled preindustrial CO2. Polar amplifications and climate sensitivities were varied between ensemble members in order to bracket current uncertainty in polar amplification and climate sensitivity. A large inter-ensemble spread in mean GrIS air temperature, albedo and surface mass balance trends stemming from this uncertainty resulted in GrIS ice volume loss ranging from 5 to 40 % of the original ice volume after 500 years. The large dependence of GrIS deglaciation on polar amplification and climate sensitivity that we find indicates that the representation of these processes in climate models will exert a strong control on any simulated predictions of multi-century GrIS evolution. Efforts to reduce polar amplification and equilibrium climate sensitivity uncertainty will therefore play a critical role in constraining projections of GrIS deglaciation and sea level rise in a future high-CO2 world.</t>
  </si>
  <si>
    <t>[Fyke, Jeremy; Eby, Michael; Weaver, Andrew] Los Alamos Natl Lab, Los Alamos, NM 87545 USA; [Mackintosh, Andrew] Victoria Univ Wellington, Antarctic Res Ctr, Wellington, New Zealand</t>
  </si>
  <si>
    <t>United States Department of Energy (DOE); Los Alamos National Laboratory; Victoria University Wellington</t>
  </si>
  <si>
    <t>Fyke, J (corresponding author), Los Alamos Natl Lab, MS B216, Los Alamos, NM 87545 USA.</t>
  </si>
  <si>
    <t>fyke@lanl.gov</t>
  </si>
  <si>
    <t>Weaver, Andrew J/E-7590-2011; Eby, Michael/H-5278-2013</t>
  </si>
  <si>
    <t>Weaver, Andrew J/0000-0001-8919-3598; Mackintosh, Andrew/0000-0002-6430-4711</t>
  </si>
  <si>
    <t>Victoria University of Wellington; New Zealand government ANZICE program; U.S. Department of Energy Office of Science</t>
  </si>
  <si>
    <t>Victoria University of Wellington; New Zealand government ANZICE program; U.S. Department of Energy Office of Science(United States Department of Energy (DOE))</t>
  </si>
  <si>
    <t>This research was supported by a Victoria University of Wellington Doctoral Scholarship to J. Fyke and the New Zealand government ANZICE program. He is currently supported by the U.S. Department of Energy Office of Science. The research was further enabled through use of computing resources provided by WestGrid and Compute/Calcul Canada. We wish to thank two anonymous reviewers and Lionel Carter and Ed Wiebe for greatly improving the quality of this manuscript.</t>
  </si>
  <si>
    <t>10.1007/s00382-014-2050-7</t>
  </si>
  <si>
    <t>WOS:000342493600034</t>
  </si>
  <si>
    <t>Kaufman, DE; Friedrichs, MAM; Smith, WJ; Queste, BY; Heywood, KJ</t>
  </si>
  <si>
    <t>Kaufman, Daniel E.; Friedrichs, Marjorie A. M.; Smith, Walker J., Jr.; Queste, Bastien Y.; Heywood, Karen J.</t>
  </si>
  <si>
    <t>Biogeochemical variability in the southern Ross Sea as observed by a glider deployment</t>
  </si>
  <si>
    <t>Ross Sea; Phytoplankton; Glider; Modified Circumpolar Deep Water</t>
  </si>
  <si>
    <t>PHAEOCYSTIS-ANTARCTICA PRYMNESIOPHYCEAE; OCEAN; WATER; PHOTOPHYSIOLOGY; DISTRIBUTIONS; PRODUCTIVITY; ABUNDANCE; DYNAMICS; PATTERNS; CARBON</t>
  </si>
  <si>
    <t>High-resolution autonomous glider data (including temperature, salinity, fluorescence, and optical backscatter) collected during the 2010-2011 austral summer identified variations in phytoplankton biomass along two glider sections near 76 degrees 40'S. Sea surface temperatures were warmer during the latter, westward section, while mixed layer depths were deeper. Substantial quantities of Modified Circumpolar Deep Water, identified by neutral density criteria, were located within both sections. Chlorophyll (Chl) concentrations computed from fluorescence exhibited daily quenching near the surface, and deep chlorophyll concentrations at 200 m became periodically elevated, suggesting substantial export on small space and time scales. The concentrations of particulate organic carbon (POC) computed from backscatter increased abruptly during the latter, westward section, concurrent with a decrease in chlorophyll. These higher POC:Chl ratios were not strongly correlated with presence of MCDW or with shallower mixed layer depths, but were strongly associated with higher surface temperatures and wind speed. The observed POC:Chl increase suggests a marked spatial and temporal transition between a Phaeocystis antarctica-dominated assemblage characterized by modest POC:Chl ratios to a diatom-dominated assemblage. Finally, a subsampling analysis highlights the capability of high-resolution glider data to resolve these biological/physical parameter correlations that are not discernible from lower frequency data typical of traditional cruise stations. (C) 2014 The Authors. Published by Elsevier Ltd.</t>
  </si>
  <si>
    <t>[Kaufman, Daniel E.; Friedrichs, Marjorie A. M.; Smith, Walker J., Jr.] Virginia Inst Marine Sci, Coll William &amp; Maly, Gloucester Point, VA 23062 USA; [Queste, Bastien Y.; Heywood, Karen J.] Univ E Anglia, Sch Environm Sci, Ctr Ocean &amp; Atmospher Sci, Norwich NR4 7TJ, Norfolk, England</t>
  </si>
  <si>
    <t>William &amp; Mary; Virginia Institute of Marine Science; University of East Anglia</t>
  </si>
  <si>
    <t>Kaufman, DE (corresponding author), Virginia Inst Marine Sci, Coll William &amp; Maly, POB 1346, Gloucester Point, VA 23062 USA.</t>
  </si>
  <si>
    <t>dekaufman@vims.edu</t>
  </si>
  <si>
    <t>Kaufman, Daniel/L-5720-2019; Heywood, Karen/L-1757-2016</t>
  </si>
  <si>
    <t>Kaufman, Daniel/0000-0002-1487-7298; Heywood, Karen/0000-0001-9859-0026; Friedrichs, Marjorie/0000-0003-2828-7595; Queste, Bastien/0000-0002-3786-2275</t>
  </si>
  <si>
    <t>U.S. National Science Foundation's Office of Polar Programs [NSF-ANT-0838980]; Natural Environment Research Council [NE/H01439X/1] Funding Source: researchfish; NERC [NE/H01439X/1] Funding Source: UKRI</t>
  </si>
  <si>
    <t>U.S. National Science Foundation's Office of Polar Programs(National Science Foundation (NSF)); Natural Environment Research Council(UK Research &amp; Innovation (UKRI)Natural Environment Research Council (NERC)); NERC(UK Research &amp; Innovation (UKRI)Natural Environment Research Council (NERC))</t>
  </si>
  <si>
    <t>This material is based upon work supported by the U.S. National Science Foundation's Office of Polar Programs (NSF-ANT-0838980). The authors thank Drs. Craig Lee and Vernon Asper for technical assistance. Additional thanks go to Michael Dinniman, Yongjin Xiao, and Dylan O'Connell for their assistance at various stages of this research. The authors also acknowledge the constructive comments of Dr. Hein de Baar and two anonymous reviewers in the revision of the manuscript. This paper is Contribution No. 3370 of the Virginia Institute of Marine Science, College of William &amp; Mary. The participation of BQ was supported by a bursary from Antarctic Science.</t>
  </si>
  <si>
    <t>10.1016/j.dsr.2014.06.011</t>
  </si>
  <si>
    <t>AP7MA</t>
  </si>
  <si>
    <t>WOS:000342260200008</t>
  </si>
  <si>
    <t>Atkinson, HM; Hughes, C; Shaw, MJ; Roscoe, HK; Carpenter, LJ; Liss, PS</t>
  </si>
  <si>
    <t>Atkinson, Helen M.; Hughes, Claire; Shaw, Marvin J.; Roscoe, Howard K.; Carpenter, Lucy J.; Liss, Peter S.</t>
  </si>
  <si>
    <t>Halocarbons associated with Arctic sea ice</t>
  </si>
  <si>
    <t>Iodine; Greenland; Trace-gases; Diatoms; Brine-channels</t>
  </si>
  <si>
    <t>IODINE EMISSIONS; WEDDELL SEA; OCEAN; BROMOFORM; HALOGENS; REGIONS; AIR</t>
  </si>
  <si>
    <t>Short-lived halocarbons were measured in Arctic sea-ice brine, seawater and air above the Greenland and Norwegian seas (similar to 81 degrees N, 2-5 degrees E) in mid-summer, from a melting ice floe at the edge of the ice pack. In the ice floe, concentrations of C2H5I, 2-C3H7I and CH2Br2 showed significant enhancement in the sea ice brine, of average factors of 1.7, 1.4 and 2.5 times respectively, compared to the water underneath and after normalising to brine volume. Concentrations of mono-iodocarbons in air are the highest ever reported, and our calculations suggest increased fluxes of halocarbons to the atmosphere may result from their sea-ice enhancement. Some halocarbons were also measured in ice of the sub-Arctic in Hudson Bay (similar to 55 degrees N, 77 degrees W) in early spring, ice that was thicker, colder and less porous than the Arctic ice in summer, and in which the halocarbons were concentrated to values over 10 times larger than in the Arctic ice when normalised to brine volume. Concentrations in the Arctic ice were similar to those in Antarctic sea ice that was similarly warm and porous. As climate warms and Arctic sea ice becomes more like that of the Antarctic, our results lead us to expect the production of iodocarbons and so of reactive iodine gases to increase. (C) 2014 Elsevier Ltd. All rights reserved.</t>
  </si>
  <si>
    <t>[Atkinson, Helen M.; Roscoe, Howard K.] British Antarctic Survey, Cambridge CB3 0ET, England; [Atkinson, Helen M.; Hughes, Claire; Liss, Peter S.] Univ E Anglia, Norwich NR4 7TJ, Norfolk, England; [Shaw, Marvin J.; Carpenter, Lucy J.] Univ York, York YO10 5DD, N Yorkshire, England</t>
  </si>
  <si>
    <t>UK Research &amp; Innovation (UKRI); Natural Environment Research Council (NERC); NERC British Antarctic Survey; University of East Anglia; University of York - UK</t>
  </si>
  <si>
    <t>Roscoe, HK (corresponding author), British Antarctic Survey, Madingley Rd, Cambridge CB3 0ET, England.</t>
  </si>
  <si>
    <t>h.roscoe@bas.ac.uk</t>
  </si>
  <si>
    <t>Carpenter, Laura/JPY-0437-2023; Carpenter, Lucy J/E-6742-2013; LISS, Peter S./A-8219-2013</t>
  </si>
  <si>
    <t>Carpenter, Lucy/0000-0002-6257-3950</t>
  </si>
  <si>
    <t>Natural Environment Research Council; Natural Environment Research Council [NE/D006287/1, NE/D005914/1, NE/I028769/1, NE/D006104/1, bas0100023, NE/K000454/1] Funding Source: researchfish; NERC [NE/I028769/1, bas0100023, NE/D006287/1, NE/D005914/1, NE/D006104/1, NE/K000454/1] Funding Source: UKRI</t>
  </si>
  <si>
    <t>We thank the Captain and crew of the RRS James Clark Ross for logistical support and facilities, SAMS for supporting information and a place on the cruise, Heiko Moossen for under-ice photography, and Gavin Turner for oceanography data. We thank the Norwegian and Danish diplomatic authorities for the permission to travel and work in Svalbard and Greenland. We thank staff at CEN for logistical support during the COBRA campaign, E Maksym for the loan of the ice corer, and C Allen for extremely helpful advice on diatoms. HMA thanks the UK Natural Environment Research Council (NERC) for a studentship. HKR's participation is part of the British Antarctic Survey's Polar Science for Planet Earth programme, funded by the Natural Environment Research Council.</t>
  </si>
  <si>
    <t>10.1016/j.dsr.2014.05.012</t>
  </si>
  <si>
    <t>WOS:000342260200014</t>
  </si>
  <si>
    <t>Brandt, A; Würzberg, L</t>
  </si>
  <si>
    <t>Brandt, Angelika; Wuerzberg, Laura</t>
  </si>
  <si>
    <t>The Southern Ocean deep sea-A benthic view to pelagic processes Introduction</t>
  </si>
  <si>
    <t>ANTARCTIC POLAR FRONT; FATTY-ACID PATTERNS; SURFACE PRODUCTIVITY; INSIGHTS; MEIOFAUNA; ABUNDANCE; SHELF; HEXACTINELLIDA; DIVERSITY; CARBON</t>
  </si>
  <si>
    <t>[Brandt, Angelika] Bioctr Grindel, Inst Zool, D-20146 Hamburg, Germany; Bioctr Grindel, Zool Museum, D-20146 Hamburg, Germany</t>
  </si>
  <si>
    <t>University of Hamburg; University of Hamburg</t>
  </si>
  <si>
    <t>Brandt, A (corresponding author), Bioctr Grindel, Inst Zool, Martin Luther King Pl 3, D-20146 Hamburg, Germany.</t>
  </si>
  <si>
    <t>10.1016/j.dsr2.2014.07.011</t>
  </si>
  <si>
    <t>WOS:000345110800001</t>
  </si>
  <si>
    <t>Ruff, SE; Probandt, D; Zinkann, AC; Iversen, MH; Klaas, C; Würzberg, L; Krombholz, N; Wolf-Gladrow, D; Amann, R; Knittel, K</t>
  </si>
  <si>
    <t>Ruff, S. Emil; Probandt, David; Zinkann, Ann-Christine; Iversen, Morten H.; Klaas, Christine; Wuerzberg, Laura; Krombholz, Nicole; Wolf-Gladrow, Dieter; Amann, Rudolf; Knittel, Katrin</t>
  </si>
  <si>
    <t>Indications for algae-degrading benthic microbial communities in deep-sea sediments along the Antarctic Polar Front</t>
  </si>
  <si>
    <t>Southern Atlantic Ocean; Benthic-pelagic coupling; Microbial community structure; Abyssal; Bacterial diversity; Flavobacteria; NOR5/OM60; Particulate organic carbon</t>
  </si>
  <si>
    <t>COPEPOD FECAL PELLETS; ORGANIC-CARBON FLUX; 16S RIBOSOMAL-RNA; SP NOV.; BACTERIAL DIVERSITY; SOUTHERN-OCEAN; GEN. NOV.; MARINE-SEDIMENTS; EXPORT; PRODUCTIVITY</t>
  </si>
  <si>
    <t>Phytoplankton blooms in surface waters of the oceans are known to influence the food web and impact microbial as well as zooplankton communities. Numerous studies have investigated the fate of phytoplankton-derived organic matter in surface waters and shelf sediments, however, little is known about the effect of sinking algal biomass on microbial communities in deep-sea sediments. Here, we analyzed sediments of four regions in the Southern Atlantic Ocean along the Antarctic Polar Front that had different exposures to phytoplankton bloom derived organic matter. We investigated the microbial communities in these sediments using high-throughput sequencing of 16S rRNA molecules to determine microorganisms that were active and catalyzed reporter deposition fluorescence in situ hybridization to infer their abundance and distribution. The sediments along the Antarctic Polar Front harbored microbial communities that were highly diverse and contained microbial clades that seem to preferably occur in regions of high primary productivity. We showed that organisms affiliated with the gammaproteobacterial clade NOR5/OM60, which is known from surface waters and coastal sediments, thrive in the deep-sea. Benthic deep-sea HORS were abundant, diverse, distinct from pelagic NOR5 and likely specialized on the degradation of phytoplankton-derived organic matter, occupying a similar niche as their pelagic relatives. Algal detritus seemed to not only fuel the benthic microbial communities of large areas in the deep-sea, but also to influence communities locally, as we found a peak in Flavobacteriaceae-related clades that also include degraders of algal biomass. The results strongly suggest that phytoplankton-derived organic matter was rapidly exported to the deep-sea, nourished distinct benthic microbial communities and seemed to be the main energy source for microbial life in the seafloor of vast abyssal regions along the Antarctic Polar Front. (C) 2014 Elsevier Ltd. All rights reserved.</t>
  </si>
  <si>
    <t>[Ruff, S. Emil; Probandt, David; Krombholz, Nicole; Amann, Rudolf; Knittel, Katrin] Max Planck Inst Marine Microbiol, Dept Mol Ecol, D-28359 Bremen, Germany; [Ruff, S. Emil] Max Planck Inst Marine Microbiol, HGF MPG Grp Deep Sea Ecol &amp; Technol, D-28359 Bremen, Germany; [Zinkann, Ann-Christine; Wuerzberg, Laura] Univ Hamburg, Bioctr Grindel, D-20146 Hamburg, Germany; [Zinkann, Ann-Christine; Wuerzberg, Laura] Univ Hamburg, Zool Museum, D-20146 Hamburg, Germany; [Iversen, Morten H.] Univ Bremen, Ctr Marine Environm Sci MARUM, D-28334 Bremen, Germany; [Iversen, Morten H.] Univ Bremen, Dept Geosci, D-28334 Bremen, Germany; [Iversen, Morten H.; Klaas, Christine; Wolf-Gladrow, Dieter] Alfred Wegener Inst Polar &amp; Marine Res, D-27570 Bremerhaven, Germany</t>
  </si>
  <si>
    <t>Max Planck Society; Max Planck Society; University of Hamburg; University of Hamburg; University of Bremen; University of Bremen; Helmholtz Association; Alfred Wegener Institute, Helmholtz Centre for Polar &amp; Marine Research</t>
  </si>
  <si>
    <t>Knittel, K (corresponding author), Max Planck Inst Marine Microbiol, Dept Mol Ecol, Celsiusstr 1, D-28359 Bremen, Germany.</t>
  </si>
  <si>
    <t>kknittel@mpi-bremen.de</t>
  </si>
  <si>
    <t>Iversen, Morten H/C-7741-2013; Amann, Rudolf/C-6534-2014; Ruff, S. Emil/H-4249-2019; Iversen, Morten Hvitfeldt/Q-3774-2016</t>
  </si>
  <si>
    <t>Amann, Rudolf/0000-0002-0846-7372; Ruff, S. Emil/0000-0002-6872-6188; Klaas, Christine/0000-0002-6679-8970; Wolf-Gladrow, Dieter/0000-0001-9531-8668; Iversen, Morten Hvitfeldt/0000-0002-5287-1110</t>
  </si>
  <si>
    <t>Max Planck Society; Leibniz program of the Deutsche Forschungsgemeinschaft</t>
  </si>
  <si>
    <t>Max Planck Society(Max Planck Society); Leibniz program of the Deutsche Forschungsgemeinschaft(German Research Foundation (DFG))</t>
  </si>
  <si>
    <t>We gratefully acknowledge the captain and crew of the German research vessel Polarstern for their support during cruise ANT-XXVIII/3. We thank Angelika Brandt for coordination of SYSTCO II benthos work and fruitful discussions, Anke Meyerdierks for help with sequence processing and Catherine Lalande for helpful comments on the manuscript. This study was funded by the Max Planck Society. SER was supported by the Leibniz program of the Deutsche Forschungsgemeinschaft to Antje Boetius.</t>
  </si>
  <si>
    <t>10.1016/j.dsr2.2014.05.011</t>
  </si>
  <si>
    <t>WOS:000345110800002</t>
  </si>
  <si>
    <t>Jörger, KM; Schrödl, M; Schwabe, E; Würzberg, L</t>
  </si>
  <si>
    <t>Joerger, K. M.; Schroedl, M.; Schwabe, E.; Wuerzberg, L.</t>
  </si>
  <si>
    <t>A glimpse into the deep of the Antarctic Polar Front - Diversity and abundance of abyssal molluscs</t>
  </si>
  <si>
    <t>Gastropoda; Latitudinal gradient; Biogeography; Faunal exchange</t>
  </si>
  <si>
    <t>SOUTHERN-OCEAN; EPIBENTHIC-SLEDGE; SPECIES-DIVERSITY; 1ST INSIGHTS; BIODIVERSITY; GASTROPODA; PATTERNS; BIVALVIA; BIOGEOGRAPHY; DISPERSAL</t>
  </si>
  <si>
    <t>Our knowledge of the biodiversity and distribution patterns of benthic deep-sea faunas is still limited, with large parts of the world's abyss unexplored, lacking cc-taxonomic data across oceans basins and especially of biogeographic transition zones between oceans. The Antarctic Polar Frontal Zone has been discussed as major biogeographic barrier hindering faunal exchange between Subantarctic and Antarctic provinces and conserving high rates of endemism in the Southern Ocean benthos. In the present study we report first, exploratory a-taxonomy on the malacofauna sampled by means of an epibenthic sledge from four bathyal respectively abyssal stations (2732-4327 m depth) in the vicinity of the Antarctic Polar Front during the SYSTCO II expedition (SYSTem COupling in the Southern Ocean, RV Polarstern cruise ANT XXVIII/3). We identified 58 distinct molluscan taxa based on external morphology ('morphospecies'); of the 33 taxa successfully assigned to described species 94% were previously reported from the Southern Ocean, but 24% exhibit distribution ranges crossing the Polar Front. One North Atlantic scaphopod is reported for the first time in Antarctic waters. Our study supports that the Antarctic Polar Front does not serve as effective barrier preventing gene flow in deep-sea molluscs. The present dataset shows the general characteristics of deep-sea sampling: patchiness in distribution and a high degree of singletons. Overall molluscan abundances were generally low ranging between 3.60 and 24.65 ind./1000 m(2), but in comparison with equatorial and subtropic abyssal basins, gastropod species richness and abundance were reaching high values similar to high Antarctic stations. Comparison between high productivity and low productivity zones along the Polar Front suggests increased abundances and species richness in high productivity zones. Intensified sampling is needed, however, to outweigh stochastic errors and to evaluate the influence of carbon flux as driving factor to faunal composition and abundances of abyssal molluscs. (C) 2014 Elsevier Ltd. All rights reserved.</t>
  </si>
  <si>
    <t>[Joerger, K. M.; Schroedl, M.; Schwabe, E.] SNSB Bavarian State Collect Zool, D-81247 Munich, Germany; [Wuerzberg, L.] Biozentrum Grindel, D-20146 Hamburg, Germany; [Wuerzberg, L.] Zool Museum, D-20146 Hamburg, Germany; [Joerger, K. M.; Schroedl, M.] Univ Munich, Biozentrum Martinsried, D-82152 Planegg Martinsried, Germany</t>
  </si>
  <si>
    <t>University of Hamburg; University of Munich</t>
  </si>
  <si>
    <t>Jörger, KM (corresponding author), SNSB Bavarian State Collect Zool, Munchhausenstr 21, D-81247 Munich, Germany.</t>
  </si>
  <si>
    <t>Katharina.joerger@zsm.mwn.de</t>
  </si>
  <si>
    <t>DFG [SCHR667/9-1]</t>
  </si>
  <si>
    <t>We wish to thank Angelika Brandt (Biozentrum, Hamburg) for the organization of the SYSTCO II cruise and for inviting us to join the on board of RV Polarstern. Special thanks to the sorting teams at the DZMB for pre-sorting the EBS samples and Martina Vortkamp (Alfred-Wegner-Institute, Bremerhaven) for providing the database for the material of the expedition. Warm thanks are directed also to the chief scientist Dieter Wolf-Gladrow and to captain and crew of RV Polarstern for their active support during sampling and to the rest of the SYSTCO II and Eddy Pump team for valuable discussion on the project. This study was supported by DFG Project SCHR667/9-1.</t>
  </si>
  <si>
    <t>10.1016/j.dsr2.2014.08.003</t>
  </si>
  <si>
    <t>WOS:000345110800011</t>
  </si>
  <si>
    <t>Römer, M; Torres, M; Kasten, S; Kuhn, G; Graham, AGC; Mau, S; Little, CTS; Linse, K; Pape, T; Geprägs, P; Fischer, D; Wintersteller, P; Marcon, Y; Rethemeyer, J; Bohrmann, G</t>
  </si>
  <si>
    <t>Roemer, M.; Torres, M.; Kasten, S.; Kuhn, G.; Graham, A. G. C.; Mau, S.; Little, C. T. S.; Linse, K.; Pape, T.; Gepraegs, P.; Fischer, D.; Wintersteller, P.; Marcon, Y.; Rethemeyer, J.; Bohrmann, G.</t>
  </si>
  <si>
    <t>Shipboard Sci Party ANT-XXIX 4</t>
  </si>
  <si>
    <t>First evidence of widespread active methane seepage in the Southern Ocean, off the sub-Antarctic island of South Georgia</t>
  </si>
  <si>
    <t>cold seeps; gas bubble emissions; methane seepage; South Georgia</t>
  </si>
  <si>
    <t>SANTA-BARBARA CHANNEL; COAL OIL POINT; TEMPORAL VARIATION; HYDROCARBON SEEP; CHEMICAL FLUXES; HYDRATE RIDGE; MUD VOLCANOS; BLACK-SEA; COLD-SEEP; OXIDATION</t>
  </si>
  <si>
    <t>An extensive submarine cold-seep area was discovered on the northern shelf of South Georgia during R/V Polarstern cruise ANT-XXIX/4 in spring 2013. Hydroacoustic surveys documented the presence of 133 gas bubble emissions, which were restricted to glacially-formed fjords and troughs. Video-based sea floor observations confirmed the sea floor origin of the gas emissions and spatially related microbial mats. Effective methane transport from these emissions into the hydrosphere was proven by relative enrichments of dissolved methane in near-bottom waters. Stable carbon isotopic signatures pointed to a predominant microbial methane formation, presumably based on high organic matter sedimentation in this region. Although known from many continental margins in the world's oceans, this is the first report of an active area of methane seepage in the Southern Ocean. Our finding of substantial methane emission related to a trough and fjord system, a topographical setting that exists commonly in glacially-affected areas, opens up the possibility that methane seepage is a more widespread phenomenon in polar and sub-polar regions than previously thought. (C) 2014 Elsevier B.V. All rights reserved.</t>
  </si>
  <si>
    <t>[Roemer, M.; Mau, S.; Pape, T.; Gepraegs, P.; Fischer, D.; Wintersteller, P.; Marcon, Y.; Bohrmann, G.] Univ Bremen, Dept Geosci, MARUM Ctr Marine Environm Sci, D-28359 Bremen, Germany; [Torres, M.] Oregon State Univ, Coll Ocean &amp; Atmospher Sci, Corvallis, OR 97331 USA; [Kasten, S.; Kuhn, G.; Fischer, D.] Helmholtz Ctr Polar &amp; Marine Res, Alfred Wegener Inst, D-27515 Bremerhaven, Germany; [Graham, A. G. C.] Univ Exeter, Coll Life &amp; Environm Sci, Exeter EX4 4RJ, Devon, England; [Graham, A. G. C.; Linse, K.] British Antarctic Survey, Geol Sci Div, Cambridge CB3 0ET, England; [Little, C. T. S.] Univ Leeds, Sch Earth &amp; Environm, Leeds LS2 9JT, W Yorkshire, England; [Rethemeyer, J.] Univ Cologne, Inst Geol &amp; Mineral, D-50674 Cologne, Germany</t>
  </si>
  <si>
    <t>University of Bremen; Oregon State University; Helmholtz Association; Alfred Wegener Institute, Helmholtz Centre for Polar &amp; Marine Research; University of Exeter; UK Research &amp; Innovation (UKRI); Natural Environment Research Council (NERC); NERC British Antarctic Survey; University of Leeds; University of Cologne</t>
  </si>
  <si>
    <t>Römer, M (corresponding author), Univ Bremen, Dept Geosci, MARUM Ctr Marine Environm Sci, Klagenfurter Str, D-28359 Bremen, Germany.</t>
  </si>
  <si>
    <t>mroemer@marum.de</t>
  </si>
  <si>
    <t>Wintersteller, Paul/AAE-9542-2019; Pape, Thomas/E-7520-2011; Bohrmann, Gerhard/D-4474-2017; Pape, Thomas/A-8138-2018; Rethemeyer, Janet/G-4019-2013</t>
  </si>
  <si>
    <t>Pape, Thomas/0000-0001-6609-0609; Kuhn, Gerhard/0000-0001-6069-7485; Bohrmann, Gerhard/0000-0001-9976-4948; Mau, Susan/0000-0003-4186-8159; Wintersteller, Paul/0000-0002-4834-7965; Romer, Miriam/0000-0003-2540-9286; Marcon, Yann/0000-0002-1686-8045; Graham, Alastair/0000-0002-2880-2908; Linse, Katrin/0000-0003-3477-3047; Pape, Thomas/0000-0002-6872-2144; Kasten, Sabine/0000-0001-7453-5137; Rethemeyer, Janet/0000-0001-6698-4186; Little, Crispin/0000-0002-1917-4460</t>
  </si>
  <si>
    <t>Deutsche Forschungsgemeinschaft (DFG) [BO 1049/19]; DFG-Research Center/Cluster of Excellence The Ocean in the Earth System; Natural Environment Research Council (NERC) [NEK0005271]; UK Quaternary Research Association (QRA) Research Fund; ChEsSo programme - NERC [NE/DO1249X/1]; Earth Surface Sciences Institute, University of Leeds; Natural Environment Research Council [bas0100026, NE/K000527/2] Funding Source: researchfish; NERC [bas0100026, NE/K000527/2] Funding Source: UKRI</t>
  </si>
  <si>
    <t>Deutsche Forschungsgemeinschaft (DFG)(German Research Foundation (DFG)); DFG-Research Center/Cluster of Excellence The Ocean in the Earth System(German Research Foundation (DFG)); Natural Environment Research Council (NERC)(UK Research &amp; Innovation (UKRI)Natural Environment Research Council (NERC)); UK Quaternary Research Association (QRA) Research Fund; ChEsSo programme - NERC; Earth Surface Sciences Institute, University of Leeds; Natural Environment Research Council(UK Research &amp; Innovation (UKRI)Natural Environment Research Council (NERC)); NERC(UK Research &amp; Innovation (UKRI)Natural Environment Research Council (NERC))</t>
  </si>
  <si>
    <t>We greatly appreciate the shipboard support from the master and crew of the research vessel Polarstern during cruise ANT-XXIX/4. This work was supported by the Deutsche Forschungsgemeinschaft (DFG) in the framework of the priority program 'Antarctic Research with comparative investigations in Arctic ice areas' by a grant to BO 1049/19 and through the DFG-Research Center/Cluster of Excellence The Ocean in the Earth System. AGCG was supported by Natural Environment Research Council (NERC) New Investigator Grant, NEK0005271, and by a fieldwork grant from the UK Quaternary Research Association (QRA) Research Fund. KL was supported by the ChEsSo programme (Consortium Grant NE/DO1249X/1) funded by NERC. CTSL acknowledges travel funds from the Earth Surface Sciences Institute, University of Leeds.</t>
  </si>
  <si>
    <t>10.1016/j.epsl.2014.06.036</t>
  </si>
  <si>
    <t>WOS:000342247100016</t>
  </si>
  <si>
    <t>Jevrejeva, S; Grinsted, A; Moore, JC</t>
  </si>
  <si>
    <t>Jevrejeva, S.; Grinsted, A.; Moore, J. C.</t>
  </si>
  <si>
    <t>Upper limit for sea level projections by 2100</t>
  </si>
  <si>
    <t>ENVIRONMENTAL RESEARCH LETTERS</t>
  </si>
  <si>
    <t>sea level rise; high end projections; climate change</t>
  </si>
  <si>
    <t>SURFACE MASS-BALANCE; ANTARCTIC ICE-SHEET; CLIMATE-CHANGE; GLACIER CONTRIBUTIONS; WEST ANTARCTICA; PINE ISLAND; MODEL; RISE; EMBAYMENT; THWAITES</t>
  </si>
  <si>
    <t>We construct the probability density function of global sea level at 2100, estimating that sea level rises larger than 180 cm are less than 5% probable. An upper limit for global sea level rise of 190 cm is assembled by summing the highest estimates of individual sea level rise components simulated by process based models with the RCP8.5 scenario. The agreement between the methods may suggest more confidence than is warranted since large uncertainties remain due to the lack of scenario-dependent projections from ice sheet dynamical models, particularly for mass loss from marine-based fast flowing outlet glaciers in Antarctica. This leads to an intrinsically hard to quantify fat tail in the probability distribution for global mean sea level rise. Thus our low probability upper limit of sea level projections cannot be considered definitive. Nevertheless, our upper limit of 180 cm for sea level rise by 2100 is based on both expert opinion and process studies and hence indicates that other lines of evidence are needed to justify a larger sea level rise this century.</t>
  </si>
  <si>
    <t>[Jevrejeva, S.] Natl Oceanog Ctr, Liverpool, Merseyside, England; [Grinsted, A.] Univ Copenhagen, Niels Bohr Inst, Ctr Ice &amp; Climate, DK-2100 Copenhagen, Denmark; [Moore, J. C.] Beijing Normal Univ, State Key Lab Earth Surface Proc &amp; Resource Ecol, Coll Global Change &amp; Earth Syst Sci, Beijing 100875, Peoples R China; [Moore, J. C.] Univ Lapland, Arctic Ctr, Rovaniemi, Finland</t>
  </si>
  <si>
    <t>NERC National Oceanography Centre; University of Copenhagen; Niels Bohr Institute; Beijing Normal University; University of Lapland</t>
  </si>
  <si>
    <t>Jevrejeva, S (corresponding author), Natl Oceanog Ctr, Liverpool, Merseyside, England.</t>
  </si>
  <si>
    <t>john.moore.bnu@gmail.com</t>
  </si>
  <si>
    <t>Moore, John C/B-2868-2013; Grinsted, Aslak/J-9273-2012</t>
  </si>
  <si>
    <t>Moore, John C/0000-0001-8271-5787; Grinsted, Aslak/0000-0003-1634-6009</t>
  </si>
  <si>
    <t>European Union's Seventh Programme for Research, Technological Development and Demonstration [FP7-ENV-2013-Two-Stage-603396-RISES-AM]; NERC consortium 'Using Inter-glacial to assess future sea level scenarios' [NE/I008365/1]; Beijing Normal University, College of Global Change and Earth System Science, State Key Laboratory on Earth Surface Processes and Resource Ecology [270403 GK]; Danish Strategic Research Council through Centre for Regional Change in the Earth System (CRES) [DSF-EnMi 09-066868]; Natural Environment Research Council [NE/I008365/1, noc010012, NE/I009906/1] Funding Source: researchfish; NERC [NE/I008365/1, NE/I009906/1] Funding Source: UKRI</t>
  </si>
  <si>
    <t>European Union's Seventh Programme for Research, Technological Development and Demonstration(European Union (EU)); NERC consortium 'Using Inter-glacial to assess future sea level scenarios'; Beijing Normal University, College of Global Change and Earth System Science, State Key Laboratory on Earth Surface Processes and Resource Ecology; Danish Strategic Research Council through Centre for Regional Change in the Earth System (CRES); Natural Environment Research Council(UK Research &amp; Innovation (UKRI)Natural Environment Research Council (NERC)); NERC(UK Research &amp; Innovation (UKRI)Natural Environment Research Council (NERC))</t>
  </si>
  <si>
    <t>We acknowledge J Gregory, J L Bamber and W P Aspinall for making their data available in this study. We would like to thank anonymous reviewers for helpful comments that improved our manuscript. This publication has received funding from the European Union's Seventh Programme for Research, Technological Development and Demonstration under Grant Agreement No: FP7-ENV-2013-Two-Stage-603396-RISES-AM, NERC consortium 'Using Inter-glacial to assess future sea level scenarios' (NE/I008365/1), from Beijing Normal University, College of Global Change and Earth System Science, State Key Laboratory on Earth Surface Processes and Resource Ecology, 270403 GK and the Danish Strategic Research Council through its support of Centre for Regional Change in the Earth System (CRES; www.crescentre.dk) under contract no DSF-EnMi 09-066868.</t>
  </si>
  <si>
    <t>IOP Publishing Ltd</t>
  </si>
  <si>
    <t>1748-9326</t>
  </si>
  <si>
    <t>ENVIRON RES LETT</t>
  </si>
  <si>
    <t>Environ. Res. Lett.</t>
  </si>
  <si>
    <t>10.1088/1748-9326/9/10/104008</t>
  </si>
  <si>
    <t>AT5DP</t>
  </si>
  <si>
    <t>WOS:000344964000012</t>
  </si>
  <si>
    <t>Newsham, KK; Goodall-Copestake, WP; Ochyra, R; Vána, J</t>
  </si>
  <si>
    <t>Newsham, K. K.; Goodall-Copestake, W. P.; Ochyra, R.; Vana, J.</t>
  </si>
  <si>
    <t>Mycothalli of the hepatic Barbilophozia hatcheri in Antarctica: distribution and identities of mycobionts</t>
  </si>
  <si>
    <t>FUNGAL ECOLOGY</t>
  </si>
  <si>
    <t>Antarctica; Barbilophozia hatcheri; Climate change; Herbarium; Latitudinal transect; Mycothalli; Sebacinales clade B</t>
  </si>
  <si>
    <t>ARBUSCULAR MYCORRHIZAL; FUNGAL ASSOCIATIONS; LEAFY LIVERWORT; SEBACINALES; ENDOPHYTES; ERICACEAE; PATTERNS; IDENTIFICATION; COLONIZATION; BRYOPHYTES</t>
  </si>
  <si>
    <t>Forty-four herbarium specimens of the hepatic Barbilophozia hatcheri, collected from across the entire range of the species in Antarctica (54-68 degrees S), were examined for fungal colonisation. Mycothalli, consisting of hyaline hyphae in rhizoids or hyphal coils in rhizoid bases and stem medullary cells, were present in 42 specimens. The frequencies of mycothalli declined at higher latitudes and were associated positively with annual air temperatures. In contrast, the frequency of dark septate hyphae on stems increased at higher latitudes. Sequencing of ITS regions of fungal rRNA genes amplified from B. hatcheri from 54 degrees S, 61 degrees S and 68 degrees S indicated that Cladophialophora species colonised plants at higher latitudes, but that most fungi had &gt;99 % homology with members of Sebacinales clade B, with best matches to mycobionts of B. lycopodioides, Lophoziopsis excisa and Protolophozia crispata. We propose the use of herbarium specimens of mycothalli as proxies for climate change in Antarctica. Crown Copyright (C) 2014 Published by Elsevier Ltd. All rights reserved.</t>
  </si>
  <si>
    <t>[Newsham, K. K.; Goodall-Copestake, W. P.] British Antarctic Survey, Nat Environm Res Council, Cambridge CB3 0ET, England; [Ochyra, R.] Polish Acad Sci, Inst Bot, Bryol Lab, PL-31512 Krakow, Poland; [Vana, J.] Charles Univ Prague, Dept Bot, Fac Sci, CZ-12801 Prague 2, Czech Republic</t>
  </si>
  <si>
    <t>UK Research &amp; Innovation (UKRI); Natural Environment Research Council (NERC); NERC British Antarctic Survey; Polish Academy of Sciences; Charles University Prague</t>
  </si>
  <si>
    <t>Newsham, KK (corresponding author), British Antarctic Survey, Nat Environm Res Council, Madingley Rd, Cambridge CB3 0ET, England.</t>
  </si>
  <si>
    <t>kne@bas.ac.uk</t>
  </si>
  <si>
    <t>Váňa, Jiří/I-5979-2016; Goodall-Copestake, William P/C-1061-2011; Goodall-Copestake, William/CAF-6866-2022</t>
  </si>
  <si>
    <t>Ochyra, Ryszard/0000-0002-2541-0722; Goodall-Copestake, Will/0000-0003-3586-9091</t>
  </si>
  <si>
    <t>Natural Environment Research Council; Natural Environment Research Council [bas0100025] Funding Source: researchfish; NERC [bas0100025] Funding Source: UKRI</t>
  </si>
  <si>
    <t>Funding was provided by the Natural Environment Research Council through the British Antarctic Survey's Communities and Biodiversity workpackage. Ron Lewis Smith, Ken Richard, Bill Hankinson, Alistair Moffat and Cora de Leeuw collected the specimens of B. hatcheri. The crew of RRS James Clark Ross assisted with transport to and from South Georgia and Signy Island, and Dave Hunt and Russ Ladkin assisted with fieldwork on Leonie Island. Magda Biszczuk drew Fig 1. Marc-Andre Selosse and an anonymous reviewer provided helpful comments on the manuscript. All are gratefully acknowledged.</t>
  </si>
  <si>
    <t>1754-5048</t>
  </si>
  <si>
    <t>1878-0083</t>
  </si>
  <si>
    <t>FUNGAL ECOL</t>
  </si>
  <si>
    <t>Fungal Ecol.</t>
  </si>
  <si>
    <t>10.1016/j.funeco.2014.05.001</t>
  </si>
  <si>
    <t>Ecology; Mycology</t>
  </si>
  <si>
    <t>Environmental Sciences &amp; Ecology; Mycology</t>
  </si>
  <si>
    <t>AP7FU</t>
  </si>
  <si>
    <t>WOS:000342244000010</t>
  </si>
  <si>
    <t>Wölfl, AC; Lim, CH; Hass, HC; Lindhorst, S; Tosonotto, G; Lettmann, KA; Kuhn, G; Wolff, JO; Abele, D</t>
  </si>
  <si>
    <t>Woelfl, Anne-Cathrin; Lim, Chai Heng; Hass, H. Christian; Lindhorst, Sebastian; Tosonotto, Gabriela; Lettmann, Karsten Alexander; Kuhn, Gerhard; Wolff, Joerg-Olaf; Abele, Doris</t>
  </si>
  <si>
    <t>Distribution and characteristics of marine habitats in a subpolar bay based on hydroacoustics and bed shear stress estimates-Potter Cove, King George Island, Antarctica</t>
  </si>
  <si>
    <t>GEO-MARINE LETTERS</t>
  </si>
  <si>
    <t>BOTTOM CLASSIFICATION-SYSTEM; CLIMATE-CHANGE; FINITE-VOLUME; WAVE MODEL; COMMUNITIES; ROXANN; SEDIMENTATION; ASSOCIATIONS; RESOLUTION; BIOMASS</t>
  </si>
  <si>
    <t>Marine habitats worldwide are increasingly pressurized by climate change, especially along the Antarctic Peninsula. Well-studied areas in front of rapidly retreating tidewater glaciers like Potter Cove are representative for similar coastal environments and, therefore, shed light on habitat formation and development on not only a local but also regional scale. The objective of this study was to provide insights into habitat distribution in Potter Cove, King George Island, Antarctica, and to evaluate the associated environmental processes. Furthermore, an assessment concerning the future development of the habitats is provided. To describe the seafloor habitats in Potter Cove, an acoustic seabed discrimination system (RoxAnn) was used in combination with underwater video images and sediment samples. Due to the absence of wave and current measurements in the study area, bed shear stress estimates served to delineate zones prone to sediment erosion. On the basis of the investigations, two habitat classes were identified in Potter Cove, namely soft-sediment and stone habitats that, besides influences from sediment supply and coastal morphology, are controlled by sediment erosion. A future expansion of the stone habitat is predicted if recent environmental change trends continue. Possible implications for the Potter Cove environment, and other coastal ecosystems under similar pressure, include changes in biomass and species composition.</t>
  </si>
  <si>
    <t>[Woelfl, Anne-Cathrin; Hass, H. Christian] Alfred Wegener Inst, Wadden Sea Res Stn, D-25992 List Auf Sylt, Germany; [Lim, Chai Heng; Lettmann, Karsten Alexander; Wolff, Joerg-Olaf] Carl von Ossietzky Univ Oldenburg, ICBM, D-26111 Oldenburg, Germany; [Lindhorst, Sebastian] Univ Hamburg, Inst Geol &amp; Paleontol, Hamburg, Germany; [Tosonotto, Gabriela] Inst Antartico Argentino, Buenos Aires, DF, Argentina; [Kuhn, Gerhard; Abele, Doris] Alfred Wegener Inst Polar &amp; Marine Res, Bremerhaven, Germany</t>
  </si>
  <si>
    <t>Helmholtz Association; Alfred Wegener Institute, Helmholtz Centre for Polar &amp; Marine Research; Carl von Ossietzky Universitat Oldenburg; University of Hamburg; Instituto Antartico Argentino; Helmholtz Association; Alfred Wegener Institute, Helmholtz Centre for Polar &amp; Marine Research</t>
  </si>
  <si>
    <t>Wölfl, AC (corresponding author), Alfred Wegener Inst, Wadden Sea Res Stn, D-25992 List Auf Sylt, Germany.</t>
  </si>
  <si>
    <t>awoelfl@awi.de</t>
  </si>
  <si>
    <t>Lim, Chai Heng/M-1793-2017; Hass, H. Christian/O-7229-2017; Wolff, Joerg-Olaf/F-8248-2010</t>
  </si>
  <si>
    <t>Hass, H. Christian/0000-0003-2649-6828; Wolff, Joerg-Olaf/0000-0001-7037-7688; Kuhn, Gerhard/0000-0001-6069-7485; Abele, Doris/0000-0002-5766-5017</t>
  </si>
  <si>
    <t>ESF IMCOAST project [03F0617A]; EU project IMCONet (FP7 IRSES) [319718]</t>
  </si>
  <si>
    <t>ESF IMCOAST project; EU project IMCONet (FP7 IRSES)</t>
  </si>
  <si>
    <t>This study is part of the ESF IMCOAST project (grant no. 03F0617A) and the EU project IMCONet (FP7 IRSES, action no. 319718). The authors acknowledge the IAA (Instituto Antartico Argentino, Buenos Aires, Argentina) for providing bathymetric data. Many thanks go to Prof. Changsheng Chen, Dr. Jianhua Qi and the MEDM research group in SMAST, University of Massachusetts, Dartmouth, for providing the FVCOM source codes and advisory help. We would also like to express our gratitude to the crews of Carlini (formerly Jubany) Station from 2010/2011 and 2011/2012, with special thanks to Gaston Rihedel, Alejandro Ulrich, Veronica Fuentes, Alejandro Olariaga, Dolores Deregibus, Nina Wittenberg, Eduardo Ruiz Barlett and Marta Sierra for their unfailing support during field campaigns. Two anonymous reviewers are thanked for their constructive comments on the manuscript.</t>
  </si>
  <si>
    <t>0276-0460</t>
  </si>
  <si>
    <t>1432-1157</t>
  </si>
  <si>
    <t>GEO-MAR LETT</t>
  </si>
  <si>
    <t>Geo-Mar. Lett.</t>
  </si>
  <si>
    <t>10.1007/s00367-014-0375-1</t>
  </si>
  <si>
    <t>AP1KM</t>
  </si>
  <si>
    <t>WOS:000341828400003</t>
  </si>
  <si>
    <t>Purdie, H; Anderson, B; Chinn, T; Owens, I; Mackintosh, A; Lawson, W</t>
  </si>
  <si>
    <t>Purdie, Heather; Anderson, Brian; Chinn, Trevor; Owens, Ian; Mackintosh, Andrew; Lawson, Wendy</t>
  </si>
  <si>
    <t>Franz Josef and Fox Glaciers, New Zealand: Historic length records</t>
  </si>
  <si>
    <t>glacier length; reaction time; climate change; debris-cover; Fox Glacier; Franz Josef Glacier</t>
  </si>
  <si>
    <t>O-HINE-HUKATERE; SOUTHERN ALPS; MASS-BALANCE; MOUNTAIN GLACIERS; CLIMATE-CHANGE; FLUCTUATIONS; TELECONNECTIONS; ABLATION; RETREAT; SCALE</t>
  </si>
  <si>
    <t>Compilation of modem and historical length change records for Franz Josef and Fox Glaciers demonstrates that these glaciers have lost similar to 3 km in length and at least 3-4 km(2) in area since the 1800s, with the greatest overall loss occurring between 1934 and 1983. Within this dramatic and ongoing retreat, both glaciers have experienced periods of re-advance. The record from Franz Josef Glacier is the most detailed, and shows major advances from 1946 to 1951 (340 m), 1965-1967 (400 m), 1983-1999 (1420 m) and 2004-2008 (280 m). At Fox Glacier the record is similar, with advances recorded during 1964-1968 (60 m), 1985-1999 (710 m) and 2004-2008 (290 m). Apart from the latest advance event, the magnitude of advance has been greater at Franz Josef Glacier, suggesting a higher length sensitivity. Analysis of the relationship between glacier length and a reconstructed annual equilibrium line altitude (ELA) record shows that the glaciers react very quickly to ELA variations - with the greatest correlation at 3-4 years' lag. The present (2014) retreat is the fastest retreat in the records of both glaciers. While decadal length fluctuations have been linked to hemispheric ocean-atmosphere variability, the overall reduction in length is a clear sign of twentieth century warming. However, documenting glacier length changes can be challenging; especially when increased surface debris-cover makes identification of the 'true' terminus a convoluted process. (C) 2014 Elsevier B.V. All rights reserved.</t>
  </si>
  <si>
    <t>[Purdie, Heather; Owens, Ian; Lawson, Wendy] Univ Canterbury, Dept Geog, Christchurch 1, New Zealand; [Anderson, Brian; Mackintosh, Andrew] Victoria Univ Wellington, Antarctic Res Ctr, Wellington, New Zealand; [Chinn, Trevor] Lake Hawea Inst Cryodynam, LGM Hawea, Lake Hawea, New Zealand</t>
  </si>
  <si>
    <t>University of Canterbury; Victoria University Wellington</t>
  </si>
  <si>
    <t>Purdie, H (corresponding author), Univ Canterbury, Dept Geog, Private Bag 4800, Christchurch 1, New Zealand.</t>
  </si>
  <si>
    <t>heather.purdie@canterbury.ac.nz</t>
  </si>
  <si>
    <t>Purdie, Heather/0000-0002-2723-6908; Mackintosh, Andrew/0000-0002-6430-4711</t>
  </si>
  <si>
    <t>NIWAs regional climate modelling programme; NIWA end-of-summer snowline programme</t>
  </si>
  <si>
    <t>We are grateful for the dedication shown by those who have provided data for frontal positions in Tables 1 and 2. We also acknowledge support from NIWAs regional climate modelling programme and the NIWA end-of-summer snowline programme. Helpful comments from three anonymous referees further contributed to the refinement of this paper.</t>
  </si>
  <si>
    <t>10.1016/j.gloplacha.2014.06.008</t>
  </si>
  <si>
    <t>AO7US</t>
  </si>
  <si>
    <t>WOS:000341558700005</t>
  </si>
  <si>
    <t>Constable, AJ; Melbourne-Thomas, J; Corney, SP; Arrigo, KR; Barbraud, C; Barnes, DKA; Bindoff, NL; Boyd, PW; Brandt, A; Costa, DP; Davidson, AT; Ducklow, HW; Emmerson, L; Fukuchi, M; Gutt, J; Hindell, MA; Hofmann, EE; Hosie, GW; Iida, T; Jacob, S; Johnston, NM; Kawaguchi, S; Kokubun, N; Koubbi, P; Lea, MA; Makhado, A; Massom, RA; Meiners, K; Meredith, MP; Murphy, EJ; Nicol, S; Reid, K; Richerson, K; Riddle, MJ; Rintoul, SR; Smith, WO; Southwell, C; Stark, JS; Sumner, M; Swadling, KM; Takahashi, KT; Trathan, PN; Welsford, DC; Weimerskirch, H; Westwood, KJ; Wienecke, BC; Wolf-Gladrow, D; Wright, SW; Xavier, JC; Ziegler, P</t>
  </si>
  <si>
    <t>Constable, Andrew J.; Melbourne-Thomas, Jessica; Corney, Stuart P.; Arrigo, Kevin R.; Barbraud, Christophe; Barnes, David K. A.; Bindoff, Nathaniel L.; Boyd, Philip W.; Brandt, Angelika; Costa, Daniel P.; Davidson, Andrew T.; Ducklow, Hugh W.; Emmerson, Louise; Fukuchi, Mitsuo; Gutt, Julian; Hindell, Mark A.; Hofmann, Eileen E.; Hosie, Graham W.; Iida, Takahiro; Jacob, Sarah; Johnston, Nadine M.; Kawaguchi, So; Kokubun, Nobuo; Koubbi, Philippe; Lea, Mary-Anne; Makhado, Azwianewi; Massom, Rob A.; Meiners, Klaus; Meredith, Michael P.; Murphy, Eugene J.; Nicol, Stephen; Reid, Keith; Richerson, Kate; Riddle, Martin J.; Rintoul, Stephen R.; Smith, Walker O., Jr.; Southwell, Colin; Stark, Jonathon S.; Sumner, Michael; Swadling, Kerrie M.; Takahashi, Kunio T.; Trathan, Phil N.; Welsford, Dirk C.; Weimerskirch, Henri; Westwood, Karen J.; Wienecke, Barbara C.; Wolf-Gladrow, Dieter; Wright, Simon W.; Xavier, Jose C.; Ziegler, Philippe</t>
  </si>
  <si>
    <t>Climate change and Southern Ocean ecosystems I: how changes in physical habitats directly affect marine biota</t>
  </si>
  <si>
    <t>Antarctica; benthos; climate change; krill; marine ecosystems; marine mammals; ocean acidification; penguins; plankton; sea ice</t>
  </si>
  <si>
    <t>KRILL EUPHAUSIA-SUPERBA; SEA-ICE EXTENT; MODELS HISTORICAL BIAS; PHYTOPLANKTON COMMUNITY STRUCTURE; WEST ANTARCTIC PENINSULA; POPULATION-DYNAMICS; SCOTIA SEA; FOOD-WEB; DISSOSTICHUS-ELEGINOIDES; INTERANNUAL VARIABILITY</t>
  </si>
  <si>
    <t>Antarctic and Southern Ocean (ASO) marine ecosystems have been changing for at least the last 30years, including in response to increasing ocean temperatures and changes in the extent and seasonality of sea ice; the magnitude and direction of these changes differ between regions around Antarctica that could see populations of the same species changing differently in different regions. This article reviews current and expected changes in ASO physical habitats in response to climate change. It then reviews how these changes may impact the autecology of marine biota of this polar region: microbes, zooplankton, salps, Antarctic krill, fish, cephalopods, marine mammals, seabirds, and benthos. The general prognosis for ASO marine habitats is for an overall warming and freshening, strengthening of westerly winds, with a potential pole-ward movement of those winds and the frontal systems, and an increase in ocean eddy activity. Many habitat parameters will have regionally specific changes, particularly relating to sea ice characteristics and seasonal dynamics. Lower trophic levels are expected to move south as the ocean conditions in which they are currently found move pole-ward. For Antarctic krill and finfish, the latitudinal breadth of their range will depend on their tolerance of warming oceans and changes to productivity. Ocean acidification is a concern not only for calcifying organisms but also for crustaceans such as Antarctic krill; it is also likely to be the most important change in benthic habitats over the coming century. For marine mammals and birds, the expected changes primarily relate to their flexibility in moving to alternative locations for food and the energetic cost of longer or more complex foraging trips for those that are bound to breeding colonies. Few species are sufficiently well studied to make comprehensive species-specific vulnerability assessments possible. Priorities for future work are discussed.</t>
  </si>
  <si>
    <t>[Constable, Andrew J.; Melbourne-Thomas, Jessica; Davidson, Andrew T.; Emmerson, Louise; Hosie, Graham W.; Jacob, Sarah; Kawaguchi, So; Massom, Rob A.; Meiners, Klaus; Riddle, Martin J.; Southwell, Colin; Stark, Jonathon S.; Sumner, Michael; Welsford, Dirk C.; Westwood, Karen J.; Wienecke, Barbara C.; Wright, Simon W.; Ziegler, Philippe] Australian Antarctic Div, Kingston, Tas 7050, Australia; [Constable, Andrew J.; Melbourne-Thomas, Jessica; Corney, Stuart P.; Bindoff, Nathaniel L.; Davidson, Andrew T.; Hosie, Graham W.; Kawaguchi, So; Massom, Rob A.; Meiners, Klaus; Nicol, Stephen; Rintoul, Stephen R.; Southwell, Colin; Westwood, Karen J.; Wright, Simon W.] Antarctic Climate &amp; Ecosyst Cooperat Res Ctr, Hobart, Tas 7001, Australia; [Arrigo, Kevin R.] Stanford Univ, Dept Environm Earth Syst Sci, Stanford, CA 94305 USA; [Barbraud, Christophe; Weimerskirch, Henri] Univ La Rochelle, CNRS, UMR 7372, Ctr Etud Biol Chize, F-79360 Villiers E Bois, France; [Barnes, David K. A.; Johnston, Nadine M.; Meredith, Michael P.; Murphy, Eugene J.; Trathan, Phil N.; Xavier, Jose C.] British Antarctic Survey, Cambridge CB3 0ET, England; [Bindoff, Nathaniel L.; Rintoul, Stephen R.] CSIRO Marine &amp; Atmospher Res, Hobart, Tas 7001, Australia; [Bindoff, Nathaniel L.; Boyd, Philip W.; Hindell, Mark A.; Lea, Mary-Anne; Nicol, Stephen; Swadling, Kerrie M.] Univ Tasmania, Inst Marine &amp; Antarctic Studies, Hobart, Tas 7001, Australia; [Boyd, Philip W.] Univ Otago, Dept Chem, Ctr Chem &amp; Phys Oceanog, Dunedin, New Zealand; [Brandt, Angelika] Univ Hamburg, Bioctr Grindel, D-20146 Hamburg, Germany; [Brandt, Angelika] Univ Hamburg, Zool Museum, D-20146 Hamburg, Germany; [Costa, Daniel P.; Richerson, Kate] Univ Calif Santa Cruz, Santa Cruz, CA 95064 USA; [Ducklow, Hugh W.] Columbia Univ, Lamont Doherty Earth Observ, Palisades, NY 10964 USA; [Fukuchi, Mitsuo; Iida, Takahiro; Kokubun, Nobuo; Takahashi, Kunio T.] Natl Inst Polar Res, Tachikawa, Tokyo 1908518, Japan; [Gutt, Julian; Wolf-Gladrow, Dieter] Helmholtz Zentrum Polar &amp; Meeresforsch, Alfred Wegener Inst, Bremerhaven, Germany; [Hofmann, Eileen E.] Old Dominion Univ, Ctr Coastal Phys Oceanog, Norfolk, VA USA; [Koubbi, Philippe] Univ Paris 06, Sorbonne Univ, CNRS, UMR 7208,BOREA,MNHN,IRD,UCBN, F-75005 Paris, France; [Makhado, Azwianewi] Dept Environm Affairs Oceans &amp; Coasts, ZA-8000 Cape Town, South Africa; [Reid, Keith] Commiss Conservat Antarctic Marine Living Resourc, Hobart, Tas 7000, Australia; [Smith, Walker O., Jr.] Coll William &amp; Mary, Virginia Inst Marine Sci, Gloucester Pt, VA USA; [Xavier, Jose C.] Univ Coimbra, Inst Marine Res, P-3001401 Coimbra, Portugal</t>
  </si>
  <si>
    <t>Australian Antarctic Division; Antarctic Climate &amp; Ecosystems Cooperative Research Centre (ACE CRC); Stanford University; Centre National de la Recherche Scientifique (CNRS); CNRS - Institute of Ecology &amp; Environment (INEE); La Rochelle Universite; UK Research &amp; Innovation (UKRI); Natural Environment Research Council (NERC); NERC British Antarctic Survey; Commonwealth Scientific &amp; Industrial Research Organisation (CSIRO); University of Tasmania; University of Otago; University of Hamburg; University of Hamburg; University of California System; University of California Santa Cruz; Columbia University; Research Organization of Information &amp; Systems (ROIS); National Institute of Polar Research (NIPR) - Japan; Helmholtz Association; Alfred Wegener Institute, Helmholtz Centre for Polar &amp; Marine Research; Old Dominion University; Centre National de la Recherche Scientifique (CNRS); CNRS - Institute of Ecology &amp; Environment (INEE); Institut de Recherche pour le Developpement (IRD); Museum National d'Histoire Naturelle (MNHN); Sorbonne Universite; William &amp; Mary; Virginia Institute of Marine Science; Universidade de Coimbra</t>
  </si>
  <si>
    <t>Constable, AJ (corresponding author), Australian Antarctic Div, Channel Highway, Kingston, Tas 7050, Australia.</t>
  </si>
  <si>
    <t>andrew.constable@aad.gov.au</t>
  </si>
  <si>
    <t>Kawaguchi, So/N-1795-2017; Sumner, Michael D/J-3478-2013; Bindoff, Nathaniel Lee/C-8050-2011; Barbraud, Christophe/A-5870-2012; Xavier, José/KFB-6739-2024; Weimerskirch, Henri/F-5562-2013; Melbourne-Thomas, Jess/N-2437-2019; Hindell, Mark A/K-1131-2013; Koubbi, Philippe/D-5873-2015; murphy, eugene/GZL-1620-2022; Weimerskirch, Henri/K-7306-2019; Brandt, Angelika/C-1630-2018; Rintoul, Stephen R/A-1471-2012; Stark, Jonathan/ABF-4025-2020; Bindoff, Nathaniel Lee/IVV-0333-2023; Lea, Mary-Anne/E-9054-2013; Boyd, Philip/J-7624-2014; Costa, Daniel Paul/E-2616-2013</t>
  </si>
  <si>
    <t>Bindoff, Nathaniel Lee/0000-0001-5662-9519; Barbraud, Christophe/0000-0003-0146-212X; Melbourne-Thomas, Jess/0000-0001-6585-876X; Weimerskirch, Henri/0000-0002-0457-586X; Rintoul, Stephen R/0000-0002-7055-9876; Stark, Jonathan/0000-0002-4268-8072; Bindoff, Nathaniel Lee/0000-0001-5662-9519; Massom, Robert/0000-0003-1533-5084; Hindell, Mark/0000-0002-7823-7185; Swadling, Kerrie/0000-0002-7620-841X; Westwood, Karen/0000-0003-1060-7140; Johnston, Nadine M/0000-0003-2211-1492; Gutt, Julian/0000-0003-3773-9370; Arrigo, Kevin/0000-0002-7364-876X; Ziegler, Philippe/0000-0001-5940-9394; Lea, Mary-Anne/0000-0001-8318-9299; Boyd, Philip/0000-0001-7850-1911; Costa, Daniel Paul/0000-0002-0233-5782; /0000-0002-9621-6660; Welsford, Dirk/0000-0001-5379-5052; Kawaguchi, So/0000-0002-2042-5095; Meredith, Michael/0000-0002-7342-7756; Sumner, Michael/0000-0002-2471-7511; Wolf-Gladrow, Dieter/0000-0001-9531-8668</t>
  </si>
  <si>
    <t>Australian Government's Cooperative Research Centres Programme through the Antarctic Climate and Ecosystems Cooperative Research Centre (ACE CRC); Australian Antarctic Division; ICED; NERC [NE/I029943/1, bas0100025, NE/I030062/1] Funding Source: UKRI; Natural Environment Research Council [bas0100025, NE/I030062/1, NE/I029943/1] Funding Source: researchfish; Division Of Polar Programs; Directorate For Geosciences [1344502] Funding Source: National Science Foundation</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</si>
  <si>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Division; ICED; NERC(UK Research &amp; Innovation (UKRI)Natural Environment Research Council (NERC)); Natural Environment Research Council(UK Research &amp; Innovation (UKRI)Natural Environment Research Council (NERC)); Division Of Polar Programs; Directorate For Geosciences(National Science Foundation (NSF)NSF - Directorate for Geosciences (GEO))</t>
  </si>
  <si>
    <t>This article was supported by the Australian Government's Cooperative Research Centres Programme through the Antarctic Climate and Ecosystems Cooperative Research Centre (ACE CRC), the Australian Antarctic Division and ICED.</t>
  </si>
  <si>
    <t>10.1111/gcb.12623</t>
  </si>
  <si>
    <t>AP6DU</t>
  </si>
  <si>
    <t>WOS:000342168500002</t>
  </si>
  <si>
    <t>Li, YM; Liu, X; Li, XP; Petitpierre, B; Guisan, A</t>
  </si>
  <si>
    <t>Li, Yiming; Liu, Xuan; Li, Xianping; Petitpierre, Blaise; Guisan, Antoine</t>
  </si>
  <si>
    <t>Residence time, expansion toward the equator in the invaded range and native range size matter to climatic niche shifts in non-native species</t>
  </si>
  <si>
    <t>GLOBAL ECOLOGY AND BIOGEOGRAPHY</t>
  </si>
  <si>
    <t>Climate match; ecological niche models (ENMs); expansion towards equator; native range size; niche shifts; non-native species; realized climatic niche; residence time</t>
  </si>
  <si>
    <t>ESTABLISHMENT SUCCESS; CONSERVATISM; DISTRIBUTIONS; AMPHIBIANS; INCREASES; PATTERNS; INSIGHTS; REPTILES; HABITAT; PLANTS</t>
  </si>
  <si>
    <t>AimIdentifying climatic niche shifts and their drivers is important for the accurate prediction of the risk of biological invasions. The niches of non-native plants and birds have recently been assessed in large-scale multispecies studies, but such large-scale tests are lacking for non-native reptiles and amphibians (herpetofauna). Furthermore, little is known about the factors that contribute to niche shifts when they occur. Based on the occurrence of 71 reptile and amphibian species, we compared native and non-native realized niches in 101 invaded ranges at a global scale and identified the factors that affect niche shifts. LocationGlobal except the Antarctic. MethodsWe assessed climatic niche dynamics in a gridded environmental space that allowed niche overlap and expansion into climatic conditions not colonized by the species in their native range to be quantified. We analysed the factors that affect niche shifts using a model-averaging approach, based on generalized linear mixed-effects models. ResultsApproximately 57% of the invaded ranges (amphibians, 51%; reptiles, 61%) showed niche shifts (10% expansion in the realized climatic niche). Island endemics, species introduced to Oceania and invaded ranges outside the native biogeographical realm all showed a higher proportion of niche shifts. Niche shifts were more likely for species that had smaller native range sizes, were introduced earlier into a new range or invaded areas located at lower latitudes than the native range. Main conclusionsThe proportion of niche shifts for non-native herpetofauna was higher than those for Holarctic non-native plants and European non-native birds. The climate-matching hypothesis' should be used with caution for species undergoing niche shifts, because it could underestimate the risk of their establishment.</t>
  </si>
  <si>
    <t>[Li, Yiming; Liu, Xuan; Li, Xianping] Chinese Acad Sci, Inst Zool, Key Lab Anim Ecol &amp; Conservat Biol, Beijing 100101, Peoples R China; [Li, Xianping] Univ Chinese Acad Sci, Beijing 100049, Peoples R China; [Petitpierre, Blaise; Guisan, Antoine] Univ Lausanne, Dept Ecol &amp; Evolut, CH-1015 Lausanne, Switzerland</t>
  </si>
  <si>
    <t>Chinese Academy of Sciences; Institute of Zoology, CAS; Chinese Academy of Sciences; University of Chinese Academy of Sciences, CAS; University of Lausanne</t>
  </si>
  <si>
    <t>Li, YM (corresponding author), Chinese Acad Sci, Inst Zool, Key Lab Anim Ecol &amp; Conservat Biol, 1 Beichen West Rd, Beijing 100101, Peoples R China.</t>
  </si>
  <si>
    <t>liym@ioz.ac.cn</t>
  </si>
  <si>
    <t>Petitpierre, Blaise/JMC-4420-2023; LI, yi/HKO-0480-2023; Guisan, Antoine/A-1057-2011; yijie, li/JRY-8316-2023; Liu, Xuan/AAF-3703-2020</t>
  </si>
  <si>
    <t>Guisan, Antoine/0000-0002-3998-4815; Liu, Xuan/0000-0003-1572-1268; Li, Xianping/0000-0003-4892-5953; Petitpierre, Blaise/0000-0002-3087-3422</t>
  </si>
  <si>
    <t>National Science Foundation of China [31370545, 31200416]; Ministry of Science and Technology of China [2013FY110300]</t>
  </si>
  <si>
    <t>National Science Foundation of China(National Natural Science Foundation of China (NSFC)); Ministry of Science and Technology of China(Ministry of Science and Technology, China)</t>
  </si>
  <si>
    <t>We thank Zetian Liu and Shaofei Yan for assisting with the collection of data, F. Kraus for helpful suggestions on data collection, and David Currie, Jose Alexandre Diniz-Filho, and four anonymous referees for their valuable comments on the manuscript. This research was supported by grants from National Science Foundation of China (31370545 and 31200416) and a grant from The Ministry of Science and Technology of China (2013FY110300).</t>
  </si>
  <si>
    <t>1466-822X</t>
  </si>
  <si>
    <t>1466-8238</t>
  </si>
  <si>
    <t>GLOBAL ECOL BIOGEOGR</t>
  </si>
  <si>
    <t>Glob. Ecol. Biogeogr.</t>
  </si>
  <si>
    <t>10.1111/geb.12191</t>
  </si>
  <si>
    <t>AP1IG</t>
  </si>
  <si>
    <t>WOS:000341821400004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</si>
</sst>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52</v>
      </c>
      <c r="O2" t="s">
        <v>74</v>
      </c>
      <c r="P2" t="s">
        <v>74</v>
      </c>
      <c r="Q2" t="s">
        <v>74</v>
      </c>
      <c r="R2" t="s">
        <v>74</v>
      </c>
      <c r="S2" t="s">
        <v>74</v>
      </c>
      <c r="T2" t="s">
        <v>74</v>
      </c>
      <c r="U2" t="s">
        <v>74</v>
      </c>
      <c r="V2" t="s">
        <v>74</v>
      </c>
      <c r="W2" t="s">
        <v>79</v>
      </c>
      <c r="X2" t="s">
        <v>80</v>
      </c>
      <c r="Y2" t="s">
        <v>74</v>
      </c>
      <c r="Z2" t="s">
        <v>81</v>
      </c>
      <c r="AA2" t="s">
        <v>74</v>
      </c>
      <c r="AB2" t="s">
        <v>74</v>
      </c>
      <c r="AC2" t="s">
        <v>74</v>
      </c>
      <c r="AD2" t="s">
        <v>74</v>
      </c>
      <c r="AE2" t="s">
        <v>74</v>
      </c>
      <c r="AF2" t="s">
        <v>74</v>
      </c>
      <c r="AG2">
        <v>0</v>
      </c>
      <c r="AH2">
        <v>0</v>
      </c>
      <c r="AI2">
        <v>0</v>
      </c>
      <c r="AJ2">
        <v>0</v>
      </c>
      <c r="AK2">
        <v>2</v>
      </c>
      <c r="AL2" t="s">
        <v>82</v>
      </c>
      <c r="AM2" t="s">
        <v>83</v>
      </c>
      <c r="AN2" t="s">
        <v>84</v>
      </c>
      <c r="AO2" t="s">
        <v>85</v>
      </c>
      <c r="AP2" t="s">
        <v>86</v>
      </c>
      <c r="AQ2" t="s">
        <v>74</v>
      </c>
      <c r="AR2" t="s">
        <v>87</v>
      </c>
      <c r="AS2" t="s">
        <v>88</v>
      </c>
      <c r="AT2" t="s">
        <v>74</v>
      </c>
      <c r="AU2">
        <v>2015</v>
      </c>
      <c r="AV2">
        <v>50</v>
      </c>
      <c r="AW2" t="s">
        <v>74</v>
      </c>
      <c r="AX2" t="s">
        <v>74</v>
      </c>
      <c r="AY2">
        <v>1</v>
      </c>
      <c r="AZ2" t="s">
        <v>74</v>
      </c>
      <c r="BA2" t="s">
        <v>89</v>
      </c>
      <c r="BB2">
        <v>183</v>
      </c>
      <c r="BC2">
        <v>183</v>
      </c>
      <c r="BD2" t="s">
        <v>74</v>
      </c>
      <c r="BE2" t="s">
        <v>74</v>
      </c>
      <c r="BF2" t="s">
        <v>74</v>
      </c>
      <c r="BG2" t="s">
        <v>74</v>
      </c>
      <c r="BH2" t="s">
        <v>74</v>
      </c>
      <c r="BI2">
        <v>1</v>
      </c>
      <c r="BJ2" t="s">
        <v>90</v>
      </c>
      <c r="BK2" t="s">
        <v>91</v>
      </c>
      <c r="BL2" t="s">
        <v>90</v>
      </c>
      <c r="BM2" t="s">
        <v>92</v>
      </c>
      <c r="BN2" t="s">
        <v>74</v>
      </c>
      <c r="BO2" t="s">
        <v>74</v>
      </c>
      <c r="BP2" t="s">
        <v>74</v>
      </c>
      <c r="BQ2" t="s">
        <v>74</v>
      </c>
      <c r="BR2" t="s">
        <v>93</v>
      </c>
      <c r="BS2" t="s">
        <v>94</v>
      </c>
      <c r="BT2" t="str">
        <f>HYPERLINK("https%3A%2F%2Fwww.webofscience.com%2Fwos%2Fwoscc%2Ffull-record%2FWOS:000360244400338","View Full Record in Web of Science")</f>
        <v>View Full Record in Web of Science</v>
      </c>
    </row>
    <row r="3" spans="1:72" x14ac:dyDescent="0.15">
      <c r="A3" t="s">
        <v>72</v>
      </c>
      <c r="B3" t="s">
        <v>95</v>
      </c>
      <c r="C3" t="s">
        <v>74</v>
      </c>
      <c r="D3" t="s">
        <v>74</v>
      </c>
      <c r="E3" t="s">
        <v>74</v>
      </c>
      <c r="F3" t="s">
        <v>96</v>
      </c>
      <c r="G3" t="s">
        <v>74</v>
      </c>
      <c r="H3" t="s">
        <v>74</v>
      </c>
      <c r="I3" t="s">
        <v>97</v>
      </c>
      <c r="J3" t="s">
        <v>98</v>
      </c>
      <c r="K3" t="s">
        <v>74</v>
      </c>
      <c r="L3" t="s">
        <v>74</v>
      </c>
      <c r="M3" t="s">
        <v>78</v>
      </c>
      <c r="N3" t="s">
        <v>99</v>
      </c>
      <c r="O3" t="s">
        <v>74</v>
      </c>
      <c r="P3" t="s">
        <v>74</v>
      </c>
      <c r="Q3" t="s">
        <v>74</v>
      </c>
      <c r="R3" t="s">
        <v>74</v>
      </c>
      <c r="S3" t="s">
        <v>74</v>
      </c>
      <c r="T3" t="s">
        <v>74</v>
      </c>
      <c r="U3" t="s">
        <v>100</v>
      </c>
      <c r="V3" t="s">
        <v>101</v>
      </c>
      <c r="W3" t="s">
        <v>102</v>
      </c>
      <c r="X3" t="s">
        <v>103</v>
      </c>
      <c r="Y3" t="s">
        <v>104</v>
      </c>
      <c r="Z3" t="s">
        <v>105</v>
      </c>
      <c r="AA3" t="s">
        <v>106</v>
      </c>
      <c r="AB3" t="s">
        <v>107</v>
      </c>
      <c r="AC3" t="s">
        <v>108</v>
      </c>
      <c r="AD3" t="s">
        <v>109</v>
      </c>
      <c r="AE3" t="s">
        <v>110</v>
      </c>
      <c r="AF3" t="s">
        <v>74</v>
      </c>
      <c r="AG3">
        <v>65</v>
      </c>
      <c r="AH3">
        <v>11</v>
      </c>
      <c r="AI3">
        <v>11</v>
      </c>
      <c r="AJ3">
        <v>2</v>
      </c>
      <c r="AK3">
        <v>31</v>
      </c>
      <c r="AL3" t="s">
        <v>111</v>
      </c>
      <c r="AM3" t="s">
        <v>112</v>
      </c>
      <c r="AN3" t="s">
        <v>113</v>
      </c>
      <c r="AO3" t="s">
        <v>114</v>
      </c>
      <c r="AP3" t="s">
        <v>115</v>
      </c>
      <c r="AQ3" t="s">
        <v>74</v>
      </c>
      <c r="AR3" t="s">
        <v>116</v>
      </c>
      <c r="AS3" t="s">
        <v>117</v>
      </c>
      <c r="AT3" t="s">
        <v>74</v>
      </c>
      <c r="AU3">
        <v>2015</v>
      </c>
      <c r="AV3">
        <v>7</v>
      </c>
      <c r="AW3">
        <v>16</v>
      </c>
      <c r="AX3" t="s">
        <v>74</v>
      </c>
      <c r="AY3" t="s">
        <v>74</v>
      </c>
      <c r="AZ3" t="s">
        <v>74</v>
      </c>
      <c r="BA3" t="s">
        <v>74</v>
      </c>
      <c r="BB3">
        <v>6856</v>
      </c>
      <c r="BC3">
        <v>6868</v>
      </c>
      <c r="BD3" t="s">
        <v>74</v>
      </c>
      <c r="BE3" t="s">
        <v>118</v>
      </c>
      <c r="BF3" t="str">
        <f>HYPERLINK("http://dx.doi.org/10.1039/c5ay00655d","http://dx.doi.org/10.1039/c5ay00655d")</f>
        <v>http://dx.doi.org/10.1039/c5ay00655d</v>
      </c>
      <c r="BG3" t="s">
        <v>74</v>
      </c>
      <c r="BH3" t="s">
        <v>74</v>
      </c>
      <c r="BI3">
        <v>13</v>
      </c>
      <c r="BJ3" t="s">
        <v>119</v>
      </c>
      <c r="BK3" t="s">
        <v>91</v>
      </c>
      <c r="BL3" t="s">
        <v>120</v>
      </c>
      <c r="BM3" t="s">
        <v>121</v>
      </c>
      <c r="BN3" t="s">
        <v>74</v>
      </c>
      <c r="BO3" t="s">
        <v>74</v>
      </c>
      <c r="BP3" t="s">
        <v>74</v>
      </c>
      <c r="BQ3" t="s">
        <v>74</v>
      </c>
      <c r="BR3" t="s">
        <v>93</v>
      </c>
      <c r="BS3" t="s">
        <v>122</v>
      </c>
      <c r="BT3" t="str">
        <f>HYPERLINK("https%3A%2F%2Fwww.webofscience.com%2Fwos%2Fwoscc%2Ffull-record%2FWOS:000359360400052","View Full Record in Web of Science")</f>
        <v>View Full Record in Web of Science</v>
      </c>
    </row>
    <row r="4" spans="1:72" x14ac:dyDescent="0.15">
      <c r="A4" t="s">
        <v>72</v>
      </c>
      <c r="B4" t="s">
        <v>123</v>
      </c>
      <c r="C4" t="s">
        <v>74</v>
      </c>
      <c r="D4" t="s">
        <v>74</v>
      </c>
      <c r="E4" t="s">
        <v>74</v>
      </c>
      <c r="F4" t="s">
        <v>124</v>
      </c>
      <c r="G4" t="s">
        <v>74</v>
      </c>
      <c r="H4" t="s">
        <v>74</v>
      </c>
      <c r="I4" t="s">
        <v>125</v>
      </c>
      <c r="J4" t="s">
        <v>98</v>
      </c>
      <c r="K4" t="s">
        <v>74</v>
      </c>
      <c r="L4" t="s">
        <v>74</v>
      </c>
      <c r="M4" t="s">
        <v>78</v>
      </c>
      <c r="N4" t="s">
        <v>126</v>
      </c>
      <c r="O4" t="s">
        <v>74</v>
      </c>
      <c r="P4" t="s">
        <v>74</v>
      </c>
      <c r="Q4" t="s">
        <v>74</v>
      </c>
      <c r="R4" t="s">
        <v>74</v>
      </c>
      <c r="S4" t="s">
        <v>74</v>
      </c>
      <c r="T4" t="s">
        <v>74</v>
      </c>
      <c r="U4" t="s">
        <v>74</v>
      </c>
      <c r="V4" t="s">
        <v>74</v>
      </c>
      <c r="W4" t="s">
        <v>127</v>
      </c>
      <c r="X4" t="s">
        <v>128</v>
      </c>
      <c r="Y4" t="s">
        <v>129</v>
      </c>
      <c r="Z4" t="s">
        <v>130</v>
      </c>
      <c r="AA4" t="s">
        <v>131</v>
      </c>
      <c r="AB4" t="s">
        <v>132</v>
      </c>
      <c r="AC4" t="s">
        <v>74</v>
      </c>
      <c r="AD4" t="s">
        <v>74</v>
      </c>
      <c r="AE4" t="s">
        <v>74</v>
      </c>
      <c r="AF4" t="s">
        <v>74</v>
      </c>
      <c r="AG4">
        <v>1</v>
      </c>
      <c r="AH4">
        <v>0</v>
      </c>
      <c r="AI4">
        <v>0</v>
      </c>
      <c r="AJ4">
        <v>0</v>
      </c>
      <c r="AK4">
        <v>2</v>
      </c>
      <c r="AL4" t="s">
        <v>111</v>
      </c>
      <c r="AM4" t="s">
        <v>112</v>
      </c>
      <c r="AN4" t="s">
        <v>113</v>
      </c>
      <c r="AO4" t="s">
        <v>114</v>
      </c>
      <c r="AP4" t="s">
        <v>115</v>
      </c>
      <c r="AQ4" t="s">
        <v>74</v>
      </c>
      <c r="AR4" t="s">
        <v>116</v>
      </c>
      <c r="AS4" t="s">
        <v>117</v>
      </c>
      <c r="AT4" t="s">
        <v>74</v>
      </c>
      <c r="AU4">
        <v>2015</v>
      </c>
      <c r="AV4">
        <v>7</v>
      </c>
      <c r="AW4">
        <v>16</v>
      </c>
      <c r="AX4" t="s">
        <v>74</v>
      </c>
      <c r="AY4" t="s">
        <v>74</v>
      </c>
      <c r="AZ4" t="s">
        <v>74</v>
      </c>
      <c r="BA4" t="s">
        <v>74</v>
      </c>
      <c r="BB4">
        <v>6917</v>
      </c>
      <c r="BC4">
        <v>6917</v>
      </c>
      <c r="BD4" t="s">
        <v>74</v>
      </c>
      <c r="BE4" t="s">
        <v>133</v>
      </c>
      <c r="BF4" t="str">
        <f>HYPERLINK("http://dx.doi.org/10.1039/c5ay90055g","http://dx.doi.org/10.1039/c5ay90055g")</f>
        <v>http://dx.doi.org/10.1039/c5ay90055g</v>
      </c>
      <c r="BG4" t="s">
        <v>74</v>
      </c>
      <c r="BH4" t="s">
        <v>74</v>
      </c>
      <c r="BI4">
        <v>1</v>
      </c>
      <c r="BJ4" t="s">
        <v>119</v>
      </c>
      <c r="BK4" t="s">
        <v>91</v>
      </c>
      <c r="BL4" t="s">
        <v>120</v>
      </c>
      <c r="BM4" t="s">
        <v>121</v>
      </c>
      <c r="BN4" t="s">
        <v>74</v>
      </c>
      <c r="BO4" t="s">
        <v>134</v>
      </c>
      <c r="BP4" t="s">
        <v>74</v>
      </c>
      <c r="BQ4" t="s">
        <v>74</v>
      </c>
      <c r="BR4" t="s">
        <v>93</v>
      </c>
      <c r="BS4" t="s">
        <v>135</v>
      </c>
      <c r="BT4" t="str">
        <f>HYPERLINK("https%3A%2F%2Fwww.webofscience.com%2Fwos%2Fwoscc%2Ffull-record%2FWOS:000359360400061","View Full Record in Web of Science")</f>
        <v>View Full Record in Web of Science</v>
      </c>
    </row>
    <row r="5" spans="1:72" x14ac:dyDescent="0.15">
      <c r="A5" t="s">
        <v>72</v>
      </c>
      <c r="B5" t="s">
        <v>136</v>
      </c>
      <c r="C5" t="s">
        <v>74</v>
      </c>
      <c r="D5" t="s">
        <v>74</v>
      </c>
      <c r="E5" t="s">
        <v>74</v>
      </c>
      <c r="F5" t="s">
        <v>137</v>
      </c>
      <c r="G5" t="s">
        <v>74</v>
      </c>
      <c r="H5" t="s">
        <v>74</v>
      </c>
      <c r="I5" t="s">
        <v>138</v>
      </c>
      <c r="J5" t="s">
        <v>139</v>
      </c>
      <c r="K5" t="s">
        <v>74</v>
      </c>
      <c r="L5" t="s">
        <v>74</v>
      </c>
      <c r="M5" t="s">
        <v>78</v>
      </c>
      <c r="N5" t="s">
        <v>99</v>
      </c>
      <c r="O5" t="s">
        <v>74</v>
      </c>
      <c r="P5" t="s">
        <v>74</v>
      </c>
      <c r="Q5" t="s">
        <v>74</v>
      </c>
      <c r="R5" t="s">
        <v>74</v>
      </c>
      <c r="S5" t="s">
        <v>74</v>
      </c>
      <c r="T5" t="s">
        <v>140</v>
      </c>
      <c r="U5" t="s">
        <v>141</v>
      </c>
      <c r="V5" t="s">
        <v>142</v>
      </c>
      <c r="W5" t="s">
        <v>143</v>
      </c>
      <c r="X5" t="s">
        <v>144</v>
      </c>
      <c r="Y5" t="s">
        <v>145</v>
      </c>
      <c r="Z5" t="s">
        <v>146</v>
      </c>
      <c r="AA5" t="s">
        <v>74</v>
      </c>
      <c r="AB5" t="s">
        <v>147</v>
      </c>
      <c r="AC5" t="s">
        <v>148</v>
      </c>
      <c r="AD5" t="s">
        <v>148</v>
      </c>
      <c r="AE5" t="s">
        <v>149</v>
      </c>
      <c r="AF5" t="s">
        <v>74</v>
      </c>
      <c r="AG5">
        <v>35</v>
      </c>
      <c r="AH5">
        <v>3</v>
      </c>
      <c r="AI5">
        <v>3</v>
      </c>
      <c r="AJ5">
        <v>0</v>
      </c>
      <c r="AK5">
        <v>3</v>
      </c>
      <c r="AL5" t="s">
        <v>82</v>
      </c>
      <c r="AM5" t="s">
        <v>83</v>
      </c>
      <c r="AN5" t="s">
        <v>150</v>
      </c>
      <c r="AO5" t="s">
        <v>151</v>
      </c>
      <c r="AP5" t="s">
        <v>152</v>
      </c>
      <c r="AQ5" t="s">
        <v>74</v>
      </c>
      <c r="AR5" t="s">
        <v>153</v>
      </c>
      <c r="AS5" t="s">
        <v>154</v>
      </c>
      <c r="AT5" t="s">
        <v>74</v>
      </c>
      <c r="AU5">
        <v>2015</v>
      </c>
      <c r="AV5">
        <v>74</v>
      </c>
      <c r="AW5" t="s">
        <v>74</v>
      </c>
      <c r="AX5" t="s">
        <v>74</v>
      </c>
      <c r="AY5" t="s">
        <v>74</v>
      </c>
      <c r="AZ5" t="s">
        <v>74</v>
      </c>
      <c r="BA5" t="s">
        <v>74</v>
      </c>
      <c r="BB5" t="s">
        <v>74</v>
      </c>
      <c r="BC5" t="s">
        <v>74</v>
      </c>
      <c r="BD5">
        <v>27965</v>
      </c>
      <c r="BE5" t="s">
        <v>155</v>
      </c>
      <c r="BF5" t="str">
        <f>HYPERLINK("http://dx.doi.org/10.3402/ijch.v74.27965","http://dx.doi.org/10.3402/ijch.v74.27965")</f>
        <v>http://dx.doi.org/10.3402/ijch.v74.27965</v>
      </c>
      <c r="BG5" t="s">
        <v>74</v>
      </c>
      <c r="BH5" t="s">
        <v>74</v>
      </c>
      <c r="BI5">
        <v>7</v>
      </c>
      <c r="BJ5" t="s">
        <v>156</v>
      </c>
      <c r="BK5" t="s">
        <v>157</v>
      </c>
      <c r="BL5" t="s">
        <v>156</v>
      </c>
      <c r="BM5" t="s">
        <v>158</v>
      </c>
      <c r="BN5" t="s">
        <v>74</v>
      </c>
      <c r="BO5" t="s">
        <v>159</v>
      </c>
      <c r="BP5" t="s">
        <v>74</v>
      </c>
      <c r="BQ5" t="s">
        <v>74</v>
      </c>
      <c r="BR5" t="s">
        <v>93</v>
      </c>
      <c r="BS5" t="s">
        <v>160</v>
      </c>
      <c r="BT5" t="str">
        <f>HYPERLINK("https%3A%2F%2Fwww.webofscience.com%2Fwos%2Fwoscc%2Ffull-record%2FWOS:000359439500001","View Full Record in Web of Science")</f>
        <v>View Full Record in Web of Science</v>
      </c>
    </row>
    <row r="6" spans="1:72" x14ac:dyDescent="0.15">
      <c r="A6" t="s">
        <v>72</v>
      </c>
      <c r="B6" t="s">
        <v>161</v>
      </c>
      <c r="C6" t="s">
        <v>74</v>
      </c>
      <c r="D6" t="s">
        <v>74</v>
      </c>
      <c r="E6" t="s">
        <v>74</v>
      </c>
      <c r="F6" t="s">
        <v>162</v>
      </c>
      <c r="G6" t="s">
        <v>74</v>
      </c>
      <c r="H6" t="s">
        <v>74</v>
      </c>
      <c r="I6" t="s">
        <v>163</v>
      </c>
      <c r="J6" t="s">
        <v>164</v>
      </c>
      <c r="K6" t="s">
        <v>74</v>
      </c>
      <c r="L6" t="s">
        <v>74</v>
      </c>
      <c r="M6" t="s">
        <v>78</v>
      </c>
      <c r="N6" t="s">
        <v>99</v>
      </c>
      <c r="O6" t="s">
        <v>74</v>
      </c>
      <c r="P6" t="s">
        <v>74</v>
      </c>
      <c r="Q6" t="s">
        <v>74</v>
      </c>
      <c r="R6" t="s">
        <v>74</v>
      </c>
      <c r="S6" t="s">
        <v>74</v>
      </c>
      <c r="T6" t="s">
        <v>74</v>
      </c>
      <c r="U6" t="s">
        <v>165</v>
      </c>
      <c r="V6" t="s">
        <v>166</v>
      </c>
      <c r="W6" t="s">
        <v>167</v>
      </c>
      <c r="X6" t="s">
        <v>168</v>
      </c>
      <c r="Y6" t="s">
        <v>169</v>
      </c>
      <c r="Z6" t="s">
        <v>170</v>
      </c>
      <c r="AA6" t="s">
        <v>171</v>
      </c>
      <c r="AB6" t="s">
        <v>172</v>
      </c>
      <c r="AC6" t="s">
        <v>173</v>
      </c>
      <c r="AD6" t="s">
        <v>174</v>
      </c>
      <c r="AE6" t="s">
        <v>175</v>
      </c>
      <c r="AF6" t="s">
        <v>74</v>
      </c>
      <c r="AG6">
        <v>29</v>
      </c>
      <c r="AH6">
        <v>28</v>
      </c>
      <c r="AI6">
        <v>28</v>
      </c>
      <c r="AJ6">
        <v>1</v>
      </c>
      <c r="AK6">
        <v>62</v>
      </c>
      <c r="AL6" t="s">
        <v>111</v>
      </c>
      <c r="AM6" t="s">
        <v>112</v>
      </c>
      <c r="AN6" t="s">
        <v>113</v>
      </c>
      <c r="AO6" t="s">
        <v>74</v>
      </c>
      <c r="AP6" t="s">
        <v>176</v>
      </c>
      <c r="AQ6" t="s">
        <v>74</v>
      </c>
      <c r="AR6" t="s">
        <v>177</v>
      </c>
      <c r="AS6" t="s">
        <v>178</v>
      </c>
      <c r="AT6" t="s">
        <v>74</v>
      </c>
      <c r="AU6">
        <v>2015</v>
      </c>
      <c r="AV6">
        <v>5</v>
      </c>
      <c r="AW6">
        <v>84</v>
      </c>
      <c r="AX6" t="s">
        <v>74</v>
      </c>
      <c r="AY6" t="s">
        <v>74</v>
      </c>
      <c r="AZ6" t="s">
        <v>74</v>
      </c>
      <c r="BA6" t="s">
        <v>74</v>
      </c>
      <c r="BB6">
        <v>68736</v>
      </c>
      <c r="BC6">
        <v>68742</v>
      </c>
      <c r="BD6" t="s">
        <v>74</v>
      </c>
      <c r="BE6" t="s">
        <v>179</v>
      </c>
      <c r="BF6" t="str">
        <f>HYPERLINK("http://dx.doi.org/10.1039/c5ra10828d","http://dx.doi.org/10.1039/c5ra10828d")</f>
        <v>http://dx.doi.org/10.1039/c5ra10828d</v>
      </c>
      <c r="BG6" t="s">
        <v>74</v>
      </c>
      <c r="BH6" t="s">
        <v>74</v>
      </c>
      <c r="BI6">
        <v>7</v>
      </c>
      <c r="BJ6" t="s">
        <v>180</v>
      </c>
      <c r="BK6" t="s">
        <v>91</v>
      </c>
      <c r="BL6" t="s">
        <v>181</v>
      </c>
      <c r="BM6" t="s">
        <v>182</v>
      </c>
      <c r="BN6" t="s">
        <v>74</v>
      </c>
      <c r="BO6" t="s">
        <v>74</v>
      </c>
      <c r="BP6" t="s">
        <v>74</v>
      </c>
      <c r="BQ6" t="s">
        <v>74</v>
      </c>
      <c r="BR6" t="s">
        <v>93</v>
      </c>
      <c r="BS6" t="s">
        <v>183</v>
      </c>
      <c r="BT6" t="str">
        <f>HYPERLINK("https%3A%2F%2Fwww.webofscience.com%2Fwos%2Fwoscc%2Ffull-record%2FWOS:000359568400062","View Full Record in Web of Science")</f>
        <v>View Full Record in Web of Science</v>
      </c>
    </row>
    <row r="7" spans="1:72" x14ac:dyDescent="0.15">
      <c r="A7" t="s">
        <v>72</v>
      </c>
      <c r="B7" t="s">
        <v>184</v>
      </c>
      <c r="C7" t="s">
        <v>74</v>
      </c>
      <c r="D7" t="s">
        <v>74</v>
      </c>
      <c r="E7" t="s">
        <v>74</v>
      </c>
      <c r="F7" t="s">
        <v>185</v>
      </c>
      <c r="G7" t="s">
        <v>74</v>
      </c>
      <c r="H7" t="s">
        <v>74</v>
      </c>
      <c r="I7" t="s">
        <v>186</v>
      </c>
      <c r="J7" t="s">
        <v>187</v>
      </c>
      <c r="K7" t="s">
        <v>74</v>
      </c>
      <c r="L7" t="s">
        <v>74</v>
      </c>
      <c r="M7" t="s">
        <v>78</v>
      </c>
      <c r="N7" t="s">
        <v>99</v>
      </c>
      <c r="O7" t="s">
        <v>74</v>
      </c>
      <c r="P7" t="s">
        <v>74</v>
      </c>
      <c r="Q7" t="s">
        <v>74</v>
      </c>
      <c r="R7" t="s">
        <v>74</v>
      </c>
      <c r="S7" t="s">
        <v>74</v>
      </c>
      <c r="T7" t="s">
        <v>188</v>
      </c>
      <c r="U7" t="s">
        <v>74</v>
      </c>
      <c r="V7" t="s">
        <v>189</v>
      </c>
      <c r="W7" t="s">
        <v>190</v>
      </c>
      <c r="X7" t="s">
        <v>191</v>
      </c>
      <c r="Y7" t="s">
        <v>192</v>
      </c>
      <c r="Z7" t="s">
        <v>74</v>
      </c>
      <c r="AA7" t="s">
        <v>74</v>
      </c>
      <c r="AB7" t="s">
        <v>74</v>
      </c>
      <c r="AC7" t="s">
        <v>74</v>
      </c>
      <c r="AD7" t="s">
        <v>74</v>
      </c>
      <c r="AE7" t="s">
        <v>74</v>
      </c>
      <c r="AF7" t="s">
        <v>74</v>
      </c>
      <c r="AG7">
        <v>13</v>
      </c>
      <c r="AH7">
        <v>0</v>
      </c>
      <c r="AI7">
        <v>0</v>
      </c>
      <c r="AJ7">
        <v>0</v>
      </c>
      <c r="AK7">
        <v>4</v>
      </c>
      <c r="AL7" t="s">
        <v>193</v>
      </c>
      <c r="AM7" t="s">
        <v>194</v>
      </c>
      <c r="AN7" t="s">
        <v>195</v>
      </c>
      <c r="AO7" t="s">
        <v>196</v>
      </c>
      <c r="AP7" t="s">
        <v>197</v>
      </c>
      <c r="AQ7" t="s">
        <v>74</v>
      </c>
      <c r="AR7" t="s">
        <v>198</v>
      </c>
      <c r="AS7" t="s">
        <v>199</v>
      </c>
      <c r="AT7" t="s">
        <v>200</v>
      </c>
      <c r="AU7">
        <v>2015</v>
      </c>
      <c r="AV7">
        <v>2</v>
      </c>
      <c r="AW7">
        <v>1</v>
      </c>
      <c r="AX7" t="s">
        <v>74</v>
      </c>
      <c r="AY7" t="s">
        <v>74</v>
      </c>
      <c r="AZ7" t="s">
        <v>74</v>
      </c>
      <c r="BA7" t="s">
        <v>74</v>
      </c>
      <c r="BB7">
        <v>1</v>
      </c>
      <c r="BC7">
        <v>7</v>
      </c>
      <c r="BD7" t="s">
        <v>74</v>
      </c>
      <c r="BE7" t="s">
        <v>74</v>
      </c>
      <c r="BF7" t="s">
        <v>74</v>
      </c>
      <c r="BG7" t="s">
        <v>74</v>
      </c>
      <c r="BH7" t="s">
        <v>74</v>
      </c>
      <c r="BI7">
        <v>7</v>
      </c>
      <c r="BJ7" t="s">
        <v>201</v>
      </c>
      <c r="BK7" t="s">
        <v>202</v>
      </c>
      <c r="BL7" t="s">
        <v>203</v>
      </c>
      <c r="BM7" t="s">
        <v>204</v>
      </c>
      <c r="BN7" t="s">
        <v>74</v>
      </c>
      <c r="BO7" t="s">
        <v>74</v>
      </c>
      <c r="BP7" t="s">
        <v>74</v>
      </c>
      <c r="BQ7" t="s">
        <v>74</v>
      </c>
      <c r="BR7" t="s">
        <v>93</v>
      </c>
      <c r="BS7" t="s">
        <v>205</v>
      </c>
      <c r="BT7" t="str">
        <f>HYPERLINK("https%3A%2F%2Fwww.webofscience.com%2Fwos%2Fwoscc%2Ffull-record%2FWOS:000359163100001","View Full Record in Web of Science")</f>
        <v>View Full Record in Web of Science</v>
      </c>
    </row>
    <row r="8" spans="1:72" x14ac:dyDescent="0.15">
      <c r="A8" t="s">
        <v>72</v>
      </c>
      <c r="B8" t="s">
        <v>206</v>
      </c>
      <c r="C8" t="s">
        <v>74</v>
      </c>
      <c r="D8" t="s">
        <v>74</v>
      </c>
      <c r="E8" t="s">
        <v>74</v>
      </c>
      <c r="F8" t="s">
        <v>207</v>
      </c>
      <c r="G8" t="s">
        <v>74</v>
      </c>
      <c r="H8" t="s">
        <v>74</v>
      </c>
      <c r="I8" t="s">
        <v>208</v>
      </c>
      <c r="J8" t="s">
        <v>209</v>
      </c>
      <c r="K8" t="s">
        <v>74</v>
      </c>
      <c r="L8" t="s">
        <v>74</v>
      </c>
      <c r="M8" t="s">
        <v>78</v>
      </c>
      <c r="N8" t="s">
        <v>99</v>
      </c>
      <c r="O8" t="s">
        <v>74</v>
      </c>
      <c r="P8" t="s">
        <v>74</v>
      </c>
      <c r="Q8" t="s">
        <v>74</v>
      </c>
      <c r="R8" t="s">
        <v>74</v>
      </c>
      <c r="S8" t="s">
        <v>74</v>
      </c>
      <c r="T8" t="s">
        <v>74</v>
      </c>
      <c r="U8" t="s">
        <v>210</v>
      </c>
      <c r="V8" t="s">
        <v>211</v>
      </c>
      <c r="W8" t="s">
        <v>212</v>
      </c>
      <c r="X8" t="s">
        <v>213</v>
      </c>
      <c r="Y8" t="s">
        <v>214</v>
      </c>
      <c r="Z8" t="s">
        <v>215</v>
      </c>
      <c r="AA8" t="s">
        <v>216</v>
      </c>
      <c r="AB8" t="s">
        <v>217</v>
      </c>
      <c r="AC8" t="s">
        <v>74</v>
      </c>
      <c r="AD8" t="s">
        <v>74</v>
      </c>
      <c r="AE8" t="s">
        <v>74</v>
      </c>
      <c r="AF8" t="s">
        <v>74</v>
      </c>
      <c r="AG8">
        <v>30</v>
      </c>
      <c r="AH8">
        <v>6</v>
      </c>
      <c r="AI8">
        <v>6</v>
      </c>
      <c r="AJ8">
        <v>0</v>
      </c>
      <c r="AK8">
        <v>13</v>
      </c>
      <c r="AL8" t="s">
        <v>218</v>
      </c>
      <c r="AM8" t="s">
        <v>219</v>
      </c>
      <c r="AN8" t="s">
        <v>220</v>
      </c>
      <c r="AO8" t="s">
        <v>221</v>
      </c>
      <c r="AP8" t="s">
        <v>222</v>
      </c>
      <c r="AQ8" t="s">
        <v>74</v>
      </c>
      <c r="AR8" t="s">
        <v>223</v>
      </c>
      <c r="AS8" t="s">
        <v>224</v>
      </c>
      <c r="AT8" t="s">
        <v>74</v>
      </c>
      <c r="AU8">
        <v>2015</v>
      </c>
      <c r="AV8">
        <v>2015</v>
      </c>
      <c r="AW8" t="s">
        <v>74</v>
      </c>
      <c r="AX8" t="s">
        <v>74</v>
      </c>
      <c r="AY8" t="s">
        <v>74</v>
      </c>
      <c r="AZ8" t="s">
        <v>74</v>
      </c>
      <c r="BA8" t="s">
        <v>74</v>
      </c>
      <c r="BB8" t="s">
        <v>74</v>
      </c>
      <c r="BC8" t="s">
        <v>74</v>
      </c>
      <c r="BD8">
        <v>481834</v>
      </c>
      <c r="BE8" t="s">
        <v>225</v>
      </c>
      <c r="BF8" t="str">
        <f>HYPERLINK("http://dx.doi.org/10.1155/2015/481834","http://dx.doi.org/10.1155/2015/481834")</f>
        <v>http://dx.doi.org/10.1155/2015/481834</v>
      </c>
      <c r="BG8" t="s">
        <v>74</v>
      </c>
      <c r="BH8" t="s">
        <v>74</v>
      </c>
      <c r="BI8">
        <v>8</v>
      </c>
      <c r="BJ8" t="s">
        <v>226</v>
      </c>
      <c r="BK8" t="s">
        <v>91</v>
      </c>
      <c r="BL8" t="s">
        <v>226</v>
      </c>
      <c r="BM8" t="s">
        <v>227</v>
      </c>
      <c r="BN8" t="s">
        <v>74</v>
      </c>
      <c r="BO8" t="s">
        <v>228</v>
      </c>
      <c r="BP8" t="s">
        <v>74</v>
      </c>
      <c r="BQ8" t="s">
        <v>74</v>
      </c>
      <c r="BR8" t="s">
        <v>93</v>
      </c>
      <c r="BS8" t="s">
        <v>229</v>
      </c>
      <c r="BT8" t="str">
        <f>HYPERLINK("https%3A%2F%2Fwww.webofscience.com%2Fwos%2Fwoscc%2Ffull-record%2FWOS:000358884700001","View Full Record in Web of Science")</f>
        <v>View Full Record in Web of Science</v>
      </c>
    </row>
    <row r="9" spans="1:72" x14ac:dyDescent="0.15">
      <c r="A9" t="s">
        <v>72</v>
      </c>
      <c r="B9" t="s">
        <v>230</v>
      </c>
      <c r="C9" t="s">
        <v>74</v>
      </c>
      <c r="D9" t="s">
        <v>74</v>
      </c>
      <c r="E9" t="s">
        <v>74</v>
      </c>
      <c r="F9" t="s">
        <v>231</v>
      </c>
      <c r="G9" t="s">
        <v>74</v>
      </c>
      <c r="H9" t="s">
        <v>74</v>
      </c>
      <c r="I9" t="s">
        <v>232</v>
      </c>
      <c r="J9" t="s">
        <v>233</v>
      </c>
      <c r="K9" t="s">
        <v>74</v>
      </c>
      <c r="L9" t="s">
        <v>74</v>
      </c>
      <c r="M9" t="s">
        <v>78</v>
      </c>
      <c r="N9" t="s">
        <v>99</v>
      </c>
      <c r="O9" t="s">
        <v>74</v>
      </c>
      <c r="P9" t="s">
        <v>74</v>
      </c>
      <c r="Q9" t="s">
        <v>74</v>
      </c>
      <c r="R9" t="s">
        <v>74</v>
      </c>
      <c r="S9" t="s">
        <v>74</v>
      </c>
      <c r="T9" t="s">
        <v>234</v>
      </c>
      <c r="U9" t="s">
        <v>235</v>
      </c>
      <c r="V9" t="s">
        <v>236</v>
      </c>
      <c r="W9" t="s">
        <v>237</v>
      </c>
      <c r="X9" t="s">
        <v>238</v>
      </c>
      <c r="Y9" t="s">
        <v>239</v>
      </c>
      <c r="Z9" t="s">
        <v>240</v>
      </c>
      <c r="AA9" t="s">
        <v>74</v>
      </c>
      <c r="AB9" t="s">
        <v>74</v>
      </c>
      <c r="AC9" t="s">
        <v>241</v>
      </c>
      <c r="AD9" t="s">
        <v>242</v>
      </c>
      <c r="AE9" t="s">
        <v>243</v>
      </c>
      <c r="AF9" t="s">
        <v>74</v>
      </c>
      <c r="AG9">
        <v>55</v>
      </c>
      <c r="AH9">
        <v>1</v>
      </c>
      <c r="AI9">
        <v>1</v>
      </c>
      <c r="AJ9">
        <v>0</v>
      </c>
      <c r="AK9">
        <v>8</v>
      </c>
      <c r="AL9" t="s">
        <v>244</v>
      </c>
      <c r="AM9" t="s">
        <v>245</v>
      </c>
      <c r="AN9" t="s">
        <v>246</v>
      </c>
      <c r="AO9" t="s">
        <v>247</v>
      </c>
      <c r="AP9" t="s">
        <v>248</v>
      </c>
      <c r="AQ9" t="s">
        <v>74</v>
      </c>
      <c r="AR9" t="s">
        <v>249</v>
      </c>
      <c r="AS9" t="s">
        <v>250</v>
      </c>
      <c r="AT9" t="s">
        <v>74</v>
      </c>
      <c r="AU9">
        <v>2015</v>
      </c>
      <c r="AV9">
        <v>33</v>
      </c>
      <c r="AW9">
        <v>7</v>
      </c>
      <c r="AX9" t="s">
        <v>74</v>
      </c>
      <c r="AY9" t="s">
        <v>74</v>
      </c>
      <c r="AZ9" t="s">
        <v>74</v>
      </c>
      <c r="BA9" t="s">
        <v>74</v>
      </c>
      <c r="BB9">
        <v>789</v>
      </c>
      <c r="BC9">
        <v>804</v>
      </c>
      <c r="BD9" t="s">
        <v>74</v>
      </c>
      <c r="BE9" t="s">
        <v>251</v>
      </c>
      <c r="BF9" t="str">
        <f>HYPERLINK("http://dx.doi.org/10.5194/angeo-33-789-2015","http://dx.doi.org/10.5194/angeo-33-789-2015")</f>
        <v>http://dx.doi.org/10.5194/angeo-33-789-2015</v>
      </c>
      <c r="BG9" t="s">
        <v>74</v>
      </c>
      <c r="BH9" t="s">
        <v>74</v>
      </c>
      <c r="BI9">
        <v>16</v>
      </c>
      <c r="BJ9" t="s">
        <v>252</v>
      </c>
      <c r="BK9" t="s">
        <v>91</v>
      </c>
      <c r="BL9" t="s">
        <v>253</v>
      </c>
      <c r="BM9" t="s">
        <v>254</v>
      </c>
      <c r="BN9" t="s">
        <v>74</v>
      </c>
      <c r="BO9" t="s">
        <v>255</v>
      </c>
      <c r="BP9" t="s">
        <v>74</v>
      </c>
      <c r="BQ9" t="s">
        <v>74</v>
      </c>
      <c r="BR9" t="s">
        <v>93</v>
      </c>
      <c r="BS9" t="s">
        <v>256</v>
      </c>
      <c r="BT9" t="str">
        <f>HYPERLINK("https%3A%2F%2Fwww.webofscience.com%2Fwos%2Fwoscc%2Ffull-record%2FWOS:000358800400001","View Full Record in Web of Science")</f>
        <v>View Full Record in Web of Science</v>
      </c>
    </row>
    <row r="10" spans="1:72" x14ac:dyDescent="0.15">
      <c r="A10" t="s">
        <v>72</v>
      </c>
      <c r="B10" t="s">
        <v>257</v>
      </c>
      <c r="C10" t="s">
        <v>74</v>
      </c>
      <c r="D10" t="s">
        <v>74</v>
      </c>
      <c r="E10" t="s">
        <v>74</v>
      </c>
      <c r="F10" t="s">
        <v>258</v>
      </c>
      <c r="G10" t="s">
        <v>74</v>
      </c>
      <c r="H10" t="s">
        <v>74</v>
      </c>
      <c r="I10" t="s">
        <v>259</v>
      </c>
      <c r="J10" t="s">
        <v>260</v>
      </c>
      <c r="K10" t="s">
        <v>74</v>
      </c>
      <c r="L10" t="s">
        <v>74</v>
      </c>
      <c r="M10" t="s">
        <v>78</v>
      </c>
      <c r="N10" t="s">
        <v>99</v>
      </c>
      <c r="O10" t="s">
        <v>74</v>
      </c>
      <c r="P10" t="s">
        <v>74</v>
      </c>
      <c r="Q10" t="s">
        <v>74</v>
      </c>
      <c r="R10" t="s">
        <v>74</v>
      </c>
      <c r="S10" t="s">
        <v>74</v>
      </c>
      <c r="T10" t="s">
        <v>74</v>
      </c>
      <c r="U10" t="s">
        <v>261</v>
      </c>
      <c r="V10" t="s">
        <v>262</v>
      </c>
      <c r="W10" t="s">
        <v>263</v>
      </c>
      <c r="X10" t="s">
        <v>264</v>
      </c>
      <c r="Y10" t="s">
        <v>265</v>
      </c>
      <c r="Z10" t="s">
        <v>266</v>
      </c>
      <c r="AA10" t="s">
        <v>267</v>
      </c>
      <c r="AB10" t="s">
        <v>268</v>
      </c>
      <c r="AC10" t="s">
        <v>269</v>
      </c>
      <c r="AD10" t="s">
        <v>270</v>
      </c>
      <c r="AE10" t="s">
        <v>271</v>
      </c>
      <c r="AF10" t="s">
        <v>74</v>
      </c>
      <c r="AG10">
        <v>37</v>
      </c>
      <c r="AH10">
        <v>24</v>
      </c>
      <c r="AI10">
        <v>24</v>
      </c>
      <c r="AJ10">
        <v>0</v>
      </c>
      <c r="AK10">
        <v>17</v>
      </c>
      <c r="AL10" t="s">
        <v>244</v>
      </c>
      <c r="AM10" t="s">
        <v>245</v>
      </c>
      <c r="AN10" t="s">
        <v>246</v>
      </c>
      <c r="AO10" t="s">
        <v>272</v>
      </c>
      <c r="AP10" t="s">
        <v>273</v>
      </c>
      <c r="AQ10" t="s">
        <v>74</v>
      </c>
      <c r="AR10" t="s">
        <v>274</v>
      </c>
      <c r="AS10" t="s">
        <v>275</v>
      </c>
      <c r="AT10" t="s">
        <v>74</v>
      </c>
      <c r="AU10">
        <v>2015</v>
      </c>
      <c r="AV10">
        <v>8</v>
      </c>
      <c r="AW10">
        <v>7</v>
      </c>
      <c r="AX10" t="s">
        <v>74</v>
      </c>
      <c r="AY10" t="s">
        <v>74</v>
      </c>
      <c r="AZ10" t="s">
        <v>74</v>
      </c>
      <c r="BA10" t="s">
        <v>74</v>
      </c>
      <c r="BB10">
        <v>2869</v>
      </c>
      <c r="BC10">
        <v>2883</v>
      </c>
      <c r="BD10" t="s">
        <v>74</v>
      </c>
      <c r="BE10" t="s">
        <v>276</v>
      </c>
      <c r="BF10" t="str">
        <f>HYPERLINK("http://dx.doi.org/10.5194/amt-8-2869-2015","http://dx.doi.org/10.5194/amt-8-2869-2015")</f>
        <v>http://dx.doi.org/10.5194/amt-8-2869-2015</v>
      </c>
      <c r="BG10" t="s">
        <v>74</v>
      </c>
      <c r="BH10" t="s">
        <v>74</v>
      </c>
      <c r="BI10">
        <v>15</v>
      </c>
      <c r="BJ10" t="s">
        <v>226</v>
      </c>
      <c r="BK10" t="s">
        <v>91</v>
      </c>
      <c r="BL10" t="s">
        <v>226</v>
      </c>
      <c r="BM10" t="s">
        <v>277</v>
      </c>
      <c r="BN10" t="s">
        <v>74</v>
      </c>
      <c r="BO10" t="s">
        <v>255</v>
      </c>
      <c r="BP10" t="s">
        <v>74</v>
      </c>
      <c r="BQ10" t="s">
        <v>74</v>
      </c>
      <c r="BR10" t="s">
        <v>93</v>
      </c>
      <c r="BS10" t="s">
        <v>278</v>
      </c>
      <c r="BT10" t="str">
        <f>HYPERLINK("https%3A%2F%2Fwww.webofscience.com%2Fwos%2Fwoscc%2Ffull-record%2FWOS:000358799900016","View Full Record in Web of Science")</f>
        <v>View Full Record in Web of Science</v>
      </c>
    </row>
    <row r="11" spans="1:72" x14ac:dyDescent="0.15">
      <c r="A11" t="s">
        <v>72</v>
      </c>
      <c r="B11" t="s">
        <v>279</v>
      </c>
      <c r="C11" t="s">
        <v>74</v>
      </c>
      <c r="D11" t="s">
        <v>74</v>
      </c>
      <c r="E11" t="s">
        <v>74</v>
      </c>
      <c r="F11" t="s">
        <v>280</v>
      </c>
      <c r="G11" t="s">
        <v>74</v>
      </c>
      <c r="H11" t="s">
        <v>74</v>
      </c>
      <c r="I11" t="s">
        <v>281</v>
      </c>
      <c r="J11" t="s">
        <v>260</v>
      </c>
      <c r="K11" t="s">
        <v>74</v>
      </c>
      <c r="L11" t="s">
        <v>74</v>
      </c>
      <c r="M11" t="s">
        <v>78</v>
      </c>
      <c r="N11" t="s">
        <v>99</v>
      </c>
      <c r="O11" t="s">
        <v>74</v>
      </c>
      <c r="P11" t="s">
        <v>74</v>
      </c>
      <c r="Q11" t="s">
        <v>74</v>
      </c>
      <c r="R11" t="s">
        <v>74</v>
      </c>
      <c r="S11" t="s">
        <v>74</v>
      </c>
      <c r="T11" t="s">
        <v>74</v>
      </c>
      <c r="U11" t="s">
        <v>282</v>
      </c>
      <c r="V11" t="s">
        <v>283</v>
      </c>
      <c r="W11" t="s">
        <v>284</v>
      </c>
      <c r="X11" t="s">
        <v>285</v>
      </c>
      <c r="Y11" t="s">
        <v>286</v>
      </c>
      <c r="Z11" t="s">
        <v>287</v>
      </c>
      <c r="AA11" t="s">
        <v>288</v>
      </c>
      <c r="AB11" t="s">
        <v>289</v>
      </c>
      <c r="AC11" t="s">
        <v>290</v>
      </c>
      <c r="AD11" t="s">
        <v>291</v>
      </c>
      <c r="AE11" t="s">
        <v>292</v>
      </c>
      <c r="AF11" t="s">
        <v>74</v>
      </c>
      <c r="AG11">
        <v>53</v>
      </c>
      <c r="AH11">
        <v>19</v>
      </c>
      <c r="AI11">
        <v>19</v>
      </c>
      <c r="AJ11">
        <v>0</v>
      </c>
      <c r="AK11">
        <v>10</v>
      </c>
      <c r="AL11" t="s">
        <v>244</v>
      </c>
      <c r="AM11" t="s">
        <v>245</v>
      </c>
      <c r="AN11" t="s">
        <v>246</v>
      </c>
      <c r="AO11" t="s">
        <v>272</v>
      </c>
      <c r="AP11" t="s">
        <v>273</v>
      </c>
      <c r="AQ11" t="s">
        <v>74</v>
      </c>
      <c r="AR11" t="s">
        <v>274</v>
      </c>
      <c r="AS11" t="s">
        <v>275</v>
      </c>
      <c r="AT11" t="s">
        <v>74</v>
      </c>
      <c r="AU11">
        <v>2015</v>
      </c>
      <c r="AV11">
        <v>8</v>
      </c>
      <c r="AW11">
        <v>7</v>
      </c>
      <c r="AX11" t="s">
        <v>74</v>
      </c>
      <c r="AY11" t="s">
        <v>74</v>
      </c>
      <c r="AZ11" t="s">
        <v>74</v>
      </c>
      <c r="BA11" t="s">
        <v>74</v>
      </c>
      <c r="BB11">
        <v>2999</v>
      </c>
      <c r="BC11">
        <v>3019</v>
      </c>
      <c r="BD11" t="s">
        <v>74</v>
      </c>
      <c r="BE11" t="s">
        <v>293</v>
      </c>
      <c r="BF11" t="str">
        <f>HYPERLINK("http://dx.doi.org/10.5194/amt-8-2999-2015","http://dx.doi.org/10.5194/amt-8-2999-2015")</f>
        <v>http://dx.doi.org/10.5194/amt-8-2999-2015</v>
      </c>
      <c r="BG11" t="s">
        <v>74</v>
      </c>
      <c r="BH11" t="s">
        <v>74</v>
      </c>
      <c r="BI11">
        <v>21</v>
      </c>
      <c r="BJ11" t="s">
        <v>226</v>
      </c>
      <c r="BK11" t="s">
        <v>91</v>
      </c>
      <c r="BL11" t="s">
        <v>226</v>
      </c>
      <c r="BM11" t="s">
        <v>277</v>
      </c>
      <c r="BN11" t="s">
        <v>74</v>
      </c>
      <c r="BO11" t="s">
        <v>255</v>
      </c>
      <c r="BP11" t="s">
        <v>74</v>
      </c>
      <c r="BQ11" t="s">
        <v>74</v>
      </c>
      <c r="BR11" t="s">
        <v>93</v>
      </c>
      <c r="BS11" t="s">
        <v>294</v>
      </c>
      <c r="BT11" t="str">
        <f>HYPERLINK("https%3A%2F%2Fwww.webofscience.com%2Fwos%2Fwoscc%2Ffull-record%2FWOS:000358799900024","View Full Record in Web of Science")</f>
        <v>View Full Record in Web of Science</v>
      </c>
    </row>
    <row r="12" spans="1:72" x14ac:dyDescent="0.15">
      <c r="A12" t="s">
        <v>295</v>
      </c>
      <c r="B12" t="s">
        <v>296</v>
      </c>
      <c r="C12" t="s">
        <v>74</v>
      </c>
      <c r="D12" t="s">
        <v>297</v>
      </c>
      <c r="E12" t="s">
        <v>74</v>
      </c>
      <c r="F12" t="s">
        <v>298</v>
      </c>
      <c r="G12" t="s">
        <v>74</v>
      </c>
      <c r="H12" t="s">
        <v>74</v>
      </c>
      <c r="I12" t="s">
        <v>299</v>
      </c>
      <c r="J12" t="s">
        <v>300</v>
      </c>
      <c r="K12" t="s">
        <v>74</v>
      </c>
      <c r="L12" t="s">
        <v>74</v>
      </c>
      <c r="M12" t="s">
        <v>78</v>
      </c>
      <c r="N12" t="s">
        <v>301</v>
      </c>
      <c r="O12" t="s">
        <v>302</v>
      </c>
      <c r="P12" t="s">
        <v>303</v>
      </c>
      <c r="Q12" t="s">
        <v>304</v>
      </c>
      <c r="R12" t="s">
        <v>74</v>
      </c>
      <c r="S12" t="s">
        <v>74</v>
      </c>
      <c r="T12" t="s">
        <v>305</v>
      </c>
      <c r="U12" t="s">
        <v>306</v>
      </c>
      <c r="V12" t="s">
        <v>307</v>
      </c>
      <c r="W12" t="s">
        <v>308</v>
      </c>
      <c r="X12" t="s">
        <v>309</v>
      </c>
      <c r="Y12" t="s">
        <v>310</v>
      </c>
      <c r="Z12" t="s">
        <v>311</v>
      </c>
      <c r="AA12" t="s">
        <v>312</v>
      </c>
      <c r="AB12" t="s">
        <v>313</v>
      </c>
      <c r="AC12" t="s">
        <v>74</v>
      </c>
      <c r="AD12" t="s">
        <v>74</v>
      </c>
      <c r="AE12" t="s">
        <v>74</v>
      </c>
      <c r="AF12" t="s">
        <v>74</v>
      </c>
      <c r="AG12">
        <v>8</v>
      </c>
      <c r="AH12">
        <v>1</v>
      </c>
      <c r="AI12">
        <v>1</v>
      </c>
      <c r="AJ12">
        <v>0</v>
      </c>
      <c r="AK12">
        <v>1</v>
      </c>
      <c r="AL12" t="s">
        <v>314</v>
      </c>
      <c r="AM12" t="s">
        <v>315</v>
      </c>
      <c r="AN12" t="s">
        <v>316</v>
      </c>
      <c r="AO12" t="s">
        <v>74</v>
      </c>
      <c r="AP12" t="s">
        <v>74</v>
      </c>
      <c r="AQ12" t="s">
        <v>317</v>
      </c>
      <c r="AR12" t="s">
        <v>74</v>
      </c>
      <c r="AS12" t="s">
        <v>74</v>
      </c>
      <c r="AT12" t="s">
        <v>74</v>
      </c>
      <c r="AU12">
        <v>2015</v>
      </c>
      <c r="AV12" t="s">
        <v>74</v>
      </c>
      <c r="AW12" t="s">
        <v>74</v>
      </c>
      <c r="AX12" t="s">
        <v>74</v>
      </c>
      <c r="AY12" t="s">
        <v>74</v>
      </c>
      <c r="AZ12" t="s">
        <v>74</v>
      </c>
      <c r="BA12" t="s">
        <v>74</v>
      </c>
      <c r="BB12">
        <v>495</v>
      </c>
      <c r="BC12">
        <v>498</v>
      </c>
      <c r="BD12" t="s">
        <v>74</v>
      </c>
      <c r="BE12" t="s">
        <v>318</v>
      </c>
      <c r="BF12" t="str">
        <f>HYPERLINK("http://dx.doi.org/10.1007/978-3-319-09300-0_93","http://dx.doi.org/10.1007/978-3-319-09300-0_93")</f>
        <v>http://dx.doi.org/10.1007/978-3-319-09300-0_93</v>
      </c>
      <c r="BG12" t="s">
        <v>74</v>
      </c>
      <c r="BH12" t="s">
        <v>74</v>
      </c>
      <c r="BI12">
        <v>4</v>
      </c>
      <c r="BJ12" t="s">
        <v>319</v>
      </c>
      <c r="BK12" t="s">
        <v>320</v>
      </c>
      <c r="BL12" t="s">
        <v>321</v>
      </c>
      <c r="BM12" t="s">
        <v>322</v>
      </c>
      <c r="BN12" t="s">
        <v>74</v>
      </c>
      <c r="BO12" t="s">
        <v>74</v>
      </c>
      <c r="BP12" t="s">
        <v>74</v>
      </c>
      <c r="BQ12" t="s">
        <v>74</v>
      </c>
      <c r="BR12" t="s">
        <v>93</v>
      </c>
      <c r="BS12" t="s">
        <v>323</v>
      </c>
      <c r="BT12" t="str">
        <f>HYPERLINK("https%3A%2F%2Fwww.webofscience.com%2Fwos%2Fwoscc%2Ffull-record%2FWOS:000358989700093","View Full Record in Web of Science")</f>
        <v>View Full Record in Web of Science</v>
      </c>
    </row>
    <row r="13" spans="1:72" x14ac:dyDescent="0.15">
      <c r="A13" t="s">
        <v>295</v>
      </c>
      <c r="B13" t="s">
        <v>324</v>
      </c>
      <c r="C13" t="s">
        <v>74</v>
      </c>
      <c r="D13" t="s">
        <v>325</v>
      </c>
      <c r="E13" t="s">
        <v>74</v>
      </c>
      <c r="F13" t="s">
        <v>326</v>
      </c>
      <c r="G13" t="s">
        <v>74</v>
      </c>
      <c r="H13" t="s">
        <v>74</v>
      </c>
      <c r="I13" t="s">
        <v>327</v>
      </c>
      <c r="J13" t="s">
        <v>328</v>
      </c>
      <c r="K13" t="s">
        <v>74</v>
      </c>
      <c r="L13" t="s">
        <v>74</v>
      </c>
      <c r="M13" t="s">
        <v>78</v>
      </c>
      <c r="N13" t="s">
        <v>301</v>
      </c>
      <c r="O13" t="s">
        <v>329</v>
      </c>
      <c r="P13" t="s">
        <v>330</v>
      </c>
      <c r="Q13" t="s">
        <v>331</v>
      </c>
      <c r="R13" t="s">
        <v>74</v>
      </c>
      <c r="S13" t="s">
        <v>74</v>
      </c>
      <c r="T13" t="s">
        <v>332</v>
      </c>
      <c r="U13" t="s">
        <v>333</v>
      </c>
      <c r="V13" t="s">
        <v>334</v>
      </c>
      <c r="W13" t="s">
        <v>335</v>
      </c>
      <c r="X13" t="s">
        <v>336</v>
      </c>
      <c r="Y13" t="s">
        <v>337</v>
      </c>
      <c r="Z13" t="s">
        <v>338</v>
      </c>
      <c r="AA13" t="s">
        <v>339</v>
      </c>
      <c r="AB13" t="s">
        <v>340</v>
      </c>
      <c r="AC13" t="s">
        <v>74</v>
      </c>
      <c r="AD13" t="s">
        <v>74</v>
      </c>
      <c r="AE13" t="s">
        <v>74</v>
      </c>
      <c r="AF13" t="s">
        <v>74</v>
      </c>
      <c r="AG13">
        <v>17</v>
      </c>
      <c r="AH13">
        <v>2</v>
      </c>
      <c r="AI13">
        <v>5</v>
      </c>
      <c r="AJ13">
        <v>1</v>
      </c>
      <c r="AK13">
        <v>2</v>
      </c>
      <c r="AL13" t="s">
        <v>341</v>
      </c>
      <c r="AM13" t="s">
        <v>342</v>
      </c>
      <c r="AN13" t="s">
        <v>343</v>
      </c>
      <c r="AO13" t="s">
        <v>74</v>
      </c>
      <c r="AP13" t="s">
        <v>74</v>
      </c>
      <c r="AQ13" t="s">
        <v>344</v>
      </c>
      <c r="AR13" t="s">
        <v>74</v>
      </c>
      <c r="AS13" t="s">
        <v>74</v>
      </c>
      <c r="AT13" t="s">
        <v>74</v>
      </c>
      <c r="AU13">
        <v>2015</v>
      </c>
      <c r="AV13" t="s">
        <v>74</v>
      </c>
      <c r="AW13" t="s">
        <v>74</v>
      </c>
      <c r="AX13" t="s">
        <v>74</v>
      </c>
      <c r="AY13" t="s">
        <v>74</v>
      </c>
      <c r="AZ13" t="s">
        <v>74</v>
      </c>
      <c r="BA13" t="s">
        <v>74</v>
      </c>
      <c r="BB13">
        <v>1279</v>
      </c>
      <c r="BC13">
        <v>1286</v>
      </c>
      <c r="BD13" t="s">
        <v>74</v>
      </c>
      <c r="BE13" t="s">
        <v>345</v>
      </c>
      <c r="BF13" t="str">
        <f>HYPERLINK("http://dx.doi.org/10.1145/2739480.2754675","http://dx.doi.org/10.1145/2739480.2754675")</f>
        <v>http://dx.doi.org/10.1145/2739480.2754675</v>
      </c>
      <c r="BG13" t="s">
        <v>74</v>
      </c>
      <c r="BH13" t="s">
        <v>74</v>
      </c>
      <c r="BI13">
        <v>8</v>
      </c>
      <c r="BJ13" t="s">
        <v>346</v>
      </c>
      <c r="BK13" t="s">
        <v>320</v>
      </c>
      <c r="BL13" t="s">
        <v>347</v>
      </c>
      <c r="BM13" t="s">
        <v>348</v>
      </c>
      <c r="BN13" t="s">
        <v>74</v>
      </c>
      <c r="BO13" t="s">
        <v>74</v>
      </c>
      <c r="BP13" t="s">
        <v>74</v>
      </c>
      <c r="BQ13" t="s">
        <v>74</v>
      </c>
      <c r="BR13" t="s">
        <v>93</v>
      </c>
      <c r="BS13" t="s">
        <v>349</v>
      </c>
      <c r="BT13" t="str">
        <f>HYPERLINK("https%3A%2F%2Fwww.webofscience.com%2Fwos%2Fwoscc%2Ffull-record%2FWOS:000358795700160","View Full Record in Web of Science")</f>
        <v>View Full Record in Web of Science</v>
      </c>
    </row>
    <row r="14" spans="1:72" x14ac:dyDescent="0.15">
      <c r="A14" t="s">
        <v>72</v>
      </c>
      <c r="B14" t="s">
        <v>350</v>
      </c>
      <c r="C14" t="s">
        <v>74</v>
      </c>
      <c r="D14" t="s">
        <v>74</v>
      </c>
      <c r="E14" t="s">
        <v>74</v>
      </c>
      <c r="F14" t="s">
        <v>351</v>
      </c>
      <c r="G14" t="s">
        <v>74</v>
      </c>
      <c r="H14" t="s">
        <v>74</v>
      </c>
      <c r="I14" t="s">
        <v>352</v>
      </c>
      <c r="J14" t="s">
        <v>353</v>
      </c>
      <c r="K14" t="s">
        <v>74</v>
      </c>
      <c r="L14" t="s">
        <v>74</v>
      </c>
      <c r="M14" t="s">
        <v>78</v>
      </c>
      <c r="N14" t="s">
        <v>99</v>
      </c>
      <c r="O14" t="s">
        <v>74</v>
      </c>
      <c r="P14" t="s">
        <v>74</v>
      </c>
      <c r="Q14" t="s">
        <v>74</v>
      </c>
      <c r="R14" t="s">
        <v>74</v>
      </c>
      <c r="S14" t="s">
        <v>74</v>
      </c>
      <c r="T14" t="s">
        <v>354</v>
      </c>
      <c r="U14" t="s">
        <v>355</v>
      </c>
      <c r="V14" t="s">
        <v>356</v>
      </c>
      <c r="W14" t="s">
        <v>357</v>
      </c>
      <c r="X14" t="s">
        <v>358</v>
      </c>
      <c r="Y14" t="s">
        <v>359</v>
      </c>
      <c r="Z14" t="s">
        <v>360</v>
      </c>
      <c r="AA14" t="s">
        <v>361</v>
      </c>
      <c r="AB14" t="s">
        <v>362</v>
      </c>
      <c r="AC14" t="s">
        <v>363</v>
      </c>
      <c r="AD14" t="s">
        <v>363</v>
      </c>
      <c r="AE14" t="s">
        <v>364</v>
      </c>
      <c r="AF14" t="s">
        <v>74</v>
      </c>
      <c r="AG14">
        <v>42</v>
      </c>
      <c r="AH14">
        <v>3</v>
      </c>
      <c r="AI14">
        <v>4</v>
      </c>
      <c r="AJ14">
        <v>1</v>
      </c>
      <c r="AK14">
        <v>16</v>
      </c>
      <c r="AL14" t="s">
        <v>365</v>
      </c>
      <c r="AM14" t="s">
        <v>112</v>
      </c>
      <c r="AN14" t="s">
        <v>366</v>
      </c>
      <c r="AO14" t="s">
        <v>367</v>
      </c>
      <c r="AP14" t="s">
        <v>368</v>
      </c>
      <c r="AQ14" t="s">
        <v>74</v>
      </c>
      <c r="AR14" t="s">
        <v>369</v>
      </c>
      <c r="AS14" t="s">
        <v>370</v>
      </c>
      <c r="AT14" t="s">
        <v>74</v>
      </c>
      <c r="AU14">
        <v>2015</v>
      </c>
      <c r="AV14">
        <v>61</v>
      </c>
      <c r="AW14">
        <v>227</v>
      </c>
      <c r="AX14" t="s">
        <v>74</v>
      </c>
      <c r="AY14" t="s">
        <v>74</v>
      </c>
      <c r="AZ14" t="s">
        <v>74</v>
      </c>
      <c r="BA14" t="s">
        <v>74</v>
      </c>
      <c r="BB14">
        <v>481</v>
      </c>
      <c r="BC14">
        <v>492</v>
      </c>
      <c r="BD14" t="s">
        <v>74</v>
      </c>
      <c r="BE14" t="s">
        <v>371</v>
      </c>
      <c r="BF14" t="str">
        <f>HYPERLINK("http://dx.doi.org/10.3189/2015JoG14J210","http://dx.doi.org/10.3189/2015JoG14J210")</f>
        <v>http://dx.doi.org/10.3189/2015JoG14J210</v>
      </c>
      <c r="BG14" t="s">
        <v>74</v>
      </c>
      <c r="BH14" t="s">
        <v>74</v>
      </c>
      <c r="BI14">
        <v>12</v>
      </c>
      <c r="BJ14" t="s">
        <v>372</v>
      </c>
      <c r="BK14" t="s">
        <v>91</v>
      </c>
      <c r="BL14" t="s">
        <v>373</v>
      </c>
      <c r="BM14" t="s">
        <v>374</v>
      </c>
      <c r="BN14" t="s">
        <v>74</v>
      </c>
      <c r="BO14" t="s">
        <v>375</v>
      </c>
      <c r="BP14" t="s">
        <v>74</v>
      </c>
      <c r="BQ14" t="s">
        <v>74</v>
      </c>
      <c r="BR14" t="s">
        <v>93</v>
      </c>
      <c r="BS14" t="s">
        <v>376</v>
      </c>
      <c r="BT14" t="str">
        <f>HYPERLINK("https%3A%2F%2Fwww.webofscience.com%2Fwos%2Fwoscc%2Ffull-record%2FWOS:000358977400006","View Full Record in Web of Science")</f>
        <v>View Full Record in Web of Science</v>
      </c>
    </row>
    <row r="15" spans="1:72" x14ac:dyDescent="0.15">
      <c r="A15" t="s">
        <v>72</v>
      </c>
      <c r="B15" t="s">
        <v>377</v>
      </c>
      <c r="C15" t="s">
        <v>74</v>
      </c>
      <c r="D15" t="s">
        <v>74</v>
      </c>
      <c r="E15" t="s">
        <v>74</v>
      </c>
      <c r="F15" t="s">
        <v>378</v>
      </c>
      <c r="G15" t="s">
        <v>74</v>
      </c>
      <c r="H15" t="s">
        <v>74</v>
      </c>
      <c r="I15" t="s">
        <v>379</v>
      </c>
      <c r="J15" t="s">
        <v>380</v>
      </c>
      <c r="K15" t="s">
        <v>74</v>
      </c>
      <c r="L15" t="s">
        <v>74</v>
      </c>
      <c r="M15" t="s">
        <v>78</v>
      </c>
      <c r="N15" t="s">
        <v>99</v>
      </c>
      <c r="O15" t="s">
        <v>74</v>
      </c>
      <c r="P15" t="s">
        <v>74</v>
      </c>
      <c r="Q15" t="s">
        <v>74</v>
      </c>
      <c r="R15" t="s">
        <v>74</v>
      </c>
      <c r="S15" t="s">
        <v>74</v>
      </c>
      <c r="T15" t="s">
        <v>74</v>
      </c>
      <c r="U15" t="s">
        <v>381</v>
      </c>
      <c r="V15" t="s">
        <v>74</v>
      </c>
      <c r="W15" t="s">
        <v>382</v>
      </c>
      <c r="X15" t="s">
        <v>383</v>
      </c>
      <c r="Y15" t="s">
        <v>384</v>
      </c>
      <c r="Z15" t="s">
        <v>74</v>
      </c>
      <c r="AA15" t="s">
        <v>385</v>
      </c>
      <c r="AB15" t="s">
        <v>74</v>
      </c>
      <c r="AC15" t="s">
        <v>74</v>
      </c>
      <c r="AD15" t="s">
        <v>74</v>
      </c>
      <c r="AE15" t="s">
        <v>74</v>
      </c>
      <c r="AF15" t="s">
        <v>74</v>
      </c>
      <c r="AG15">
        <v>36</v>
      </c>
      <c r="AH15">
        <v>3</v>
      </c>
      <c r="AI15">
        <v>3</v>
      </c>
      <c r="AJ15">
        <v>0</v>
      </c>
      <c r="AK15">
        <v>14</v>
      </c>
      <c r="AL15" t="s">
        <v>386</v>
      </c>
      <c r="AM15" t="s">
        <v>387</v>
      </c>
      <c r="AN15" t="s">
        <v>388</v>
      </c>
      <c r="AO15" t="s">
        <v>389</v>
      </c>
      <c r="AP15" t="s">
        <v>390</v>
      </c>
      <c r="AQ15" t="s">
        <v>74</v>
      </c>
      <c r="AR15" t="s">
        <v>391</v>
      </c>
      <c r="AS15" t="s">
        <v>392</v>
      </c>
      <c r="AT15" t="s">
        <v>74</v>
      </c>
      <c r="AU15">
        <v>2015</v>
      </c>
      <c r="AV15">
        <v>29</v>
      </c>
      <c r="AW15">
        <v>1</v>
      </c>
      <c r="AX15" t="s">
        <v>74</v>
      </c>
      <c r="AY15" t="s">
        <v>74</v>
      </c>
      <c r="AZ15" t="s">
        <v>74</v>
      </c>
      <c r="BA15" t="s">
        <v>74</v>
      </c>
      <c r="BB15">
        <v>166</v>
      </c>
      <c r="BC15">
        <v>191</v>
      </c>
      <c r="BD15" t="s">
        <v>74</v>
      </c>
      <c r="BE15" t="s">
        <v>393</v>
      </c>
      <c r="BF15" t="str">
        <f>HYPERLINK("http://dx.doi.org/10.1163/22116001-02901009","http://dx.doi.org/10.1163/22116001-02901009")</f>
        <v>http://dx.doi.org/10.1163/22116001-02901009</v>
      </c>
      <c r="BG15" t="s">
        <v>74</v>
      </c>
      <c r="BH15" t="s">
        <v>74</v>
      </c>
      <c r="BI15">
        <v>26</v>
      </c>
      <c r="BJ15" t="s">
        <v>394</v>
      </c>
      <c r="BK15" t="s">
        <v>202</v>
      </c>
      <c r="BL15" t="s">
        <v>395</v>
      </c>
      <c r="BM15" t="s">
        <v>396</v>
      </c>
      <c r="BN15" t="s">
        <v>74</v>
      </c>
      <c r="BO15" t="s">
        <v>74</v>
      </c>
      <c r="BP15" t="s">
        <v>74</v>
      </c>
      <c r="BQ15" t="s">
        <v>74</v>
      </c>
      <c r="BR15" t="s">
        <v>93</v>
      </c>
      <c r="BS15" t="s">
        <v>397</v>
      </c>
      <c r="BT15" t="str">
        <f>HYPERLINK("https%3A%2F%2Fwww.webofscience.com%2Fwos%2Fwoscc%2Ffull-record%2FWOS:000356707000010","View Full Record in Web of Science")</f>
        <v>View Full Record in Web of Science</v>
      </c>
    </row>
    <row r="16" spans="1:72" x14ac:dyDescent="0.15">
      <c r="A16" t="s">
        <v>72</v>
      </c>
      <c r="B16" t="s">
        <v>398</v>
      </c>
      <c r="C16" t="s">
        <v>74</v>
      </c>
      <c r="D16" t="s">
        <v>74</v>
      </c>
      <c r="E16" t="s">
        <v>74</v>
      </c>
      <c r="F16" t="s">
        <v>399</v>
      </c>
      <c r="G16" t="s">
        <v>74</v>
      </c>
      <c r="H16" t="s">
        <v>74</v>
      </c>
      <c r="I16" t="s">
        <v>400</v>
      </c>
      <c r="J16" t="s">
        <v>401</v>
      </c>
      <c r="K16" t="s">
        <v>74</v>
      </c>
      <c r="L16" t="s">
        <v>74</v>
      </c>
      <c r="M16" t="s">
        <v>78</v>
      </c>
      <c r="N16" t="s">
        <v>99</v>
      </c>
      <c r="O16" t="s">
        <v>74</v>
      </c>
      <c r="P16" t="s">
        <v>74</v>
      </c>
      <c r="Q16" t="s">
        <v>74</v>
      </c>
      <c r="R16" t="s">
        <v>74</v>
      </c>
      <c r="S16" t="s">
        <v>74</v>
      </c>
      <c r="T16" t="s">
        <v>402</v>
      </c>
      <c r="U16" t="s">
        <v>403</v>
      </c>
      <c r="V16" t="s">
        <v>404</v>
      </c>
      <c r="W16" t="s">
        <v>405</v>
      </c>
      <c r="X16" t="s">
        <v>406</v>
      </c>
      <c r="Y16" t="s">
        <v>407</v>
      </c>
      <c r="Z16" t="s">
        <v>408</v>
      </c>
      <c r="AA16" t="s">
        <v>409</v>
      </c>
      <c r="AB16" t="s">
        <v>410</v>
      </c>
      <c r="AC16" t="s">
        <v>411</v>
      </c>
      <c r="AD16" t="s">
        <v>412</v>
      </c>
      <c r="AE16" t="s">
        <v>413</v>
      </c>
      <c r="AF16" t="s">
        <v>74</v>
      </c>
      <c r="AG16">
        <v>67</v>
      </c>
      <c r="AH16">
        <v>4</v>
      </c>
      <c r="AI16">
        <v>6</v>
      </c>
      <c r="AJ16">
        <v>0</v>
      </c>
      <c r="AK16">
        <v>7</v>
      </c>
      <c r="AL16" t="s">
        <v>414</v>
      </c>
      <c r="AM16" t="s">
        <v>415</v>
      </c>
      <c r="AN16" t="s">
        <v>416</v>
      </c>
      <c r="AO16" t="s">
        <v>417</v>
      </c>
      <c r="AP16" t="s">
        <v>418</v>
      </c>
      <c r="AQ16" t="s">
        <v>74</v>
      </c>
      <c r="AR16" t="s">
        <v>419</v>
      </c>
      <c r="AS16" t="s">
        <v>420</v>
      </c>
      <c r="AT16" t="s">
        <v>74</v>
      </c>
      <c r="AU16">
        <v>2015</v>
      </c>
      <c r="AV16">
        <v>115</v>
      </c>
      <c r="AW16">
        <v>3</v>
      </c>
      <c r="AX16" t="s">
        <v>74</v>
      </c>
      <c r="AY16" t="s">
        <v>74</v>
      </c>
      <c r="AZ16" t="s">
        <v>74</v>
      </c>
      <c r="BA16" t="s">
        <v>74</v>
      </c>
      <c r="BB16">
        <v>223</v>
      </c>
      <c r="BC16">
        <v>236</v>
      </c>
      <c r="BD16" t="s">
        <v>74</v>
      </c>
      <c r="BE16" t="s">
        <v>421</v>
      </c>
      <c r="BF16" t="str">
        <f>HYPERLINK("http://dx.doi.org/10.1071/MU14089","http://dx.doi.org/10.1071/MU14089")</f>
        <v>http://dx.doi.org/10.1071/MU14089</v>
      </c>
      <c r="BG16" t="s">
        <v>74</v>
      </c>
      <c r="BH16" t="s">
        <v>74</v>
      </c>
      <c r="BI16">
        <v>14</v>
      </c>
      <c r="BJ16" t="s">
        <v>422</v>
      </c>
      <c r="BK16" t="s">
        <v>91</v>
      </c>
      <c r="BL16" t="s">
        <v>423</v>
      </c>
      <c r="BM16" t="s">
        <v>424</v>
      </c>
      <c r="BN16" t="s">
        <v>74</v>
      </c>
      <c r="BO16" t="s">
        <v>74</v>
      </c>
      <c r="BP16" t="s">
        <v>74</v>
      </c>
      <c r="BQ16" t="s">
        <v>74</v>
      </c>
      <c r="BR16" t="s">
        <v>93</v>
      </c>
      <c r="BS16" t="s">
        <v>425</v>
      </c>
      <c r="BT16" t="str">
        <f>HYPERLINK("https%3A%2F%2Fwww.webofscience.com%2Fwos%2Fwoscc%2Ffull-record%2FWOS:000358663200004","View Full Record in Web of Science")</f>
        <v>View Full Record in Web of Science</v>
      </c>
    </row>
    <row r="17" spans="1:72" x14ac:dyDescent="0.15">
      <c r="A17" t="s">
        <v>72</v>
      </c>
      <c r="B17" t="s">
        <v>426</v>
      </c>
      <c r="C17" t="s">
        <v>74</v>
      </c>
      <c r="D17" t="s">
        <v>74</v>
      </c>
      <c r="E17" t="s">
        <v>74</v>
      </c>
      <c r="F17" t="s">
        <v>427</v>
      </c>
      <c r="G17" t="s">
        <v>74</v>
      </c>
      <c r="H17" t="s">
        <v>74</v>
      </c>
      <c r="I17" t="s">
        <v>428</v>
      </c>
      <c r="J17" t="s">
        <v>429</v>
      </c>
      <c r="K17" t="s">
        <v>74</v>
      </c>
      <c r="L17" t="s">
        <v>74</v>
      </c>
      <c r="M17" t="s">
        <v>78</v>
      </c>
      <c r="N17" t="s">
        <v>99</v>
      </c>
      <c r="O17" t="s">
        <v>74</v>
      </c>
      <c r="P17" t="s">
        <v>74</v>
      </c>
      <c r="Q17" t="s">
        <v>74</v>
      </c>
      <c r="R17" t="s">
        <v>74</v>
      </c>
      <c r="S17" t="s">
        <v>74</v>
      </c>
      <c r="T17" t="s">
        <v>74</v>
      </c>
      <c r="U17" t="s">
        <v>430</v>
      </c>
      <c r="V17" t="s">
        <v>431</v>
      </c>
      <c r="W17" t="s">
        <v>432</v>
      </c>
      <c r="X17" t="s">
        <v>433</v>
      </c>
      <c r="Y17" t="s">
        <v>434</v>
      </c>
      <c r="Z17" t="s">
        <v>435</v>
      </c>
      <c r="AA17" t="s">
        <v>436</v>
      </c>
      <c r="AB17" t="s">
        <v>437</v>
      </c>
      <c r="AC17" t="s">
        <v>438</v>
      </c>
      <c r="AD17" t="s">
        <v>439</v>
      </c>
      <c r="AE17" t="s">
        <v>440</v>
      </c>
      <c r="AF17" t="s">
        <v>74</v>
      </c>
      <c r="AG17">
        <v>29</v>
      </c>
      <c r="AH17">
        <v>1</v>
      </c>
      <c r="AI17">
        <v>1</v>
      </c>
      <c r="AJ17">
        <v>0</v>
      </c>
      <c r="AK17">
        <v>4</v>
      </c>
      <c r="AL17" t="s">
        <v>441</v>
      </c>
      <c r="AM17" t="s">
        <v>442</v>
      </c>
      <c r="AN17" t="s">
        <v>443</v>
      </c>
      <c r="AO17" t="s">
        <v>444</v>
      </c>
      <c r="AP17" t="s">
        <v>445</v>
      </c>
      <c r="AQ17" t="s">
        <v>74</v>
      </c>
      <c r="AR17" t="s">
        <v>429</v>
      </c>
      <c r="AS17" t="s">
        <v>446</v>
      </c>
      <c r="AT17" t="s">
        <v>74</v>
      </c>
      <c r="AU17">
        <v>2015</v>
      </c>
      <c r="AV17">
        <v>61</v>
      </c>
      <c r="AW17">
        <v>3</v>
      </c>
      <c r="AX17" t="s">
        <v>74</v>
      </c>
      <c r="AY17" t="s">
        <v>74</v>
      </c>
      <c r="AZ17" t="s">
        <v>74</v>
      </c>
      <c r="BA17" t="s">
        <v>74</v>
      </c>
      <c r="BB17">
        <v>177</v>
      </c>
      <c r="BC17">
        <v>184</v>
      </c>
      <c r="BD17" t="s">
        <v>74</v>
      </c>
      <c r="BE17" t="s">
        <v>74</v>
      </c>
      <c r="BF17" t="s">
        <v>74</v>
      </c>
      <c r="BG17" t="s">
        <v>74</v>
      </c>
      <c r="BH17" t="s">
        <v>74</v>
      </c>
      <c r="BI17">
        <v>8</v>
      </c>
      <c r="BJ17" t="s">
        <v>447</v>
      </c>
      <c r="BK17" t="s">
        <v>91</v>
      </c>
      <c r="BL17" t="s">
        <v>447</v>
      </c>
      <c r="BM17" t="s">
        <v>448</v>
      </c>
      <c r="BN17" t="s">
        <v>74</v>
      </c>
      <c r="BO17" t="s">
        <v>74</v>
      </c>
      <c r="BP17" t="s">
        <v>74</v>
      </c>
      <c r="BQ17" t="s">
        <v>74</v>
      </c>
      <c r="BR17" t="s">
        <v>93</v>
      </c>
      <c r="BS17" t="s">
        <v>449</v>
      </c>
      <c r="BT17" t="str">
        <f>HYPERLINK("https%3A%2F%2Fwww.webofscience.com%2Fwos%2Fwoscc%2Ffull-record%2FWOS:000358765300004","View Full Record in Web of Science")</f>
        <v>View Full Record in Web of Science</v>
      </c>
    </row>
    <row r="18" spans="1:72" x14ac:dyDescent="0.15">
      <c r="A18" t="s">
        <v>72</v>
      </c>
      <c r="B18" t="s">
        <v>450</v>
      </c>
      <c r="C18" t="s">
        <v>74</v>
      </c>
      <c r="D18" t="s">
        <v>74</v>
      </c>
      <c r="E18" t="s">
        <v>74</v>
      </c>
      <c r="F18" t="s">
        <v>451</v>
      </c>
      <c r="G18" t="s">
        <v>74</v>
      </c>
      <c r="H18" t="s">
        <v>74</v>
      </c>
      <c r="I18" t="s">
        <v>452</v>
      </c>
      <c r="J18" t="s">
        <v>453</v>
      </c>
      <c r="K18" t="s">
        <v>74</v>
      </c>
      <c r="L18" t="s">
        <v>74</v>
      </c>
      <c r="M18" t="s">
        <v>78</v>
      </c>
      <c r="N18" t="s">
        <v>454</v>
      </c>
      <c r="O18" t="s">
        <v>74</v>
      </c>
      <c r="P18" t="s">
        <v>74</v>
      </c>
      <c r="Q18" t="s">
        <v>74</v>
      </c>
      <c r="R18" t="s">
        <v>74</v>
      </c>
      <c r="S18" t="s">
        <v>74</v>
      </c>
      <c r="T18" t="s">
        <v>455</v>
      </c>
      <c r="U18" t="s">
        <v>456</v>
      </c>
      <c r="V18" t="s">
        <v>457</v>
      </c>
      <c r="W18" t="s">
        <v>458</v>
      </c>
      <c r="X18" t="s">
        <v>459</v>
      </c>
      <c r="Y18" t="s">
        <v>460</v>
      </c>
      <c r="Z18" t="s">
        <v>461</v>
      </c>
      <c r="AA18" t="s">
        <v>462</v>
      </c>
      <c r="AB18" t="s">
        <v>463</v>
      </c>
      <c r="AC18" t="s">
        <v>464</v>
      </c>
      <c r="AD18" t="s">
        <v>465</v>
      </c>
      <c r="AE18" t="s">
        <v>466</v>
      </c>
      <c r="AF18" t="s">
        <v>74</v>
      </c>
      <c r="AG18">
        <v>50</v>
      </c>
      <c r="AH18">
        <v>22</v>
      </c>
      <c r="AI18">
        <v>24</v>
      </c>
      <c r="AJ18">
        <v>1</v>
      </c>
      <c r="AK18">
        <v>22</v>
      </c>
      <c r="AL18" t="s">
        <v>82</v>
      </c>
      <c r="AM18" t="s">
        <v>83</v>
      </c>
      <c r="AN18" t="s">
        <v>150</v>
      </c>
      <c r="AO18" t="s">
        <v>467</v>
      </c>
      <c r="AP18" t="s">
        <v>468</v>
      </c>
      <c r="AQ18" t="s">
        <v>74</v>
      </c>
      <c r="AR18" t="s">
        <v>469</v>
      </c>
      <c r="AS18" t="s">
        <v>470</v>
      </c>
      <c r="AT18" t="s">
        <v>74</v>
      </c>
      <c r="AU18">
        <v>2015</v>
      </c>
      <c r="AV18">
        <v>34</v>
      </c>
      <c r="AW18" t="s">
        <v>74</v>
      </c>
      <c r="AX18" t="s">
        <v>74</v>
      </c>
      <c r="AY18" t="s">
        <v>74</v>
      </c>
      <c r="AZ18" t="s">
        <v>74</v>
      </c>
      <c r="BA18" t="s">
        <v>74</v>
      </c>
      <c r="BB18" t="s">
        <v>74</v>
      </c>
      <c r="BC18" t="s">
        <v>74</v>
      </c>
      <c r="BD18">
        <v>25582</v>
      </c>
      <c r="BE18" t="s">
        <v>471</v>
      </c>
      <c r="BF18" t="str">
        <f>HYPERLINK("http://dx.doi.org/10.3402/polar.v34.25582","http://dx.doi.org/10.3402/polar.v34.25582")</f>
        <v>http://dx.doi.org/10.3402/polar.v34.25582</v>
      </c>
      <c r="BG18" t="s">
        <v>74</v>
      </c>
      <c r="BH18" t="s">
        <v>74</v>
      </c>
      <c r="BI18">
        <v>16</v>
      </c>
      <c r="BJ18" t="s">
        <v>472</v>
      </c>
      <c r="BK18" t="s">
        <v>91</v>
      </c>
      <c r="BL18" t="s">
        <v>473</v>
      </c>
      <c r="BM18" t="s">
        <v>474</v>
      </c>
      <c r="BN18" t="s">
        <v>74</v>
      </c>
      <c r="BO18" t="s">
        <v>475</v>
      </c>
      <c r="BP18" t="s">
        <v>74</v>
      </c>
      <c r="BQ18" t="s">
        <v>74</v>
      </c>
      <c r="BR18" t="s">
        <v>93</v>
      </c>
      <c r="BS18" t="s">
        <v>476</v>
      </c>
      <c r="BT18" t="str">
        <f>HYPERLINK("https%3A%2F%2Fwww.webofscience.com%2Fwos%2Fwoscc%2Ffull-record%2FWOS:000358676400001","View Full Record in Web of Science")</f>
        <v>View Full Record in Web of Science</v>
      </c>
    </row>
    <row r="19" spans="1:72" x14ac:dyDescent="0.15">
      <c r="A19" t="s">
        <v>72</v>
      </c>
      <c r="B19" t="s">
        <v>477</v>
      </c>
      <c r="C19" t="s">
        <v>74</v>
      </c>
      <c r="D19" t="s">
        <v>74</v>
      </c>
      <c r="E19" t="s">
        <v>74</v>
      </c>
      <c r="F19" t="s">
        <v>478</v>
      </c>
      <c r="G19" t="s">
        <v>74</v>
      </c>
      <c r="H19" t="s">
        <v>74</v>
      </c>
      <c r="I19" t="s">
        <v>479</v>
      </c>
      <c r="J19" t="s">
        <v>480</v>
      </c>
      <c r="K19" t="s">
        <v>74</v>
      </c>
      <c r="L19" t="s">
        <v>74</v>
      </c>
      <c r="M19" t="s">
        <v>78</v>
      </c>
      <c r="N19" t="s">
        <v>99</v>
      </c>
      <c r="O19" t="s">
        <v>74</v>
      </c>
      <c r="P19" t="s">
        <v>74</v>
      </c>
      <c r="Q19" t="s">
        <v>74</v>
      </c>
      <c r="R19" t="s">
        <v>74</v>
      </c>
      <c r="S19" t="s">
        <v>74</v>
      </c>
      <c r="T19" t="s">
        <v>74</v>
      </c>
      <c r="U19" t="s">
        <v>481</v>
      </c>
      <c r="V19" t="s">
        <v>482</v>
      </c>
      <c r="W19" t="s">
        <v>483</v>
      </c>
      <c r="X19" t="s">
        <v>484</v>
      </c>
      <c r="Y19" t="s">
        <v>485</v>
      </c>
      <c r="Z19" t="s">
        <v>486</v>
      </c>
      <c r="AA19" t="s">
        <v>487</v>
      </c>
      <c r="AB19" t="s">
        <v>488</v>
      </c>
      <c r="AC19" t="s">
        <v>489</v>
      </c>
      <c r="AD19" t="s">
        <v>490</v>
      </c>
      <c r="AE19" t="s">
        <v>491</v>
      </c>
      <c r="AF19" t="s">
        <v>74</v>
      </c>
      <c r="AG19">
        <v>55</v>
      </c>
      <c r="AH19">
        <v>24</v>
      </c>
      <c r="AI19">
        <v>26</v>
      </c>
      <c r="AJ19">
        <v>1</v>
      </c>
      <c r="AK19">
        <v>29</v>
      </c>
      <c r="AL19" t="s">
        <v>244</v>
      </c>
      <c r="AM19" t="s">
        <v>245</v>
      </c>
      <c r="AN19" t="s">
        <v>246</v>
      </c>
      <c r="AO19" t="s">
        <v>492</v>
      </c>
      <c r="AP19" t="s">
        <v>493</v>
      </c>
      <c r="AQ19" t="s">
        <v>74</v>
      </c>
      <c r="AR19" t="s">
        <v>494</v>
      </c>
      <c r="AS19" t="s">
        <v>495</v>
      </c>
      <c r="AT19" t="s">
        <v>74</v>
      </c>
      <c r="AU19">
        <v>2015</v>
      </c>
      <c r="AV19">
        <v>15</v>
      </c>
      <c r="AW19">
        <v>13</v>
      </c>
      <c r="AX19" t="s">
        <v>74</v>
      </c>
      <c r="AY19" t="s">
        <v>74</v>
      </c>
      <c r="AZ19" t="s">
        <v>74</v>
      </c>
      <c r="BA19" t="s">
        <v>74</v>
      </c>
      <c r="BB19">
        <v>7537</v>
      </c>
      <c r="BC19">
        <v>7545</v>
      </c>
      <c r="BD19" t="s">
        <v>74</v>
      </c>
      <c r="BE19" t="s">
        <v>496</v>
      </c>
      <c r="BF19" t="str">
        <f>HYPERLINK("http://dx.doi.org/10.5194/acp-15-7537-2015","http://dx.doi.org/10.5194/acp-15-7537-2015")</f>
        <v>http://dx.doi.org/10.5194/acp-15-7537-2015</v>
      </c>
      <c r="BG19" t="s">
        <v>74</v>
      </c>
      <c r="BH19" t="s">
        <v>74</v>
      </c>
      <c r="BI19">
        <v>9</v>
      </c>
      <c r="BJ19" t="s">
        <v>497</v>
      </c>
      <c r="BK19" t="s">
        <v>91</v>
      </c>
      <c r="BL19" t="s">
        <v>498</v>
      </c>
      <c r="BM19" t="s">
        <v>499</v>
      </c>
      <c r="BN19" t="s">
        <v>74</v>
      </c>
      <c r="BO19" t="s">
        <v>255</v>
      </c>
      <c r="BP19" t="s">
        <v>74</v>
      </c>
      <c r="BQ19" t="s">
        <v>74</v>
      </c>
      <c r="BR19" t="s">
        <v>93</v>
      </c>
      <c r="BS19" t="s">
        <v>500</v>
      </c>
      <c r="BT19" t="str">
        <f>HYPERLINK("https%3A%2F%2Fwww.webofscience.com%2Fwos%2Fwoscc%2Ffull-record%2FWOS:000357978300024","View Full Record in Web of Science")</f>
        <v>View Full Record in Web of Science</v>
      </c>
    </row>
    <row r="20" spans="1:72" x14ac:dyDescent="0.15">
      <c r="A20" t="s">
        <v>72</v>
      </c>
      <c r="B20" t="s">
        <v>501</v>
      </c>
      <c r="C20" t="s">
        <v>74</v>
      </c>
      <c r="D20" t="s">
        <v>74</v>
      </c>
      <c r="E20" t="s">
        <v>74</v>
      </c>
      <c r="F20" t="s">
        <v>502</v>
      </c>
      <c r="G20" t="s">
        <v>74</v>
      </c>
      <c r="H20" t="s">
        <v>74</v>
      </c>
      <c r="I20" t="s">
        <v>503</v>
      </c>
      <c r="J20" t="s">
        <v>504</v>
      </c>
      <c r="K20" t="s">
        <v>74</v>
      </c>
      <c r="L20" t="s">
        <v>74</v>
      </c>
      <c r="M20" t="s">
        <v>78</v>
      </c>
      <c r="N20" t="s">
        <v>99</v>
      </c>
      <c r="O20" t="s">
        <v>74</v>
      </c>
      <c r="P20" t="s">
        <v>74</v>
      </c>
      <c r="Q20" t="s">
        <v>74</v>
      </c>
      <c r="R20" t="s">
        <v>74</v>
      </c>
      <c r="S20" t="s">
        <v>74</v>
      </c>
      <c r="T20" t="s">
        <v>505</v>
      </c>
      <c r="U20" t="s">
        <v>506</v>
      </c>
      <c r="V20" t="s">
        <v>507</v>
      </c>
      <c r="W20" t="s">
        <v>508</v>
      </c>
      <c r="X20" t="s">
        <v>509</v>
      </c>
      <c r="Y20" t="s">
        <v>510</v>
      </c>
      <c r="Z20" t="s">
        <v>511</v>
      </c>
      <c r="AA20" t="s">
        <v>512</v>
      </c>
      <c r="AB20" t="s">
        <v>513</v>
      </c>
      <c r="AC20" t="s">
        <v>74</v>
      </c>
      <c r="AD20" t="s">
        <v>74</v>
      </c>
      <c r="AE20" t="s">
        <v>74</v>
      </c>
      <c r="AF20" t="s">
        <v>74</v>
      </c>
      <c r="AG20">
        <v>29</v>
      </c>
      <c r="AH20">
        <v>24</v>
      </c>
      <c r="AI20">
        <v>25</v>
      </c>
      <c r="AJ20">
        <v>0</v>
      </c>
      <c r="AK20">
        <v>11</v>
      </c>
      <c r="AL20" t="s">
        <v>514</v>
      </c>
      <c r="AM20" t="s">
        <v>515</v>
      </c>
      <c r="AN20" t="s">
        <v>516</v>
      </c>
      <c r="AO20" t="s">
        <v>517</v>
      </c>
      <c r="AP20" t="s">
        <v>518</v>
      </c>
      <c r="AQ20" t="s">
        <v>74</v>
      </c>
      <c r="AR20" t="s">
        <v>504</v>
      </c>
      <c r="AS20" t="s">
        <v>519</v>
      </c>
      <c r="AT20" t="s">
        <v>74</v>
      </c>
      <c r="AU20">
        <v>2015</v>
      </c>
      <c r="AV20" t="s">
        <v>74</v>
      </c>
      <c r="AW20">
        <v>10</v>
      </c>
      <c r="AX20" t="s">
        <v>74</v>
      </c>
      <c r="AY20" t="s">
        <v>74</v>
      </c>
      <c r="AZ20" t="s">
        <v>74</v>
      </c>
      <c r="BA20" t="s">
        <v>74</v>
      </c>
      <c r="BB20">
        <v>57</v>
      </c>
      <c r="BC20">
        <v>71</v>
      </c>
      <c r="BD20" t="s">
        <v>74</v>
      </c>
      <c r="BE20" t="s">
        <v>520</v>
      </c>
      <c r="BF20" t="str">
        <f>HYPERLINK("http://dx.doi.org/10.3897/mycokeys.10.5343","http://dx.doi.org/10.3897/mycokeys.10.5343")</f>
        <v>http://dx.doi.org/10.3897/mycokeys.10.5343</v>
      </c>
      <c r="BG20" t="s">
        <v>74</v>
      </c>
      <c r="BH20" t="s">
        <v>74</v>
      </c>
      <c r="BI20">
        <v>15</v>
      </c>
      <c r="BJ20" t="s">
        <v>521</v>
      </c>
      <c r="BK20" t="s">
        <v>91</v>
      </c>
      <c r="BL20" t="s">
        <v>521</v>
      </c>
      <c r="BM20" t="s">
        <v>522</v>
      </c>
      <c r="BN20" t="s">
        <v>74</v>
      </c>
      <c r="BO20" t="s">
        <v>523</v>
      </c>
      <c r="BP20" t="s">
        <v>74</v>
      </c>
      <c r="BQ20" t="s">
        <v>74</v>
      </c>
      <c r="BR20" t="s">
        <v>93</v>
      </c>
      <c r="BS20" t="s">
        <v>524</v>
      </c>
      <c r="BT20" t="str">
        <f>HYPERLINK("https%3A%2F%2Fwww.webofscience.com%2Fwos%2Fwoscc%2Ffull-record%2FWOS:000358262000003","View Full Record in Web of Science")</f>
        <v>View Full Record in Web of Science</v>
      </c>
    </row>
    <row r="21" spans="1:72" x14ac:dyDescent="0.15">
      <c r="A21" t="s">
        <v>72</v>
      </c>
      <c r="B21" t="s">
        <v>525</v>
      </c>
      <c r="C21" t="s">
        <v>74</v>
      </c>
      <c r="D21" t="s">
        <v>74</v>
      </c>
      <c r="E21" t="s">
        <v>74</v>
      </c>
      <c r="F21" t="s">
        <v>526</v>
      </c>
      <c r="G21" t="s">
        <v>74</v>
      </c>
      <c r="H21" t="s">
        <v>74</v>
      </c>
      <c r="I21" t="s">
        <v>527</v>
      </c>
      <c r="J21" t="s">
        <v>528</v>
      </c>
      <c r="K21" t="s">
        <v>74</v>
      </c>
      <c r="L21" t="s">
        <v>74</v>
      </c>
      <c r="M21" t="s">
        <v>78</v>
      </c>
      <c r="N21" t="s">
        <v>99</v>
      </c>
      <c r="O21" t="s">
        <v>74</v>
      </c>
      <c r="P21" t="s">
        <v>74</v>
      </c>
      <c r="Q21" t="s">
        <v>74</v>
      </c>
      <c r="R21" t="s">
        <v>74</v>
      </c>
      <c r="S21" t="s">
        <v>74</v>
      </c>
      <c r="T21" t="s">
        <v>529</v>
      </c>
      <c r="U21" t="s">
        <v>530</v>
      </c>
      <c r="V21" t="s">
        <v>531</v>
      </c>
      <c r="W21" t="s">
        <v>532</v>
      </c>
      <c r="X21" t="s">
        <v>533</v>
      </c>
      <c r="Y21" t="s">
        <v>534</v>
      </c>
      <c r="Z21" t="s">
        <v>74</v>
      </c>
      <c r="AA21" t="s">
        <v>535</v>
      </c>
      <c r="AB21" t="s">
        <v>536</v>
      </c>
      <c r="AC21" t="s">
        <v>537</v>
      </c>
      <c r="AD21" t="s">
        <v>538</v>
      </c>
      <c r="AE21" t="s">
        <v>539</v>
      </c>
      <c r="AF21" t="s">
        <v>74</v>
      </c>
      <c r="AG21">
        <v>87</v>
      </c>
      <c r="AH21">
        <v>59</v>
      </c>
      <c r="AI21">
        <v>66</v>
      </c>
      <c r="AJ21">
        <v>4</v>
      </c>
      <c r="AK21">
        <v>66</v>
      </c>
      <c r="AL21" t="s">
        <v>540</v>
      </c>
      <c r="AM21" t="s">
        <v>541</v>
      </c>
      <c r="AN21" t="s">
        <v>542</v>
      </c>
      <c r="AO21" t="s">
        <v>543</v>
      </c>
      <c r="AP21" t="s">
        <v>74</v>
      </c>
      <c r="AQ21" t="s">
        <v>74</v>
      </c>
      <c r="AR21" t="s">
        <v>544</v>
      </c>
      <c r="AS21" t="s">
        <v>545</v>
      </c>
      <c r="AT21" t="s">
        <v>74</v>
      </c>
      <c r="AU21">
        <v>2015</v>
      </c>
      <c r="AV21">
        <v>20</v>
      </c>
      <c r="AW21">
        <v>2</v>
      </c>
      <c r="AX21" t="s">
        <v>74</v>
      </c>
      <c r="AY21" t="s">
        <v>74</v>
      </c>
      <c r="AZ21" t="s">
        <v>74</v>
      </c>
      <c r="BA21" t="s">
        <v>74</v>
      </c>
      <c r="BB21" t="s">
        <v>74</v>
      </c>
      <c r="BC21" t="s">
        <v>74</v>
      </c>
      <c r="BD21">
        <v>35</v>
      </c>
      <c r="BE21" t="s">
        <v>546</v>
      </c>
      <c r="BF21" t="str">
        <f>HYPERLINK("http://dx.doi.org/10.5751/ES-07509-200235","http://dx.doi.org/10.5751/ES-07509-200235")</f>
        <v>http://dx.doi.org/10.5751/ES-07509-200235</v>
      </c>
      <c r="BG21" t="s">
        <v>74</v>
      </c>
      <c r="BH21" t="s">
        <v>74</v>
      </c>
      <c r="BI21">
        <v>21</v>
      </c>
      <c r="BJ21" t="s">
        <v>547</v>
      </c>
      <c r="BK21" t="s">
        <v>157</v>
      </c>
      <c r="BL21" t="s">
        <v>395</v>
      </c>
      <c r="BM21" t="s">
        <v>548</v>
      </c>
      <c r="BN21" t="s">
        <v>74</v>
      </c>
      <c r="BO21" t="s">
        <v>549</v>
      </c>
      <c r="BP21" t="s">
        <v>74</v>
      </c>
      <c r="BQ21" t="s">
        <v>74</v>
      </c>
      <c r="BR21" t="s">
        <v>93</v>
      </c>
      <c r="BS21" t="s">
        <v>550</v>
      </c>
      <c r="BT21" t="str">
        <f>HYPERLINK("https%3A%2F%2Fwww.webofscience.com%2Fwos%2Fwoscc%2Ffull-record%2FWOS:000357622800024","View Full Record in Web of Science")</f>
        <v>View Full Record in Web of Science</v>
      </c>
    </row>
    <row r="22" spans="1:72" x14ac:dyDescent="0.15">
      <c r="A22" t="s">
        <v>72</v>
      </c>
      <c r="B22" t="s">
        <v>551</v>
      </c>
      <c r="C22" t="s">
        <v>74</v>
      </c>
      <c r="D22" t="s">
        <v>74</v>
      </c>
      <c r="E22" t="s">
        <v>74</v>
      </c>
      <c r="F22" t="s">
        <v>552</v>
      </c>
      <c r="G22" t="s">
        <v>74</v>
      </c>
      <c r="H22" t="s">
        <v>74</v>
      </c>
      <c r="I22" t="s">
        <v>553</v>
      </c>
      <c r="J22" t="s">
        <v>554</v>
      </c>
      <c r="K22" t="s">
        <v>74</v>
      </c>
      <c r="L22" t="s">
        <v>74</v>
      </c>
      <c r="M22" t="s">
        <v>78</v>
      </c>
      <c r="N22" t="s">
        <v>99</v>
      </c>
      <c r="O22" t="s">
        <v>74</v>
      </c>
      <c r="P22" t="s">
        <v>74</v>
      </c>
      <c r="Q22" t="s">
        <v>74</v>
      </c>
      <c r="R22" t="s">
        <v>74</v>
      </c>
      <c r="S22" t="s">
        <v>74</v>
      </c>
      <c r="T22" t="s">
        <v>74</v>
      </c>
      <c r="U22" t="s">
        <v>555</v>
      </c>
      <c r="V22" t="s">
        <v>556</v>
      </c>
      <c r="W22" t="s">
        <v>557</v>
      </c>
      <c r="X22" t="s">
        <v>558</v>
      </c>
      <c r="Y22" t="s">
        <v>559</v>
      </c>
      <c r="Z22" t="s">
        <v>560</v>
      </c>
      <c r="AA22" t="s">
        <v>561</v>
      </c>
      <c r="AB22" t="s">
        <v>562</v>
      </c>
      <c r="AC22" t="s">
        <v>563</v>
      </c>
      <c r="AD22" t="s">
        <v>564</v>
      </c>
      <c r="AE22" t="s">
        <v>565</v>
      </c>
      <c r="AF22" t="s">
        <v>74</v>
      </c>
      <c r="AG22">
        <v>46</v>
      </c>
      <c r="AH22">
        <v>21</v>
      </c>
      <c r="AI22">
        <v>21</v>
      </c>
      <c r="AJ22">
        <v>1</v>
      </c>
      <c r="AK22">
        <v>27</v>
      </c>
      <c r="AL22" t="s">
        <v>111</v>
      </c>
      <c r="AM22" t="s">
        <v>112</v>
      </c>
      <c r="AN22" t="s">
        <v>113</v>
      </c>
      <c r="AO22" t="s">
        <v>566</v>
      </c>
      <c r="AP22" t="s">
        <v>567</v>
      </c>
      <c r="AQ22" t="s">
        <v>74</v>
      </c>
      <c r="AR22" t="s">
        <v>568</v>
      </c>
      <c r="AS22" t="s">
        <v>569</v>
      </c>
      <c r="AT22" t="s">
        <v>74</v>
      </c>
      <c r="AU22">
        <v>2015</v>
      </c>
      <c r="AV22">
        <v>17</v>
      </c>
      <c r="AW22">
        <v>7</v>
      </c>
      <c r="AX22" t="s">
        <v>74</v>
      </c>
      <c r="AY22" t="s">
        <v>74</v>
      </c>
      <c r="AZ22" t="s">
        <v>74</v>
      </c>
      <c r="BA22" t="s">
        <v>74</v>
      </c>
      <c r="BB22">
        <v>1238</v>
      </c>
      <c r="BC22">
        <v>1248</v>
      </c>
      <c r="BD22" t="s">
        <v>74</v>
      </c>
      <c r="BE22" t="s">
        <v>570</v>
      </c>
      <c r="BF22" t="str">
        <f>HYPERLINK("http://dx.doi.org/10.1039/c4em00680a","http://dx.doi.org/10.1039/c4em00680a")</f>
        <v>http://dx.doi.org/10.1039/c4em00680a</v>
      </c>
      <c r="BG22" t="s">
        <v>74</v>
      </c>
      <c r="BH22" t="s">
        <v>74</v>
      </c>
      <c r="BI22">
        <v>11</v>
      </c>
      <c r="BJ22" t="s">
        <v>571</v>
      </c>
      <c r="BK22" t="s">
        <v>91</v>
      </c>
      <c r="BL22" t="s">
        <v>572</v>
      </c>
      <c r="BM22" t="s">
        <v>573</v>
      </c>
      <c r="BN22">
        <v>26121427</v>
      </c>
      <c r="BO22" t="s">
        <v>574</v>
      </c>
      <c r="BP22" t="s">
        <v>74</v>
      </c>
      <c r="BQ22" t="s">
        <v>74</v>
      </c>
      <c r="BR22" t="s">
        <v>93</v>
      </c>
      <c r="BS22" t="s">
        <v>575</v>
      </c>
      <c r="BT22" t="str">
        <f>HYPERLINK("https%3A%2F%2Fwww.webofscience.com%2Fwos%2Fwoscc%2Ffull-record%2FWOS:000357793300004","View Full Record in Web of Science")</f>
        <v>View Full Record in Web of Science</v>
      </c>
    </row>
    <row r="23" spans="1:72" x14ac:dyDescent="0.15">
      <c r="A23" t="s">
        <v>72</v>
      </c>
      <c r="B23" t="s">
        <v>576</v>
      </c>
      <c r="C23" t="s">
        <v>74</v>
      </c>
      <c r="D23" t="s">
        <v>74</v>
      </c>
      <c r="E23" t="s">
        <v>74</v>
      </c>
      <c r="F23" t="s">
        <v>577</v>
      </c>
      <c r="G23" t="s">
        <v>74</v>
      </c>
      <c r="H23" t="s">
        <v>74</v>
      </c>
      <c r="I23" t="s">
        <v>578</v>
      </c>
      <c r="J23" t="s">
        <v>480</v>
      </c>
      <c r="K23" t="s">
        <v>74</v>
      </c>
      <c r="L23" t="s">
        <v>74</v>
      </c>
      <c r="M23" t="s">
        <v>78</v>
      </c>
      <c r="N23" t="s">
        <v>99</v>
      </c>
      <c r="O23" t="s">
        <v>74</v>
      </c>
      <c r="P23" t="s">
        <v>74</v>
      </c>
      <c r="Q23" t="s">
        <v>74</v>
      </c>
      <c r="R23" t="s">
        <v>74</v>
      </c>
      <c r="S23" t="s">
        <v>74</v>
      </c>
      <c r="T23" t="s">
        <v>74</v>
      </c>
      <c r="U23" t="s">
        <v>579</v>
      </c>
      <c r="V23" t="s">
        <v>580</v>
      </c>
      <c r="W23" t="s">
        <v>581</v>
      </c>
      <c r="X23" t="s">
        <v>582</v>
      </c>
      <c r="Y23" t="s">
        <v>583</v>
      </c>
      <c r="Z23" t="s">
        <v>584</v>
      </c>
      <c r="AA23" t="s">
        <v>585</v>
      </c>
      <c r="AB23" t="s">
        <v>586</v>
      </c>
      <c r="AC23" t="s">
        <v>587</v>
      </c>
      <c r="AD23" t="s">
        <v>588</v>
      </c>
      <c r="AE23" t="s">
        <v>589</v>
      </c>
      <c r="AF23" t="s">
        <v>74</v>
      </c>
      <c r="AG23">
        <v>70</v>
      </c>
      <c r="AH23">
        <v>2</v>
      </c>
      <c r="AI23">
        <v>2</v>
      </c>
      <c r="AJ23">
        <v>0</v>
      </c>
      <c r="AK23">
        <v>9</v>
      </c>
      <c r="AL23" t="s">
        <v>244</v>
      </c>
      <c r="AM23" t="s">
        <v>245</v>
      </c>
      <c r="AN23" t="s">
        <v>246</v>
      </c>
      <c r="AO23" t="s">
        <v>492</v>
      </c>
      <c r="AP23" t="s">
        <v>493</v>
      </c>
      <c r="AQ23" t="s">
        <v>74</v>
      </c>
      <c r="AR23" t="s">
        <v>494</v>
      </c>
      <c r="AS23" t="s">
        <v>495</v>
      </c>
      <c r="AT23" t="s">
        <v>74</v>
      </c>
      <c r="AU23">
        <v>2015</v>
      </c>
      <c r="AV23">
        <v>15</v>
      </c>
      <c r="AW23">
        <v>12</v>
      </c>
      <c r="AX23" t="s">
        <v>74</v>
      </c>
      <c r="AY23" t="s">
        <v>74</v>
      </c>
      <c r="AZ23" t="s">
        <v>74</v>
      </c>
      <c r="BA23" t="s">
        <v>74</v>
      </c>
      <c r="BB23">
        <v>6651</v>
      </c>
      <c r="BC23">
        <v>6665</v>
      </c>
      <c r="BD23" t="s">
        <v>74</v>
      </c>
      <c r="BE23" t="s">
        <v>590</v>
      </c>
      <c r="BF23" t="str">
        <f>HYPERLINK("http://dx.doi.org/10.5194/acp-15-6651-2015","http://dx.doi.org/10.5194/acp-15-6651-2015")</f>
        <v>http://dx.doi.org/10.5194/acp-15-6651-2015</v>
      </c>
      <c r="BG23" t="s">
        <v>74</v>
      </c>
      <c r="BH23" t="s">
        <v>74</v>
      </c>
      <c r="BI23">
        <v>15</v>
      </c>
      <c r="BJ23" t="s">
        <v>497</v>
      </c>
      <c r="BK23" t="s">
        <v>91</v>
      </c>
      <c r="BL23" t="s">
        <v>498</v>
      </c>
      <c r="BM23" t="s">
        <v>591</v>
      </c>
      <c r="BN23" t="s">
        <v>74</v>
      </c>
      <c r="BO23" t="s">
        <v>592</v>
      </c>
      <c r="BP23" t="s">
        <v>74</v>
      </c>
      <c r="BQ23" t="s">
        <v>74</v>
      </c>
      <c r="BR23" t="s">
        <v>93</v>
      </c>
      <c r="BS23" t="s">
        <v>593</v>
      </c>
      <c r="BT23" t="str">
        <f>HYPERLINK("https%3A%2F%2Fwww.webofscience.com%2Fwos%2Fwoscc%2Ffull-record%2FWOS:000357117500007","View Full Record in Web of Science")</f>
        <v>View Full Record in Web of Science</v>
      </c>
    </row>
    <row r="24" spans="1:72" x14ac:dyDescent="0.15">
      <c r="A24" t="s">
        <v>72</v>
      </c>
      <c r="B24" t="s">
        <v>594</v>
      </c>
      <c r="C24" t="s">
        <v>74</v>
      </c>
      <c r="D24" t="s">
        <v>74</v>
      </c>
      <c r="E24" t="s">
        <v>74</v>
      </c>
      <c r="F24" t="s">
        <v>595</v>
      </c>
      <c r="G24" t="s">
        <v>74</v>
      </c>
      <c r="H24" t="s">
        <v>74</v>
      </c>
      <c r="I24" t="s">
        <v>596</v>
      </c>
      <c r="J24" t="s">
        <v>597</v>
      </c>
      <c r="K24" t="s">
        <v>74</v>
      </c>
      <c r="L24" t="s">
        <v>74</v>
      </c>
      <c r="M24" t="s">
        <v>78</v>
      </c>
      <c r="N24" t="s">
        <v>99</v>
      </c>
      <c r="O24" t="s">
        <v>74</v>
      </c>
      <c r="P24" t="s">
        <v>74</v>
      </c>
      <c r="Q24" t="s">
        <v>74</v>
      </c>
      <c r="R24" t="s">
        <v>74</v>
      </c>
      <c r="S24" t="s">
        <v>74</v>
      </c>
      <c r="T24" t="s">
        <v>74</v>
      </c>
      <c r="U24" t="s">
        <v>598</v>
      </c>
      <c r="V24" t="s">
        <v>599</v>
      </c>
      <c r="W24" t="s">
        <v>600</v>
      </c>
      <c r="X24" t="s">
        <v>601</v>
      </c>
      <c r="Y24" t="s">
        <v>602</v>
      </c>
      <c r="Z24" t="s">
        <v>603</v>
      </c>
      <c r="AA24" t="s">
        <v>604</v>
      </c>
      <c r="AB24" t="s">
        <v>605</v>
      </c>
      <c r="AC24" t="s">
        <v>606</v>
      </c>
      <c r="AD24" t="s">
        <v>607</v>
      </c>
      <c r="AE24" t="s">
        <v>608</v>
      </c>
      <c r="AF24" t="s">
        <v>74</v>
      </c>
      <c r="AG24">
        <v>95</v>
      </c>
      <c r="AH24">
        <v>22</v>
      </c>
      <c r="AI24">
        <v>24</v>
      </c>
      <c r="AJ24">
        <v>1</v>
      </c>
      <c r="AK24">
        <v>22</v>
      </c>
      <c r="AL24" t="s">
        <v>244</v>
      </c>
      <c r="AM24" t="s">
        <v>245</v>
      </c>
      <c r="AN24" t="s">
        <v>246</v>
      </c>
      <c r="AO24" t="s">
        <v>609</v>
      </c>
      <c r="AP24" t="s">
        <v>610</v>
      </c>
      <c r="AQ24" t="s">
        <v>74</v>
      </c>
      <c r="AR24" t="s">
        <v>597</v>
      </c>
      <c r="AS24" t="s">
        <v>611</v>
      </c>
      <c r="AT24" t="s">
        <v>74</v>
      </c>
      <c r="AU24">
        <v>2015</v>
      </c>
      <c r="AV24">
        <v>12</v>
      </c>
      <c r="AW24">
        <v>9</v>
      </c>
      <c r="AX24" t="s">
        <v>74</v>
      </c>
      <c r="AY24" t="s">
        <v>74</v>
      </c>
      <c r="AZ24" t="s">
        <v>74</v>
      </c>
      <c r="BA24" t="s">
        <v>74</v>
      </c>
      <c r="BB24">
        <v>2707</v>
      </c>
      <c r="BC24">
        <v>2735</v>
      </c>
      <c r="BD24" t="s">
        <v>74</v>
      </c>
      <c r="BE24" t="s">
        <v>612</v>
      </c>
      <c r="BF24" t="str">
        <f>HYPERLINK("http://dx.doi.org/10.5194/bg-12-2707-2015","http://dx.doi.org/10.5194/bg-12-2707-2015")</f>
        <v>http://dx.doi.org/10.5194/bg-12-2707-2015</v>
      </c>
      <c r="BG24" t="s">
        <v>74</v>
      </c>
      <c r="BH24" t="s">
        <v>74</v>
      </c>
      <c r="BI24">
        <v>29</v>
      </c>
      <c r="BJ24" t="s">
        <v>613</v>
      </c>
      <c r="BK24" t="s">
        <v>91</v>
      </c>
      <c r="BL24" t="s">
        <v>614</v>
      </c>
      <c r="BM24" t="s">
        <v>615</v>
      </c>
      <c r="BN24" t="s">
        <v>74</v>
      </c>
      <c r="BO24" t="s">
        <v>255</v>
      </c>
      <c r="BP24" t="s">
        <v>74</v>
      </c>
      <c r="BQ24" t="s">
        <v>74</v>
      </c>
      <c r="BR24" t="s">
        <v>93</v>
      </c>
      <c r="BS24" t="s">
        <v>616</v>
      </c>
      <c r="BT24" t="str">
        <f>HYPERLINK("https%3A%2F%2Fwww.webofscience.com%2Fwos%2Fwoscc%2Ffull-record%2FWOS:000356178900006","View Full Record in Web of Science")</f>
        <v>View Full Record in Web of Science</v>
      </c>
    </row>
    <row r="25" spans="1:72" x14ac:dyDescent="0.15">
      <c r="A25" t="s">
        <v>72</v>
      </c>
      <c r="B25" t="s">
        <v>617</v>
      </c>
      <c r="C25" t="s">
        <v>74</v>
      </c>
      <c r="D25" t="s">
        <v>74</v>
      </c>
      <c r="E25" t="s">
        <v>74</v>
      </c>
      <c r="F25" t="s">
        <v>618</v>
      </c>
      <c r="G25" t="s">
        <v>74</v>
      </c>
      <c r="H25" t="s">
        <v>74</v>
      </c>
      <c r="I25" t="s">
        <v>619</v>
      </c>
      <c r="J25" t="s">
        <v>620</v>
      </c>
      <c r="K25" t="s">
        <v>74</v>
      </c>
      <c r="L25" t="s">
        <v>74</v>
      </c>
      <c r="M25" t="s">
        <v>78</v>
      </c>
      <c r="N25" t="s">
        <v>99</v>
      </c>
      <c r="O25" t="s">
        <v>74</v>
      </c>
      <c r="P25" t="s">
        <v>74</v>
      </c>
      <c r="Q25" t="s">
        <v>74</v>
      </c>
      <c r="R25" t="s">
        <v>74</v>
      </c>
      <c r="S25" t="s">
        <v>74</v>
      </c>
      <c r="T25" t="s">
        <v>74</v>
      </c>
      <c r="U25" t="s">
        <v>621</v>
      </c>
      <c r="V25" t="s">
        <v>622</v>
      </c>
      <c r="W25" t="s">
        <v>623</v>
      </c>
      <c r="X25" t="s">
        <v>624</v>
      </c>
      <c r="Y25" t="s">
        <v>625</v>
      </c>
      <c r="Z25" t="s">
        <v>626</v>
      </c>
      <c r="AA25" t="s">
        <v>627</v>
      </c>
      <c r="AB25" t="s">
        <v>628</v>
      </c>
      <c r="AC25" t="s">
        <v>629</v>
      </c>
      <c r="AD25" t="s">
        <v>630</v>
      </c>
      <c r="AE25" t="s">
        <v>631</v>
      </c>
      <c r="AF25" t="s">
        <v>74</v>
      </c>
      <c r="AG25">
        <v>22</v>
      </c>
      <c r="AH25">
        <v>3</v>
      </c>
      <c r="AI25">
        <v>4</v>
      </c>
      <c r="AJ25">
        <v>2</v>
      </c>
      <c r="AK25">
        <v>10</v>
      </c>
      <c r="AL25" t="s">
        <v>244</v>
      </c>
      <c r="AM25" t="s">
        <v>245</v>
      </c>
      <c r="AN25" t="s">
        <v>246</v>
      </c>
      <c r="AO25" t="s">
        <v>632</v>
      </c>
      <c r="AP25" t="s">
        <v>633</v>
      </c>
      <c r="AQ25" t="s">
        <v>74</v>
      </c>
      <c r="AR25" t="s">
        <v>634</v>
      </c>
      <c r="AS25" t="s">
        <v>635</v>
      </c>
      <c r="AT25" t="s">
        <v>74</v>
      </c>
      <c r="AU25">
        <v>2015</v>
      </c>
      <c r="AV25">
        <v>7</v>
      </c>
      <c r="AW25">
        <v>1</v>
      </c>
      <c r="AX25" t="s">
        <v>74</v>
      </c>
      <c r="AY25" t="s">
        <v>74</v>
      </c>
      <c r="AZ25" t="s">
        <v>74</v>
      </c>
      <c r="BA25" t="s">
        <v>74</v>
      </c>
      <c r="BB25">
        <v>87</v>
      </c>
      <c r="BC25">
        <v>92</v>
      </c>
      <c r="BD25" t="s">
        <v>74</v>
      </c>
      <c r="BE25" t="s">
        <v>636</v>
      </c>
      <c r="BF25" t="str">
        <f>HYPERLINK("http://dx.doi.org/10.5194/essd-7-87-2015","http://dx.doi.org/10.5194/essd-7-87-2015")</f>
        <v>http://dx.doi.org/10.5194/essd-7-87-2015</v>
      </c>
      <c r="BG25" t="s">
        <v>74</v>
      </c>
      <c r="BH25" t="s">
        <v>74</v>
      </c>
      <c r="BI25">
        <v>6</v>
      </c>
      <c r="BJ25" t="s">
        <v>637</v>
      </c>
      <c r="BK25" t="s">
        <v>91</v>
      </c>
      <c r="BL25" t="s">
        <v>638</v>
      </c>
      <c r="BM25" t="s">
        <v>639</v>
      </c>
      <c r="BN25" t="s">
        <v>74</v>
      </c>
      <c r="BO25" t="s">
        <v>255</v>
      </c>
      <c r="BP25" t="s">
        <v>74</v>
      </c>
      <c r="BQ25" t="s">
        <v>74</v>
      </c>
      <c r="BR25" t="s">
        <v>93</v>
      </c>
      <c r="BS25" t="s">
        <v>640</v>
      </c>
      <c r="BT25" t="str">
        <f>HYPERLINK("https%3A%2F%2Fwww.webofscience.com%2Fwos%2Fwoscc%2Ffull-record%2FWOS:000356934300006","View Full Record in Web of Science")</f>
        <v>View Full Record in Web of Science</v>
      </c>
    </row>
    <row r="26" spans="1:72" x14ac:dyDescent="0.15">
      <c r="A26" t="s">
        <v>72</v>
      </c>
      <c r="B26" t="s">
        <v>641</v>
      </c>
      <c r="C26" t="s">
        <v>74</v>
      </c>
      <c r="D26" t="s">
        <v>74</v>
      </c>
      <c r="E26" t="s">
        <v>74</v>
      </c>
      <c r="F26" t="s">
        <v>642</v>
      </c>
      <c r="G26" t="s">
        <v>74</v>
      </c>
      <c r="H26" t="s">
        <v>74</v>
      </c>
      <c r="I26" t="s">
        <v>643</v>
      </c>
      <c r="J26" t="s">
        <v>644</v>
      </c>
      <c r="K26" t="s">
        <v>74</v>
      </c>
      <c r="L26" t="s">
        <v>74</v>
      </c>
      <c r="M26" t="s">
        <v>78</v>
      </c>
      <c r="N26" t="s">
        <v>99</v>
      </c>
      <c r="O26" t="s">
        <v>74</v>
      </c>
      <c r="P26" t="s">
        <v>74</v>
      </c>
      <c r="Q26" t="s">
        <v>74</v>
      </c>
      <c r="R26" t="s">
        <v>74</v>
      </c>
      <c r="S26" t="s">
        <v>74</v>
      </c>
      <c r="T26" t="s">
        <v>645</v>
      </c>
      <c r="U26" t="s">
        <v>646</v>
      </c>
      <c r="V26" t="s">
        <v>647</v>
      </c>
      <c r="W26" t="s">
        <v>648</v>
      </c>
      <c r="X26" t="s">
        <v>649</v>
      </c>
      <c r="Y26" t="s">
        <v>650</v>
      </c>
      <c r="Z26" t="s">
        <v>651</v>
      </c>
      <c r="AA26" t="s">
        <v>652</v>
      </c>
      <c r="AB26" t="s">
        <v>653</v>
      </c>
      <c r="AC26" t="s">
        <v>654</v>
      </c>
      <c r="AD26" t="s">
        <v>654</v>
      </c>
      <c r="AE26" t="s">
        <v>655</v>
      </c>
      <c r="AF26" t="s">
        <v>74</v>
      </c>
      <c r="AG26">
        <v>70</v>
      </c>
      <c r="AH26">
        <v>9</v>
      </c>
      <c r="AI26">
        <v>9</v>
      </c>
      <c r="AJ26">
        <v>0</v>
      </c>
      <c r="AK26">
        <v>13</v>
      </c>
      <c r="AL26" t="s">
        <v>656</v>
      </c>
      <c r="AM26" t="s">
        <v>515</v>
      </c>
      <c r="AN26" t="s">
        <v>657</v>
      </c>
      <c r="AO26" t="s">
        <v>658</v>
      </c>
      <c r="AP26" t="s">
        <v>659</v>
      </c>
      <c r="AQ26" t="s">
        <v>74</v>
      </c>
      <c r="AR26" t="s">
        <v>644</v>
      </c>
      <c r="AS26" t="s">
        <v>660</v>
      </c>
      <c r="AT26" t="s">
        <v>74</v>
      </c>
      <c r="AU26">
        <v>2015</v>
      </c>
      <c r="AV26" t="s">
        <v>74</v>
      </c>
      <c r="AW26">
        <v>511</v>
      </c>
      <c r="AX26" t="s">
        <v>74</v>
      </c>
      <c r="AY26" t="s">
        <v>74</v>
      </c>
      <c r="AZ26" t="s">
        <v>74</v>
      </c>
      <c r="BA26" t="s">
        <v>74</v>
      </c>
      <c r="BB26">
        <v>25</v>
      </c>
      <c r="BC26">
        <v>68</v>
      </c>
      <c r="BD26" t="s">
        <v>74</v>
      </c>
      <c r="BE26" t="s">
        <v>661</v>
      </c>
      <c r="BF26" t="str">
        <f>HYPERLINK("http://dx.doi.org/10.3897/zookeys.511.9793","http://dx.doi.org/10.3897/zookeys.511.9793")</f>
        <v>http://dx.doi.org/10.3897/zookeys.511.9793</v>
      </c>
      <c r="BG26" t="s">
        <v>74</v>
      </c>
      <c r="BH26" t="s">
        <v>74</v>
      </c>
      <c r="BI26">
        <v>44</v>
      </c>
      <c r="BJ26" t="s">
        <v>423</v>
      </c>
      <c r="BK26" t="s">
        <v>91</v>
      </c>
      <c r="BL26" t="s">
        <v>423</v>
      </c>
      <c r="BM26" t="s">
        <v>662</v>
      </c>
      <c r="BN26">
        <v>26257550</v>
      </c>
      <c r="BO26" t="s">
        <v>592</v>
      </c>
      <c r="BP26" t="s">
        <v>74</v>
      </c>
      <c r="BQ26" t="s">
        <v>74</v>
      </c>
      <c r="BR26" t="s">
        <v>93</v>
      </c>
      <c r="BS26" t="s">
        <v>663</v>
      </c>
      <c r="BT26" t="str">
        <f>HYPERLINK("https%3A%2F%2Fwww.webofscience.com%2Fwos%2Fwoscc%2Ffull-record%2FWOS:000357602400002","View Full Record in Web of Science")</f>
        <v>View Full Record in Web of Science</v>
      </c>
    </row>
    <row r="27" spans="1:72" x14ac:dyDescent="0.15">
      <c r="A27" t="s">
        <v>72</v>
      </c>
      <c r="B27" t="s">
        <v>664</v>
      </c>
      <c r="C27" t="s">
        <v>74</v>
      </c>
      <c r="D27" t="s">
        <v>74</v>
      </c>
      <c r="E27" t="s">
        <v>74</v>
      </c>
      <c r="F27" t="s">
        <v>665</v>
      </c>
      <c r="G27" t="s">
        <v>74</v>
      </c>
      <c r="H27" t="s">
        <v>74</v>
      </c>
      <c r="I27" t="s">
        <v>666</v>
      </c>
      <c r="J27" t="s">
        <v>597</v>
      </c>
      <c r="K27" t="s">
        <v>74</v>
      </c>
      <c r="L27" t="s">
        <v>74</v>
      </c>
      <c r="M27" t="s">
        <v>78</v>
      </c>
      <c r="N27" t="s">
        <v>99</v>
      </c>
      <c r="O27" t="s">
        <v>74</v>
      </c>
      <c r="P27" t="s">
        <v>74</v>
      </c>
      <c r="Q27" t="s">
        <v>74</v>
      </c>
      <c r="R27" t="s">
        <v>74</v>
      </c>
      <c r="S27" t="s">
        <v>74</v>
      </c>
      <c r="T27" t="s">
        <v>74</v>
      </c>
      <c r="U27" t="s">
        <v>667</v>
      </c>
      <c r="V27" t="s">
        <v>668</v>
      </c>
      <c r="W27" t="s">
        <v>669</v>
      </c>
      <c r="X27" t="s">
        <v>670</v>
      </c>
      <c r="Y27" t="s">
        <v>671</v>
      </c>
      <c r="Z27" t="s">
        <v>672</v>
      </c>
      <c r="AA27" t="s">
        <v>673</v>
      </c>
      <c r="AB27" t="s">
        <v>674</v>
      </c>
      <c r="AC27" t="s">
        <v>675</v>
      </c>
      <c r="AD27" t="s">
        <v>676</v>
      </c>
      <c r="AE27" t="s">
        <v>677</v>
      </c>
      <c r="AF27" t="s">
        <v>74</v>
      </c>
      <c r="AG27">
        <v>67</v>
      </c>
      <c r="AH27">
        <v>29</v>
      </c>
      <c r="AI27">
        <v>29</v>
      </c>
      <c r="AJ27">
        <v>1</v>
      </c>
      <c r="AK27">
        <v>28</v>
      </c>
      <c r="AL27" t="s">
        <v>244</v>
      </c>
      <c r="AM27" t="s">
        <v>245</v>
      </c>
      <c r="AN27" t="s">
        <v>246</v>
      </c>
      <c r="AO27" t="s">
        <v>609</v>
      </c>
      <c r="AP27" t="s">
        <v>610</v>
      </c>
      <c r="AQ27" t="s">
        <v>74</v>
      </c>
      <c r="AR27" t="s">
        <v>597</v>
      </c>
      <c r="AS27" t="s">
        <v>611</v>
      </c>
      <c r="AT27" t="s">
        <v>74</v>
      </c>
      <c r="AU27">
        <v>2015</v>
      </c>
      <c r="AV27">
        <v>12</v>
      </c>
      <c r="AW27">
        <v>12</v>
      </c>
      <c r="AX27" t="s">
        <v>74</v>
      </c>
      <c r="AY27" t="s">
        <v>74</v>
      </c>
      <c r="AZ27" t="s">
        <v>74</v>
      </c>
      <c r="BA27" t="s">
        <v>74</v>
      </c>
      <c r="BB27">
        <v>3831</v>
      </c>
      <c r="BC27">
        <v>3848</v>
      </c>
      <c r="BD27" t="s">
        <v>74</v>
      </c>
      <c r="BE27" t="s">
        <v>678</v>
      </c>
      <c r="BF27" t="str">
        <f>HYPERLINK("http://dx.doi.org/10.5194/bg-12-3831-2015","http://dx.doi.org/10.5194/bg-12-3831-2015")</f>
        <v>http://dx.doi.org/10.5194/bg-12-3831-2015</v>
      </c>
      <c r="BG27" t="s">
        <v>74</v>
      </c>
      <c r="BH27" t="s">
        <v>74</v>
      </c>
      <c r="BI27">
        <v>18</v>
      </c>
      <c r="BJ27" t="s">
        <v>613</v>
      </c>
      <c r="BK27" t="s">
        <v>91</v>
      </c>
      <c r="BL27" t="s">
        <v>614</v>
      </c>
      <c r="BM27" t="s">
        <v>679</v>
      </c>
      <c r="BN27" t="s">
        <v>74</v>
      </c>
      <c r="BO27" t="s">
        <v>680</v>
      </c>
      <c r="BP27" t="s">
        <v>74</v>
      </c>
      <c r="BQ27" t="s">
        <v>74</v>
      </c>
      <c r="BR27" t="s">
        <v>93</v>
      </c>
      <c r="BS27" t="s">
        <v>681</v>
      </c>
      <c r="BT27" t="str">
        <f>HYPERLINK("https%3A%2F%2Fwww.webofscience.com%2Fwos%2Fwoscc%2Ffull-record%2FWOS:000357119000012","View Full Record in Web of Science")</f>
        <v>View Full Record in Web of Science</v>
      </c>
    </row>
    <row r="28" spans="1:72" x14ac:dyDescent="0.15">
      <c r="A28" t="s">
        <v>72</v>
      </c>
      <c r="B28" t="s">
        <v>682</v>
      </c>
      <c r="C28" t="s">
        <v>74</v>
      </c>
      <c r="D28" t="s">
        <v>74</v>
      </c>
      <c r="E28" t="s">
        <v>74</v>
      </c>
      <c r="F28" t="s">
        <v>683</v>
      </c>
      <c r="G28" t="s">
        <v>74</v>
      </c>
      <c r="H28" t="s">
        <v>74</v>
      </c>
      <c r="I28" t="s">
        <v>684</v>
      </c>
      <c r="J28" t="s">
        <v>597</v>
      </c>
      <c r="K28" t="s">
        <v>74</v>
      </c>
      <c r="L28" t="s">
        <v>74</v>
      </c>
      <c r="M28" t="s">
        <v>78</v>
      </c>
      <c r="N28" t="s">
        <v>99</v>
      </c>
      <c r="O28" t="s">
        <v>74</v>
      </c>
      <c r="P28" t="s">
        <v>74</v>
      </c>
      <c r="Q28" t="s">
        <v>74</v>
      </c>
      <c r="R28" t="s">
        <v>74</v>
      </c>
      <c r="S28" t="s">
        <v>74</v>
      </c>
      <c r="T28" t="s">
        <v>74</v>
      </c>
      <c r="U28" t="s">
        <v>685</v>
      </c>
      <c r="V28" t="s">
        <v>686</v>
      </c>
      <c r="W28" t="s">
        <v>687</v>
      </c>
      <c r="X28" t="s">
        <v>688</v>
      </c>
      <c r="Y28" t="s">
        <v>689</v>
      </c>
      <c r="Z28" t="s">
        <v>690</v>
      </c>
      <c r="AA28" t="s">
        <v>691</v>
      </c>
      <c r="AB28" t="s">
        <v>692</v>
      </c>
      <c r="AC28" t="s">
        <v>693</v>
      </c>
      <c r="AD28" t="s">
        <v>694</v>
      </c>
      <c r="AE28" t="s">
        <v>695</v>
      </c>
      <c r="AF28" t="s">
        <v>74</v>
      </c>
      <c r="AG28">
        <v>58</v>
      </c>
      <c r="AH28">
        <v>21</v>
      </c>
      <c r="AI28">
        <v>21</v>
      </c>
      <c r="AJ28">
        <v>0</v>
      </c>
      <c r="AK28">
        <v>22</v>
      </c>
      <c r="AL28" t="s">
        <v>244</v>
      </c>
      <c r="AM28" t="s">
        <v>245</v>
      </c>
      <c r="AN28" t="s">
        <v>246</v>
      </c>
      <c r="AO28" t="s">
        <v>609</v>
      </c>
      <c r="AP28" t="s">
        <v>610</v>
      </c>
      <c r="AQ28" t="s">
        <v>74</v>
      </c>
      <c r="AR28" t="s">
        <v>597</v>
      </c>
      <c r="AS28" t="s">
        <v>611</v>
      </c>
      <c r="AT28" t="s">
        <v>74</v>
      </c>
      <c r="AU28">
        <v>2015</v>
      </c>
      <c r="AV28">
        <v>12</v>
      </c>
      <c r="AW28">
        <v>12</v>
      </c>
      <c r="AX28" t="s">
        <v>74</v>
      </c>
      <c r="AY28" t="s">
        <v>74</v>
      </c>
      <c r="AZ28" t="s">
        <v>74</v>
      </c>
      <c r="BA28" t="s">
        <v>74</v>
      </c>
      <c r="BB28">
        <v>3869</v>
      </c>
      <c r="BC28">
        <v>3883</v>
      </c>
      <c r="BD28" t="s">
        <v>74</v>
      </c>
      <c r="BE28" t="s">
        <v>696</v>
      </c>
      <c r="BF28" t="str">
        <f>HYPERLINK("http://dx.doi.org/10.5194/bg-12-3869-2015","http://dx.doi.org/10.5194/bg-12-3869-2015")</f>
        <v>http://dx.doi.org/10.5194/bg-12-3869-2015</v>
      </c>
      <c r="BG28" t="s">
        <v>74</v>
      </c>
      <c r="BH28" t="s">
        <v>74</v>
      </c>
      <c r="BI28">
        <v>15</v>
      </c>
      <c r="BJ28" t="s">
        <v>613</v>
      </c>
      <c r="BK28" t="s">
        <v>91</v>
      </c>
      <c r="BL28" t="s">
        <v>614</v>
      </c>
      <c r="BM28" t="s">
        <v>679</v>
      </c>
      <c r="BN28" t="s">
        <v>74</v>
      </c>
      <c r="BO28" t="s">
        <v>697</v>
      </c>
      <c r="BP28" t="s">
        <v>74</v>
      </c>
      <c r="BQ28" t="s">
        <v>74</v>
      </c>
      <c r="BR28" t="s">
        <v>93</v>
      </c>
      <c r="BS28" t="s">
        <v>698</v>
      </c>
      <c r="BT28" t="str">
        <f>HYPERLINK("https%3A%2F%2Fwww.webofscience.com%2Fwos%2Fwoscc%2Ffull-record%2FWOS:000357119000015","View Full Record in Web of Science")</f>
        <v>View Full Record in Web of Science</v>
      </c>
    </row>
    <row r="29" spans="1:72" x14ac:dyDescent="0.15">
      <c r="A29" t="s">
        <v>72</v>
      </c>
      <c r="B29" t="s">
        <v>699</v>
      </c>
      <c r="C29" t="s">
        <v>74</v>
      </c>
      <c r="D29" t="s">
        <v>74</v>
      </c>
      <c r="E29" t="s">
        <v>74</v>
      </c>
      <c r="F29" t="s">
        <v>700</v>
      </c>
      <c r="G29" t="s">
        <v>74</v>
      </c>
      <c r="H29" t="s">
        <v>74</v>
      </c>
      <c r="I29" t="s">
        <v>701</v>
      </c>
      <c r="J29" t="s">
        <v>702</v>
      </c>
      <c r="K29" t="s">
        <v>74</v>
      </c>
      <c r="L29" t="s">
        <v>74</v>
      </c>
      <c r="M29" t="s">
        <v>78</v>
      </c>
      <c r="N29" t="s">
        <v>99</v>
      </c>
      <c r="O29" t="s">
        <v>74</v>
      </c>
      <c r="P29" t="s">
        <v>74</v>
      </c>
      <c r="Q29" t="s">
        <v>74</v>
      </c>
      <c r="R29" t="s">
        <v>74</v>
      </c>
      <c r="S29" t="s">
        <v>74</v>
      </c>
      <c r="T29" t="s">
        <v>74</v>
      </c>
      <c r="U29" t="s">
        <v>703</v>
      </c>
      <c r="V29" t="s">
        <v>704</v>
      </c>
      <c r="W29" t="s">
        <v>705</v>
      </c>
      <c r="X29" t="s">
        <v>706</v>
      </c>
      <c r="Y29" t="s">
        <v>707</v>
      </c>
      <c r="Z29" t="s">
        <v>708</v>
      </c>
      <c r="AA29" t="s">
        <v>709</v>
      </c>
      <c r="AB29" t="s">
        <v>710</v>
      </c>
      <c r="AC29" t="s">
        <v>711</v>
      </c>
      <c r="AD29" t="s">
        <v>712</v>
      </c>
      <c r="AE29" t="s">
        <v>713</v>
      </c>
      <c r="AF29" t="s">
        <v>74</v>
      </c>
      <c r="AG29">
        <v>35</v>
      </c>
      <c r="AH29">
        <v>6</v>
      </c>
      <c r="AI29">
        <v>6</v>
      </c>
      <c r="AJ29">
        <v>1</v>
      </c>
      <c r="AK29">
        <v>10</v>
      </c>
      <c r="AL29" t="s">
        <v>244</v>
      </c>
      <c r="AM29" t="s">
        <v>245</v>
      </c>
      <c r="AN29" t="s">
        <v>246</v>
      </c>
      <c r="AO29" t="s">
        <v>714</v>
      </c>
      <c r="AP29" t="s">
        <v>715</v>
      </c>
      <c r="AQ29" t="s">
        <v>74</v>
      </c>
      <c r="AR29" t="s">
        <v>716</v>
      </c>
      <c r="AS29" t="s">
        <v>717</v>
      </c>
      <c r="AT29" t="s">
        <v>74</v>
      </c>
      <c r="AU29">
        <v>2015</v>
      </c>
      <c r="AV29">
        <v>11</v>
      </c>
      <c r="AW29">
        <v>6</v>
      </c>
      <c r="AX29" t="s">
        <v>74</v>
      </c>
      <c r="AY29" t="s">
        <v>74</v>
      </c>
      <c r="AZ29" t="s">
        <v>74</v>
      </c>
      <c r="BA29" t="s">
        <v>74</v>
      </c>
      <c r="BB29">
        <v>959</v>
      </c>
      <c r="BC29">
        <v>978</v>
      </c>
      <c r="BD29" t="s">
        <v>74</v>
      </c>
      <c r="BE29" t="s">
        <v>718</v>
      </c>
      <c r="BF29" t="str">
        <f>HYPERLINK("http://dx.doi.org/10.5194/cp-11-959-2015","http://dx.doi.org/10.5194/cp-11-959-2015")</f>
        <v>http://dx.doi.org/10.5194/cp-11-959-2015</v>
      </c>
      <c r="BG29" t="s">
        <v>74</v>
      </c>
      <c r="BH29" t="s">
        <v>74</v>
      </c>
      <c r="BI29">
        <v>20</v>
      </c>
      <c r="BJ29" t="s">
        <v>637</v>
      </c>
      <c r="BK29" t="s">
        <v>91</v>
      </c>
      <c r="BL29" t="s">
        <v>638</v>
      </c>
      <c r="BM29" t="s">
        <v>719</v>
      </c>
      <c r="BN29" t="s">
        <v>74</v>
      </c>
      <c r="BO29" t="s">
        <v>720</v>
      </c>
      <c r="BP29" t="s">
        <v>74</v>
      </c>
      <c r="BQ29" t="s">
        <v>74</v>
      </c>
      <c r="BR29" t="s">
        <v>93</v>
      </c>
      <c r="BS29" t="s">
        <v>721</v>
      </c>
      <c r="BT29" t="str">
        <f>HYPERLINK("https%3A%2F%2Fwww.webofscience.com%2Fwos%2Fwoscc%2Ffull-record%2FWOS:000357119900011","View Full Record in Web of Science")</f>
        <v>View Full Record in Web of Science</v>
      </c>
    </row>
    <row r="30" spans="1:72" x14ac:dyDescent="0.15">
      <c r="A30" t="s">
        <v>72</v>
      </c>
      <c r="B30" t="s">
        <v>722</v>
      </c>
      <c r="C30" t="s">
        <v>74</v>
      </c>
      <c r="D30" t="s">
        <v>74</v>
      </c>
      <c r="E30" t="s">
        <v>74</v>
      </c>
      <c r="F30" t="s">
        <v>723</v>
      </c>
      <c r="G30" t="s">
        <v>74</v>
      </c>
      <c r="H30" t="s">
        <v>74</v>
      </c>
      <c r="I30" t="s">
        <v>724</v>
      </c>
      <c r="J30" t="s">
        <v>725</v>
      </c>
      <c r="K30" t="s">
        <v>74</v>
      </c>
      <c r="L30" t="s">
        <v>74</v>
      </c>
      <c r="M30" t="s">
        <v>78</v>
      </c>
      <c r="N30" t="s">
        <v>454</v>
      </c>
      <c r="O30" t="s">
        <v>74</v>
      </c>
      <c r="P30" t="s">
        <v>74</v>
      </c>
      <c r="Q30" t="s">
        <v>74</v>
      </c>
      <c r="R30" t="s">
        <v>74</v>
      </c>
      <c r="S30" t="s">
        <v>74</v>
      </c>
      <c r="T30" t="s">
        <v>74</v>
      </c>
      <c r="U30" t="s">
        <v>726</v>
      </c>
      <c r="V30" t="s">
        <v>727</v>
      </c>
      <c r="W30" t="s">
        <v>728</v>
      </c>
      <c r="X30" t="s">
        <v>729</v>
      </c>
      <c r="Y30" t="s">
        <v>730</v>
      </c>
      <c r="Z30" t="s">
        <v>731</v>
      </c>
      <c r="AA30" t="s">
        <v>732</v>
      </c>
      <c r="AB30" t="s">
        <v>733</v>
      </c>
      <c r="AC30" t="s">
        <v>734</v>
      </c>
      <c r="AD30" t="s">
        <v>735</v>
      </c>
      <c r="AE30" t="s">
        <v>736</v>
      </c>
      <c r="AF30" t="s">
        <v>74</v>
      </c>
      <c r="AG30">
        <v>164</v>
      </c>
      <c r="AH30">
        <v>28</v>
      </c>
      <c r="AI30">
        <v>34</v>
      </c>
      <c r="AJ30">
        <v>3</v>
      </c>
      <c r="AK30">
        <v>41</v>
      </c>
      <c r="AL30" t="s">
        <v>111</v>
      </c>
      <c r="AM30" t="s">
        <v>112</v>
      </c>
      <c r="AN30" t="s">
        <v>113</v>
      </c>
      <c r="AO30" t="s">
        <v>737</v>
      </c>
      <c r="AP30" t="s">
        <v>738</v>
      </c>
      <c r="AQ30" t="s">
        <v>74</v>
      </c>
      <c r="AR30" t="s">
        <v>739</v>
      </c>
      <c r="AS30" t="s">
        <v>740</v>
      </c>
      <c r="AT30" t="s">
        <v>74</v>
      </c>
      <c r="AU30">
        <v>2015</v>
      </c>
      <c r="AV30">
        <v>32</v>
      </c>
      <c r="AW30">
        <v>7</v>
      </c>
      <c r="AX30" t="s">
        <v>74</v>
      </c>
      <c r="AY30" t="s">
        <v>74</v>
      </c>
      <c r="AZ30" t="s">
        <v>74</v>
      </c>
      <c r="BA30" t="s">
        <v>74</v>
      </c>
      <c r="BB30">
        <v>1114</v>
      </c>
      <c r="BC30">
        <v>1130</v>
      </c>
      <c r="BD30" t="s">
        <v>74</v>
      </c>
      <c r="BE30" t="s">
        <v>741</v>
      </c>
      <c r="BF30" t="str">
        <f>HYPERLINK("http://dx.doi.org/10.1039/c4np00150h","http://dx.doi.org/10.1039/c4np00150h")</f>
        <v>http://dx.doi.org/10.1039/c4np00150h</v>
      </c>
      <c r="BG30" t="s">
        <v>74</v>
      </c>
      <c r="BH30" t="s">
        <v>74</v>
      </c>
      <c r="BI30">
        <v>17</v>
      </c>
      <c r="BJ30" t="s">
        <v>742</v>
      </c>
      <c r="BK30" t="s">
        <v>91</v>
      </c>
      <c r="BL30" t="s">
        <v>743</v>
      </c>
      <c r="BM30" t="s">
        <v>744</v>
      </c>
      <c r="BN30">
        <v>25693047</v>
      </c>
      <c r="BO30" t="s">
        <v>74</v>
      </c>
      <c r="BP30" t="s">
        <v>74</v>
      </c>
      <c r="BQ30" t="s">
        <v>74</v>
      </c>
      <c r="BR30" t="s">
        <v>93</v>
      </c>
      <c r="BS30" t="s">
        <v>745</v>
      </c>
      <c r="BT30" t="str">
        <f>HYPERLINK("https%3A%2F%2Fwww.webofscience.com%2Fwos%2Fwoscc%2Ffull-record%2FWOS:000356964400012","View Full Record in Web of Science")</f>
        <v>View Full Record in Web of Science</v>
      </c>
    </row>
    <row r="31" spans="1:72" x14ac:dyDescent="0.15">
      <c r="A31" t="s">
        <v>72</v>
      </c>
      <c r="B31" t="s">
        <v>746</v>
      </c>
      <c r="C31" t="s">
        <v>74</v>
      </c>
      <c r="D31" t="s">
        <v>74</v>
      </c>
      <c r="E31" t="s">
        <v>74</v>
      </c>
      <c r="F31" t="s">
        <v>747</v>
      </c>
      <c r="G31" t="s">
        <v>74</v>
      </c>
      <c r="H31" t="s">
        <v>74</v>
      </c>
      <c r="I31" t="s">
        <v>748</v>
      </c>
      <c r="J31" t="s">
        <v>749</v>
      </c>
      <c r="K31" t="s">
        <v>74</v>
      </c>
      <c r="L31" t="s">
        <v>74</v>
      </c>
      <c r="M31" t="s">
        <v>78</v>
      </c>
      <c r="N31" t="s">
        <v>99</v>
      </c>
      <c r="O31" t="s">
        <v>74</v>
      </c>
      <c r="P31" t="s">
        <v>74</v>
      </c>
      <c r="Q31" t="s">
        <v>74</v>
      </c>
      <c r="R31" t="s">
        <v>74</v>
      </c>
      <c r="S31" t="s">
        <v>74</v>
      </c>
      <c r="T31" t="s">
        <v>750</v>
      </c>
      <c r="U31" t="s">
        <v>751</v>
      </c>
      <c r="V31" t="s">
        <v>752</v>
      </c>
      <c r="W31" t="s">
        <v>753</v>
      </c>
      <c r="X31" t="s">
        <v>754</v>
      </c>
      <c r="Y31" t="s">
        <v>755</v>
      </c>
      <c r="Z31" t="s">
        <v>756</v>
      </c>
      <c r="AA31" t="s">
        <v>757</v>
      </c>
      <c r="AB31" t="s">
        <v>758</v>
      </c>
      <c r="AC31" t="s">
        <v>759</v>
      </c>
      <c r="AD31" t="s">
        <v>760</v>
      </c>
      <c r="AE31" t="s">
        <v>761</v>
      </c>
      <c r="AF31" t="s">
        <v>74</v>
      </c>
      <c r="AG31">
        <v>60</v>
      </c>
      <c r="AH31">
        <v>1</v>
      </c>
      <c r="AI31">
        <v>1</v>
      </c>
      <c r="AJ31">
        <v>1</v>
      </c>
      <c r="AK31">
        <v>15</v>
      </c>
      <c r="AL31" t="s">
        <v>762</v>
      </c>
      <c r="AM31" t="s">
        <v>763</v>
      </c>
      <c r="AN31" t="s">
        <v>764</v>
      </c>
      <c r="AO31" t="s">
        <v>765</v>
      </c>
      <c r="AP31" t="s">
        <v>766</v>
      </c>
      <c r="AQ31" t="s">
        <v>74</v>
      </c>
      <c r="AR31" t="s">
        <v>767</v>
      </c>
      <c r="AS31" t="s">
        <v>768</v>
      </c>
      <c r="AT31" t="s">
        <v>74</v>
      </c>
      <c r="AU31">
        <v>2015</v>
      </c>
      <c r="AV31">
        <v>36</v>
      </c>
      <c r="AW31">
        <v>2</v>
      </c>
      <c r="AX31" t="s">
        <v>74</v>
      </c>
      <c r="AY31" t="s">
        <v>74</v>
      </c>
      <c r="AZ31" t="s">
        <v>74</v>
      </c>
      <c r="BA31" t="s">
        <v>74</v>
      </c>
      <c r="BB31">
        <v>163</v>
      </c>
      <c r="BC31">
        <v>174</v>
      </c>
      <c r="BD31" t="s">
        <v>74</v>
      </c>
      <c r="BE31" t="s">
        <v>769</v>
      </c>
      <c r="BF31" t="str">
        <f>HYPERLINK("http://dx.doi.org/10.1515/popore-2015-0011","http://dx.doi.org/10.1515/popore-2015-0011")</f>
        <v>http://dx.doi.org/10.1515/popore-2015-0011</v>
      </c>
      <c r="BG31" t="s">
        <v>74</v>
      </c>
      <c r="BH31" t="s">
        <v>74</v>
      </c>
      <c r="BI31">
        <v>12</v>
      </c>
      <c r="BJ31" t="s">
        <v>613</v>
      </c>
      <c r="BK31" t="s">
        <v>91</v>
      </c>
      <c r="BL31" t="s">
        <v>614</v>
      </c>
      <c r="BM31" t="s">
        <v>770</v>
      </c>
      <c r="BN31" t="s">
        <v>74</v>
      </c>
      <c r="BO31" t="s">
        <v>574</v>
      </c>
      <c r="BP31" t="s">
        <v>74</v>
      </c>
      <c r="BQ31" t="s">
        <v>74</v>
      </c>
      <c r="BR31" t="s">
        <v>93</v>
      </c>
      <c r="BS31" t="s">
        <v>771</v>
      </c>
      <c r="BT31" t="str">
        <f>HYPERLINK("https%3A%2F%2Fwww.webofscience.com%2Fwos%2Fwoscc%2Ffull-record%2FWOS:000357358600005","View Full Record in Web of Science")</f>
        <v>View Full Record in Web of Science</v>
      </c>
    </row>
    <row r="32" spans="1:72" x14ac:dyDescent="0.15">
      <c r="A32" t="s">
        <v>72</v>
      </c>
      <c r="B32" t="s">
        <v>772</v>
      </c>
      <c r="C32" t="s">
        <v>74</v>
      </c>
      <c r="D32" t="s">
        <v>74</v>
      </c>
      <c r="E32" t="s">
        <v>74</v>
      </c>
      <c r="F32" t="s">
        <v>773</v>
      </c>
      <c r="G32" t="s">
        <v>74</v>
      </c>
      <c r="H32" t="s">
        <v>74</v>
      </c>
      <c r="I32" t="s">
        <v>774</v>
      </c>
      <c r="J32" t="s">
        <v>749</v>
      </c>
      <c r="K32" t="s">
        <v>74</v>
      </c>
      <c r="L32" t="s">
        <v>74</v>
      </c>
      <c r="M32" t="s">
        <v>78</v>
      </c>
      <c r="N32" t="s">
        <v>99</v>
      </c>
      <c r="O32" t="s">
        <v>74</v>
      </c>
      <c r="P32" t="s">
        <v>74</v>
      </c>
      <c r="Q32" t="s">
        <v>74</v>
      </c>
      <c r="R32" t="s">
        <v>74</v>
      </c>
      <c r="S32" t="s">
        <v>74</v>
      </c>
      <c r="T32" t="s">
        <v>775</v>
      </c>
      <c r="U32" t="s">
        <v>776</v>
      </c>
      <c r="V32" t="s">
        <v>777</v>
      </c>
      <c r="W32" t="s">
        <v>778</v>
      </c>
      <c r="X32" t="s">
        <v>779</v>
      </c>
      <c r="Y32" t="s">
        <v>780</v>
      </c>
      <c r="Z32" t="s">
        <v>781</v>
      </c>
      <c r="AA32" t="s">
        <v>782</v>
      </c>
      <c r="AB32" t="s">
        <v>783</v>
      </c>
      <c r="AC32" t="s">
        <v>784</v>
      </c>
      <c r="AD32" t="s">
        <v>785</v>
      </c>
      <c r="AE32" t="s">
        <v>786</v>
      </c>
      <c r="AF32" t="s">
        <v>74</v>
      </c>
      <c r="AG32">
        <v>35</v>
      </c>
      <c r="AH32">
        <v>7</v>
      </c>
      <c r="AI32">
        <v>10</v>
      </c>
      <c r="AJ32">
        <v>0</v>
      </c>
      <c r="AK32">
        <v>41</v>
      </c>
      <c r="AL32" t="s">
        <v>762</v>
      </c>
      <c r="AM32" t="s">
        <v>763</v>
      </c>
      <c r="AN32" t="s">
        <v>764</v>
      </c>
      <c r="AO32" t="s">
        <v>765</v>
      </c>
      <c r="AP32" t="s">
        <v>766</v>
      </c>
      <c r="AQ32" t="s">
        <v>74</v>
      </c>
      <c r="AR32" t="s">
        <v>767</v>
      </c>
      <c r="AS32" t="s">
        <v>768</v>
      </c>
      <c r="AT32" t="s">
        <v>74</v>
      </c>
      <c r="AU32">
        <v>2015</v>
      </c>
      <c r="AV32">
        <v>36</v>
      </c>
      <c r="AW32">
        <v>2</v>
      </c>
      <c r="AX32" t="s">
        <v>74</v>
      </c>
      <c r="AY32" t="s">
        <v>74</v>
      </c>
      <c r="AZ32" t="s">
        <v>74</v>
      </c>
      <c r="BA32" t="s">
        <v>74</v>
      </c>
      <c r="BB32">
        <v>175</v>
      </c>
      <c r="BC32">
        <v>188</v>
      </c>
      <c r="BD32" t="s">
        <v>74</v>
      </c>
      <c r="BE32" t="s">
        <v>787</v>
      </c>
      <c r="BF32" t="str">
        <f>HYPERLINK("http://dx.doi.org/10.1515/popore-2015-0012","http://dx.doi.org/10.1515/popore-2015-0012")</f>
        <v>http://dx.doi.org/10.1515/popore-2015-0012</v>
      </c>
      <c r="BG32" t="s">
        <v>74</v>
      </c>
      <c r="BH32" t="s">
        <v>74</v>
      </c>
      <c r="BI32">
        <v>14</v>
      </c>
      <c r="BJ32" t="s">
        <v>613</v>
      </c>
      <c r="BK32" t="s">
        <v>91</v>
      </c>
      <c r="BL32" t="s">
        <v>614</v>
      </c>
      <c r="BM32" t="s">
        <v>770</v>
      </c>
      <c r="BN32" t="s">
        <v>74</v>
      </c>
      <c r="BO32" t="s">
        <v>74</v>
      </c>
      <c r="BP32" t="s">
        <v>74</v>
      </c>
      <c r="BQ32" t="s">
        <v>74</v>
      </c>
      <c r="BR32" t="s">
        <v>93</v>
      </c>
      <c r="BS32" t="s">
        <v>788</v>
      </c>
      <c r="BT32" t="str">
        <f>HYPERLINK("https%3A%2F%2Fwww.webofscience.com%2Fwos%2Fwoscc%2Ffull-record%2FWOS:000357358600006","View Full Record in Web of Science")</f>
        <v>View Full Record in Web of Science</v>
      </c>
    </row>
    <row r="33" spans="1:72" x14ac:dyDescent="0.15">
      <c r="A33" t="s">
        <v>72</v>
      </c>
      <c r="B33" t="s">
        <v>789</v>
      </c>
      <c r="C33" t="s">
        <v>74</v>
      </c>
      <c r="D33" t="s">
        <v>74</v>
      </c>
      <c r="E33" t="s">
        <v>74</v>
      </c>
      <c r="F33" t="s">
        <v>790</v>
      </c>
      <c r="G33" t="s">
        <v>74</v>
      </c>
      <c r="H33" t="s">
        <v>74</v>
      </c>
      <c r="I33" t="s">
        <v>791</v>
      </c>
      <c r="J33" t="s">
        <v>702</v>
      </c>
      <c r="K33" t="s">
        <v>74</v>
      </c>
      <c r="L33" t="s">
        <v>74</v>
      </c>
      <c r="M33" t="s">
        <v>78</v>
      </c>
      <c r="N33" t="s">
        <v>99</v>
      </c>
      <c r="O33" t="s">
        <v>74</v>
      </c>
      <c r="P33" t="s">
        <v>74</v>
      </c>
      <c r="Q33" t="s">
        <v>74</v>
      </c>
      <c r="R33" t="s">
        <v>74</v>
      </c>
      <c r="S33" t="s">
        <v>74</v>
      </c>
      <c r="T33" t="s">
        <v>74</v>
      </c>
      <c r="U33" t="s">
        <v>792</v>
      </c>
      <c r="V33" t="s">
        <v>793</v>
      </c>
      <c r="W33" t="s">
        <v>794</v>
      </c>
      <c r="X33" t="s">
        <v>795</v>
      </c>
      <c r="Y33" t="s">
        <v>796</v>
      </c>
      <c r="Z33" t="s">
        <v>797</v>
      </c>
      <c r="AA33" t="s">
        <v>798</v>
      </c>
      <c r="AB33" t="s">
        <v>799</v>
      </c>
      <c r="AC33" t="s">
        <v>800</v>
      </c>
      <c r="AD33" t="s">
        <v>801</v>
      </c>
      <c r="AE33" t="s">
        <v>802</v>
      </c>
      <c r="AF33" t="s">
        <v>74</v>
      </c>
      <c r="AG33">
        <v>27</v>
      </c>
      <c r="AH33">
        <v>29</v>
      </c>
      <c r="AI33">
        <v>31</v>
      </c>
      <c r="AJ33">
        <v>1</v>
      </c>
      <c r="AK33">
        <v>15</v>
      </c>
      <c r="AL33" t="s">
        <v>244</v>
      </c>
      <c r="AM33" t="s">
        <v>245</v>
      </c>
      <c r="AN33" t="s">
        <v>246</v>
      </c>
      <c r="AO33" t="s">
        <v>714</v>
      </c>
      <c r="AP33" t="s">
        <v>715</v>
      </c>
      <c r="AQ33" t="s">
        <v>74</v>
      </c>
      <c r="AR33" t="s">
        <v>716</v>
      </c>
      <c r="AS33" t="s">
        <v>717</v>
      </c>
      <c r="AT33" t="s">
        <v>74</v>
      </c>
      <c r="AU33">
        <v>2015</v>
      </c>
      <c r="AV33">
        <v>11</v>
      </c>
      <c r="AW33">
        <v>5</v>
      </c>
      <c r="AX33" t="s">
        <v>74</v>
      </c>
      <c r="AY33" t="s">
        <v>74</v>
      </c>
      <c r="AZ33" t="s">
        <v>74</v>
      </c>
      <c r="BA33" t="s">
        <v>74</v>
      </c>
      <c r="BB33">
        <v>697</v>
      </c>
      <c r="BC33">
        <v>707</v>
      </c>
      <c r="BD33" t="s">
        <v>74</v>
      </c>
      <c r="BE33" t="s">
        <v>803</v>
      </c>
      <c r="BF33" t="str">
        <f>HYPERLINK("http://dx.doi.org/10.5194/cp-11-697-2015","http://dx.doi.org/10.5194/cp-11-697-2015")</f>
        <v>http://dx.doi.org/10.5194/cp-11-697-2015</v>
      </c>
      <c r="BG33" t="s">
        <v>74</v>
      </c>
      <c r="BH33" t="s">
        <v>74</v>
      </c>
      <c r="BI33">
        <v>11</v>
      </c>
      <c r="BJ33" t="s">
        <v>637</v>
      </c>
      <c r="BK33" t="s">
        <v>91</v>
      </c>
      <c r="BL33" t="s">
        <v>638</v>
      </c>
      <c r="BM33" t="s">
        <v>804</v>
      </c>
      <c r="BN33" t="s">
        <v>74</v>
      </c>
      <c r="BO33" t="s">
        <v>805</v>
      </c>
      <c r="BP33" t="s">
        <v>74</v>
      </c>
      <c r="BQ33" t="s">
        <v>74</v>
      </c>
      <c r="BR33" t="s">
        <v>93</v>
      </c>
      <c r="BS33" t="s">
        <v>806</v>
      </c>
      <c r="BT33" t="str">
        <f>HYPERLINK("https%3A%2F%2Fwww.webofscience.com%2Fwos%2Fwoscc%2Ffull-record%2FWOS:000357121100001","View Full Record in Web of Science")</f>
        <v>View Full Record in Web of Science</v>
      </c>
    </row>
    <row r="34" spans="1:72" x14ac:dyDescent="0.15">
      <c r="A34" t="s">
        <v>72</v>
      </c>
      <c r="B34" t="s">
        <v>807</v>
      </c>
      <c r="C34" t="s">
        <v>74</v>
      </c>
      <c r="D34" t="s">
        <v>74</v>
      </c>
      <c r="E34" t="s">
        <v>74</v>
      </c>
      <c r="F34" t="s">
        <v>808</v>
      </c>
      <c r="G34" t="s">
        <v>74</v>
      </c>
      <c r="H34" t="s">
        <v>74</v>
      </c>
      <c r="I34" t="s">
        <v>809</v>
      </c>
      <c r="J34" t="s">
        <v>480</v>
      </c>
      <c r="K34" t="s">
        <v>74</v>
      </c>
      <c r="L34" t="s">
        <v>74</v>
      </c>
      <c r="M34" t="s">
        <v>78</v>
      </c>
      <c r="N34" t="s">
        <v>99</v>
      </c>
      <c r="O34" t="s">
        <v>74</v>
      </c>
      <c r="P34" t="s">
        <v>74</v>
      </c>
      <c r="Q34" t="s">
        <v>74</v>
      </c>
      <c r="R34" t="s">
        <v>74</v>
      </c>
      <c r="S34" t="s">
        <v>74</v>
      </c>
      <c r="T34" t="s">
        <v>74</v>
      </c>
      <c r="U34" t="s">
        <v>810</v>
      </c>
      <c r="V34" t="s">
        <v>811</v>
      </c>
      <c r="W34" t="s">
        <v>812</v>
      </c>
      <c r="X34" t="s">
        <v>813</v>
      </c>
      <c r="Y34" t="s">
        <v>814</v>
      </c>
      <c r="Z34" t="s">
        <v>815</v>
      </c>
      <c r="AA34" t="s">
        <v>74</v>
      </c>
      <c r="AB34" t="s">
        <v>816</v>
      </c>
      <c r="AC34" t="s">
        <v>817</v>
      </c>
      <c r="AD34" t="s">
        <v>818</v>
      </c>
      <c r="AE34" t="s">
        <v>819</v>
      </c>
      <c r="AF34" t="s">
        <v>74</v>
      </c>
      <c r="AG34">
        <v>19</v>
      </c>
      <c r="AH34">
        <v>11</v>
      </c>
      <c r="AI34">
        <v>11</v>
      </c>
      <c r="AJ34">
        <v>0</v>
      </c>
      <c r="AK34">
        <v>5</v>
      </c>
      <c r="AL34" t="s">
        <v>244</v>
      </c>
      <c r="AM34" t="s">
        <v>245</v>
      </c>
      <c r="AN34" t="s">
        <v>246</v>
      </c>
      <c r="AO34" t="s">
        <v>492</v>
      </c>
      <c r="AP34" t="s">
        <v>493</v>
      </c>
      <c r="AQ34" t="s">
        <v>74</v>
      </c>
      <c r="AR34" t="s">
        <v>494</v>
      </c>
      <c r="AS34" t="s">
        <v>495</v>
      </c>
      <c r="AT34" t="s">
        <v>74</v>
      </c>
      <c r="AU34">
        <v>2015</v>
      </c>
      <c r="AV34">
        <v>15</v>
      </c>
      <c r="AW34">
        <v>11</v>
      </c>
      <c r="AX34" t="s">
        <v>74</v>
      </c>
      <c r="AY34" t="s">
        <v>74</v>
      </c>
      <c r="AZ34" t="s">
        <v>74</v>
      </c>
      <c r="BA34" t="s">
        <v>74</v>
      </c>
      <c r="BB34">
        <v>6237</v>
      </c>
      <c r="BC34">
        <v>6246</v>
      </c>
      <c r="BD34" t="s">
        <v>74</v>
      </c>
      <c r="BE34" t="s">
        <v>820</v>
      </c>
      <c r="BF34" t="str">
        <f>HYPERLINK("http://dx.doi.org/10.5194/acp-15-6237-2015","http://dx.doi.org/10.5194/acp-15-6237-2015")</f>
        <v>http://dx.doi.org/10.5194/acp-15-6237-2015</v>
      </c>
      <c r="BG34" t="s">
        <v>74</v>
      </c>
      <c r="BH34" t="s">
        <v>74</v>
      </c>
      <c r="BI34">
        <v>10</v>
      </c>
      <c r="BJ34" t="s">
        <v>497</v>
      </c>
      <c r="BK34" t="s">
        <v>91</v>
      </c>
      <c r="BL34" t="s">
        <v>498</v>
      </c>
      <c r="BM34" t="s">
        <v>821</v>
      </c>
      <c r="BN34" t="s">
        <v>74</v>
      </c>
      <c r="BO34" t="s">
        <v>255</v>
      </c>
      <c r="BP34" t="s">
        <v>74</v>
      </c>
      <c r="BQ34" t="s">
        <v>74</v>
      </c>
      <c r="BR34" t="s">
        <v>93</v>
      </c>
      <c r="BS34" t="s">
        <v>822</v>
      </c>
      <c r="BT34" t="str">
        <f>HYPERLINK("https%3A%2F%2Fwww.webofscience.com%2Fwos%2Fwoscc%2Ffull-record%2FWOS:000356180900015","View Full Record in Web of Science")</f>
        <v>View Full Record in Web of Science</v>
      </c>
    </row>
    <row r="35" spans="1:72" x14ac:dyDescent="0.15">
      <c r="A35" t="s">
        <v>72</v>
      </c>
      <c r="B35" t="s">
        <v>823</v>
      </c>
      <c r="C35" t="s">
        <v>74</v>
      </c>
      <c r="D35" t="s">
        <v>74</v>
      </c>
      <c r="E35" t="s">
        <v>74</v>
      </c>
      <c r="F35" t="s">
        <v>824</v>
      </c>
      <c r="G35" t="s">
        <v>74</v>
      </c>
      <c r="H35" t="s">
        <v>74</v>
      </c>
      <c r="I35" t="s">
        <v>825</v>
      </c>
      <c r="J35" t="s">
        <v>597</v>
      </c>
      <c r="K35" t="s">
        <v>74</v>
      </c>
      <c r="L35" t="s">
        <v>74</v>
      </c>
      <c r="M35" t="s">
        <v>78</v>
      </c>
      <c r="N35" t="s">
        <v>99</v>
      </c>
      <c r="O35" t="s">
        <v>74</v>
      </c>
      <c r="P35" t="s">
        <v>74</v>
      </c>
      <c r="Q35" t="s">
        <v>74</v>
      </c>
      <c r="R35" t="s">
        <v>74</v>
      </c>
      <c r="S35" t="s">
        <v>74</v>
      </c>
      <c r="T35" t="s">
        <v>74</v>
      </c>
      <c r="U35" t="s">
        <v>826</v>
      </c>
      <c r="V35" t="s">
        <v>827</v>
      </c>
      <c r="W35" t="s">
        <v>828</v>
      </c>
      <c r="X35" t="s">
        <v>829</v>
      </c>
      <c r="Y35" t="s">
        <v>830</v>
      </c>
      <c r="Z35" t="s">
        <v>831</v>
      </c>
      <c r="AA35" t="s">
        <v>832</v>
      </c>
      <c r="AB35" t="s">
        <v>833</v>
      </c>
      <c r="AC35" t="s">
        <v>834</v>
      </c>
      <c r="AD35" t="s">
        <v>835</v>
      </c>
      <c r="AE35" t="s">
        <v>836</v>
      </c>
      <c r="AF35" t="s">
        <v>74</v>
      </c>
      <c r="AG35">
        <v>150</v>
      </c>
      <c r="AH35">
        <v>49</v>
      </c>
      <c r="AI35">
        <v>50</v>
      </c>
      <c r="AJ35">
        <v>0</v>
      </c>
      <c r="AK35">
        <v>41</v>
      </c>
      <c r="AL35" t="s">
        <v>244</v>
      </c>
      <c r="AM35" t="s">
        <v>245</v>
      </c>
      <c r="AN35" t="s">
        <v>246</v>
      </c>
      <c r="AO35" t="s">
        <v>609</v>
      </c>
      <c r="AP35" t="s">
        <v>610</v>
      </c>
      <c r="AQ35" t="s">
        <v>74</v>
      </c>
      <c r="AR35" t="s">
        <v>597</v>
      </c>
      <c r="AS35" t="s">
        <v>611</v>
      </c>
      <c r="AT35" t="s">
        <v>74</v>
      </c>
      <c r="AU35">
        <v>2015</v>
      </c>
      <c r="AV35">
        <v>12</v>
      </c>
      <c r="AW35">
        <v>11</v>
      </c>
      <c r="AX35" t="s">
        <v>74</v>
      </c>
      <c r="AY35" t="s">
        <v>74</v>
      </c>
      <c r="AZ35" t="s">
        <v>74</v>
      </c>
      <c r="BA35" t="s">
        <v>74</v>
      </c>
      <c r="BB35">
        <v>3171</v>
      </c>
      <c r="BC35">
        <v>3195</v>
      </c>
      <c r="BD35" t="s">
        <v>74</v>
      </c>
      <c r="BE35" t="s">
        <v>837</v>
      </c>
      <c r="BF35" t="str">
        <f>HYPERLINK("http://dx.doi.org/10.5194/bg-12-3171-2015","http://dx.doi.org/10.5194/bg-12-3171-2015")</f>
        <v>http://dx.doi.org/10.5194/bg-12-3171-2015</v>
      </c>
      <c r="BG35" t="s">
        <v>74</v>
      </c>
      <c r="BH35" t="s">
        <v>74</v>
      </c>
      <c r="BI35">
        <v>25</v>
      </c>
      <c r="BJ35" t="s">
        <v>613</v>
      </c>
      <c r="BK35" t="s">
        <v>91</v>
      </c>
      <c r="BL35" t="s">
        <v>614</v>
      </c>
      <c r="BM35" t="s">
        <v>838</v>
      </c>
      <c r="BN35" t="s">
        <v>74</v>
      </c>
      <c r="BO35" t="s">
        <v>255</v>
      </c>
      <c r="BP35" t="s">
        <v>74</v>
      </c>
      <c r="BQ35" t="s">
        <v>74</v>
      </c>
      <c r="BR35" t="s">
        <v>93</v>
      </c>
      <c r="BS35" t="s">
        <v>839</v>
      </c>
      <c r="BT35" t="str">
        <f>HYPERLINK("https%3A%2F%2Fwww.webofscience.com%2Fwos%2Fwoscc%2Ffull-record%2FWOS:000356179800003","View Full Record in Web of Science")</f>
        <v>View Full Record in Web of Science</v>
      </c>
    </row>
    <row r="36" spans="1:72" x14ac:dyDescent="0.15">
      <c r="A36" t="s">
        <v>840</v>
      </c>
      <c r="B36" t="s">
        <v>841</v>
      </c>
      <c r="C36" t="s">
        <v>74</v>
      </c>
      <c r="D36" t="s">
        <v>842</v>
      </c>
      <c r="E36" t="s">
        <v>74</v>
      </c>
      <c r="F36" t="s">
        <v>843</v>
      </c>
      <c r="G36" t="s">
        <v>74</v>
      </c>
      <c r="H36" t="s">
        <v>74</v>
      </c>
      <c r="I36" t="s">
        <v>844</v>
      </c>
      <c r="J36" t="s">
        <v>845</v>
      </c>
      <c r="K36" t="s">
        <v>846</v>
      </c>
      <c r="L36" t="s">
        <v>74</v>
      </c>
      <c r="M36" t="s">
        <v>78</v>
      </c>
      <c r="N36" t="s">
        <v>847</v>
      </c>
      <c r="O36" t="s">
        <v>74</v>
      </c>
      <c r="P36" t="s">
        <v>74</v>
      </c>
      <c r="Q36" t="s">
        <v>74</v>
      </c>
      <c r="R36" t="s">
        <v>74</v>
      </c>
      <c r="S36" t="s">
        <v>74</v>
      </c>
      <c r="T36" t="s">
        <v>848</v>
      </c>
      <c r="U36" t="s">
        <v>849</v>
      </c>
      <c r="V36" t="s">
        <v>850</v>
      </c>
      <c r="W36" t="s">
        <v>851</v>
      </c>
      <c r="X36" t="s">
        <v>852</v>
      </c>
      <c r="Y36" t="s">
        <v>853</v>
      </c>
      <c r="Z36" t="s">
        <v>854</v>
      </c>
      <c r="AA36" t="s">
        <v>855</v>
      </c>
      <c r="AB36" t="s">
        <v>856</v>
      </c>
      <c r="AC36" t="s">
        <v>857</v>
      </c>
      <c r="AD36" t="s">
        <v>858</v>
      </c>
      <c r="AE36" t="s">
        <v>74</v>
      </c>
      <c r="AF36" t="s">
        <v>74</v>
      </c>
      <c r="AG36">
        <v>165</v>
      </c>
      <c r="AH36">
        <v>80</v>
      </c>
      <c r="AI36">
        <v>89</v>
      </c>
      <c r="AJ36">
        <v>1</v>
      </c>
      <c r="AK36">
        <v>114</v>
      </c>
      <c r="AL36" t="s">
        <v>859</v>
      </c>
      <c r="AM36" t="s">
        <v>860</v>
      </c>
      <c r="AN36" t="s">
        <v>861</v>
      </c>
      <c r="AO36" t="s">
        <v>862</v>
      </c>
      <c r="AP36" t="s">
        <v>863</v>
      </c>
      <c r="AQ36" t="s">
        <v>864</v>
      </c>
      <c r="AR36" t="s">
        <v>865</v>
      </c>
      <c r="AS36" t="s">
        <v>866</v>
      </c>
      <c r="AT36" t="s">
        <v>74</v>
      </c>
      <c r="AU36">
        <v>2015</v>
      </c>
      <c r="AV36">
        <v>43</v>
      </c>
      <c r="AW36" t="s">
        <v>74</v>
      </c>
      <c r="AX36" t="s">
        <v>74</v>
      </c>
      <c r="AY36" t="s">
        <v>74</v>
      </c>
      <c r="AZ36" t="s">
        <v>74</v>
      </c>
      <c r="BA36" t="s">
        <v>74</v>
      </c>
      <c r="BB36">
        <v>207</v>
      </c>
      <c r="BC36">
        <v>231</v>
      </c>
      <c r="BD36" t="s">
        <v>74</v>
      </c>
      <c r="BE36" t="s">
        <v>867</v>
      </c>
      <c r="BF36" t="str">
        <f>HYPERLINK("http://dx.doi.org/10.1146/annurev-earth-060614-105344","http://dx.doi.org/10.1146/annurev-earth-060614-105344")</f>
        <v>http://dx.doi.org/10.1146/annurev-earth-060614-105344</v>
      </c>
      <c r="BG36" t="s">
        <v>74</v>
      </c>
      <c r="BH36" t="s">
        <v>74</v>
      </c>
      <c r="BI36">
        <v>25</v>
      </c>
      <c r="BJ36" t="s">
        <v>868</v>
      </c>
      <c r="BK36" t="s">
        <v>869</v>
      </c>
      <c r="BL36" t="s">
        <v>870</v>
      </c>
      <c r="BM36" t="s">
        <v>871</v>
      </c>
      <c r="BN36" t="s">
        <v>74</v>
      </c>
      <c r="BO36" t="s">
        <v>375</v>
      </c>
      <c r="BP36" t="s">
        <v>74</v>
      </c>
      <c r="BQ36" t="s">
        <v>74</v>
      </c>
      <c r="BR36" t="s">
        <v>93</v>
      </c>
      <c r="BS36" t="s">
        <v>872</v>
      </c>
      <c r="BT36" t="str">
        <f>HYPERLINK("https%3A%2F%2Fwww.webofscience.com%2Fwos%2Fwoscc%2Ffull-record%2FWOS:000355760100008","View Full Record in Web of Science")</f>
        <v>View Full Record in Web of Science</v>
      </c>
    </row>
    <row r="37" spans="1:72" x14ac:dyDescent="0.15">
      <c r="A37" t="s">
        <v>72</v>
      </c>
      <c r="B37" t="s">
        <v>873</v>
      </c>
      <c r="C37" t="s">
        <v>74</v>
      </c>
      <c r="D37" t="s">
        <v>74</v>
      </c>
      <c r="E37" t="s">
        <v>74</v>
      </c>
      <c r="F37" t="s">
        <v>874</v>
      </c>
      <c r="G37" t="s">
        <v>74</v>
      </c>
      <c r="H37" t="s">
        <v>74</v>
      </c>
      <c r="I37" t="s">
        <v>875</v>
      </c>
      <c r="J37" t="s">
        <v>876</v>
      </c>
      <c r="K37" t="s">
        <v>74</v>
      </c>
      <c r="L37" t="s">
        <v>74</v>
      </c>
      <c r="M37" t="s">
        <v>78</v>
      </c>
      <c r="N37" t="s">
        <v>99</v>
      </c>
      <c r="O37" t="s">
        <v>74</v>
      </c>
      <c r="P37" t="s">
        <v>74</v>
      </c>
      <c r="Q37" t="s">
        <v>74</v>
      </c>
      <c r="R37" t="s">
        <v>74</v>
      </c>
      <c r="S37" t="s">
        <v>74</v>
      </c>
      <c r="T37" t="s">
        <v>877</v>
      </c>
      <c r="U37" t="s">
        <v>74</v>
      </c>
      <c r="V37" t="s">
        <v>878</v>
      </c>
      <c r="W37" t="s">
        <v>879</v>
      </c>
      <c r="X37" t="s">
        <v>880</v>
      </c>
      <c r="Y37" t="s">
        <v>881</v>
      </c>
      <c r="Z37" t="s">
        <v>74</v>
      </c>
      <c r="AA37" t="s">
        <v>74</v>
      </c>
      <c r="AB37" t="s">
        <v>882</v>
      </c>
      <c r="AC37" t="s">
        <v>74</v>
      </c>
      <c r="AD37" t="s">
        <v>74</v>
      </c>
      <c r="AE37" t="s">
        <v>74</v>
      </c>
      <c r="AF37" t="s">
        <v>74</v>
      </c>
      <c r="AG37">
        <v>27</v>
      </c>
      <c r="AH37">
        <v>2</v>
      </c>
      <c r="AI37">
        <v>2</v>
      </c>
      <c r="AJ37">
        <v>0</v>
      </c>
      <c r="AK37">
        <v>7</v>
      </c>
      <c r="AL37" t="s">
        <v>883</v>
      </c>
      <c r="AM37" t="s">
        <v>387</v>
      </c>
      <c r="AN37" t="s">
        <v>884</v>
      </c>
      <c r="AO37" t="s">
        <v>885</v>
      </c>
      <c r="AP37" t="s">
        <v>886</v>
      </c>
      <c r="AQ37" t="s">
        <v>74</v>
      </c>
      <c r="AR37" t="s">
        <v>887</v>
      </c>
      <c r="AS37" t="s">
        <v>888</v>
      </c>
      <c r="AT37" t="s">
        <v>74</v>
      </c>
      <c r="AU37">
        <v>2015</v>
      </c>
      <c r="AV37">
        <v>30</v>
      </c>
      <c r="AW37">
        <v>2</v>
      </c>
      <c r="AX37" t="s">
        <v>74</v>
      </c>
      <c r="AY37" t="s">
        <v>74</v>
      </c>
      <c r="AZ37" t="s">
        <v>74</v>
      </c>
      <c r="BA37" t="s">
        <v>74</v>
      </c>
      <c r="BB37">
        <v>285</v>
      </c>
      <c r="BC37">
        <v>304</v>
      </c>
      <c r="BD37" t="s">
        <v>74</v>
      </c>
      <c r="BE37" t="s">
        <v>889</v>
      </c>
      <c r="BF37" t="str">
        <f>HYPERLINK("http://dx.doi.org/10.1163/15718085-12341347","http://dx.doi.org/10.1163/15718085-12341347")</f>
        <v>http://dx.doi.org/10.1163/15718085-12341347</v>
      </c>
      <c r="BG37" t="s">
        <v>74</v>
      </c>
      <c r="BH37" t="s">
        <v>74</v>
      </c>
      <c r="BI37">
        <v>20</v>
      </c>
      <c r="BJ37" t="s">
        <v>890</v>
      </c>
      <c r="BK37" t="s">
        <v>891</v>
      </c>
      <c r="BL37" t="s">
        <v>892</v>
      </c>
      <c r="BM37" t="s">
        <v>893</v>
      </c>
      <c r="BN37" t="s">
        <v>74</v>
      </c>
      <c r="BO37" t="s">
        <v>74</v>
      </c>
      <c r="BP37" t="s">
        <v>74</v>
      </c>
      <c r="BQ37" t="s">
        <v>74</v>
      </c>
      <c r="BR37" t="s">
        <v>93</v>
      </c>
      <c r="BS37" t="s">
        <v>894</v>
      </c>
      <c r="BT37" t="str">
        <f>HYPERLINK("https%3A%2F%2Fwww.webofscience.com%2Fwos%2Fwoscc%2Ffull-record%2FWOS:000355928700003","View Full Record in Web of Science")</f>
        <v>View Full Record in Web of Science</v>
      </c>
    </row>
    <row r="38" spans="1:72" x14ac:dyDescent="0.15">
      <c r="A38" t="s">
        <v>72</v>
      </c>
      <c r="B38" t="s">
        <v>895</v>
      </c>
      <c r="C38" t="s">
        <v>74</v>
      </c>
      <c r="D38" t="s">
        <v>74</v>
      </c>
      <c r="E38" t="s">
        <v>74</v>
      </c>
      <c r="F38" t="s">
        <v>896</v>
      </c>
      <c r="G38" t="s">
        <v>74</v>
      </c>
      <c r="H38" t="s">
        <v>74</v>
      </c>
      <c r="I38" t="s">
        <v>897</v>
      </c>
      <c r="J38" t="s">
        <v>453</v>
      </c>
      <c r="K38" t="s">
        <v>74</v>
      </c>
      <c r="L38" t="s">
        <v>74</v>
      </c>
      <c r="M38" t="s">
        <v>78</v>
      </c>
      <c r="N38" t="s">
        <v>99</v>
      </c>
      <c r="O38" t="s">
        <v>74</v>
      </c>
      <c r="P38" t="s">
        <v>74</v>
      </c>
      <c r="Q38" t="s">
        <v>74</v>
      </c>
      <c r="R38" t="s">
        <v>74</v>
      </c>
      <c r="S38" t="s">
        <v>74</v>
      </c>
      <c r="T38" t="s">
        <v>898</v>
      </c>
      <c r="U38" t="s">
        <v>899</v>
      </c>
      <c r="V38" t="s">
        <v>900</v>
      </c>
      <c r="W38" t="s">
        <v>901</v>
      </c>
      <c r="X38" t="s">
        <v>902</v>
      </c>
      <c r="Y38" t="s">
        <v>903</v>
      </c>
      <c r="Z38" t="s">
        <v>904</v>
      </c>
      <c r="AA38" t="s">
        <v>74</v>
      </c>
      <c r="AB38" t="s">
        <v>905</v>
      </c>
      <c r="AC38" t="s">
        <v>74</v>
      </c>
      <c r="AD38" t="s">
        <v>74</v>
      </c>
      <c r="AE38" t="s">
        <v>74</v>
      </c>
      <c r="AF38" t="s">
        <v>74</v>
      </c>
      <c r="AG38">
        <v>41</v>
      </c>
      <c r="AH38">
        <v>6</v>
      </c>
      <c r="AI38">
        <v>7</v>
      </c>
      <c r="AJ38">
        <v>1</v>
      </c>
      <c r="AK38">
        <v>14</v>
      </c>
      <c r="AL38" t="s">
        <v>906</v>
      </c>
      <c r="AM38" t="s">
        <v>907</v>
      </c>
      <c r="AN38" t="s">
        <v>908</v>
      </c>
      <c r="AO38" t="s">
        <v>467</v>
      </c>
      <c r="AP38" t="s">
        <v>468</v>
      </c>
      <c r="AQ38" t="s">
        <v>74</v>
      </c>
      <c r="AR38" t="s">
        <v>469</v>
      </c>
      <c r="AS38" t="s">
        <v>470</v>
      </c>
      <c r="AT38" t="s">
        <v>74</v>
      </c>
      <c r="AU38">
        <v>2015</v>
      </c>
      <c r="AV38">
        <v>34</v>
      </c>
      <c r="AW38" t="s">
        <v>74</v>
      </c>
      <c r="AX38" t="s">
        <v>74</v>
      </c>
      <c r="AY38" t="s">
        <v>74</v>
      </c>
      <c r="AZ38" t="s">
        <v>74</v>
      </c>
      <c r="BA38" t="s">
        <v>74</v>
      </c>
      <c r="BB38" t="s">
        <v>74</v>
      </c>
      <c r="BC38" t="s">
        <v>74</v>
      </c>
      <c r="BD38">
        <v>25718</v>
      </c>
      <c r="BE38" t="s">
        <v>909</v>
      </c>
      <c r="BF38" t="str">
        <f>HYPERLINK("http://dx.doi.org/10.3402/polar.v34.25718","http://dx.doi.org/10.3402/polar.v34.25718")</f>
        <v>http://dx.doi.org/10.3402/polar.v34.25718</v>
      </c>
      <c r="BG38" t="s">
        <v>74</v>
      </c>
      <c r="BH38" t="s">
        <v>74</v>
      </c>
      <c r="BI38">
        <v>7</v>
      </c>
      <c r="BJ38" t="s">
        <v>472</v>
      </c>
      <c r="BK38" t="s">
        <v>91</v>
      </c>
      <c r="BL38" t="s">
        <v>473</v>
      </c>
      <c r="BM38" t="s">
        <v>910</v>
      </c>
      <c r="BN38" t="s">
        <v>74</v>
      </c>
      <c r="BO38" t="s">
        <v>159</v>
      </c>
      <c r="BP38" t="s">
        <v>74</v>
      </c>
      <c r="BQ38" t="s">
        <v>74</v>
      </c>
      <c r="BR38" t="s">
        <v>93</v>
      </c>
      <c r="BS38" t="s">
        <v>911</v>
      </c>
      <c r="BT38" t="str">
        <f>HYPERLINK("https%3A%2F%2Fwww.webofscience.com%2Fwos%2Fwoscc%2Ffull-record%2FWOS:000356351500001","View Full Record in Web of Science")</f>
        <v>View Full Record in Web of Science</v>
      </c>
    </row>
    <row r="39" spans="1:72" x14ac:dyDescent="0.15">
      <c r="A39" t="s">
        <v>840</v>
      </c>
      <c r="B39" t="s">
        <v>912</v>
      </c>
      <c r="C39" t="s">
        <v>74</v>
      </c>
      <c r="D39" t="s">
        <v>913</v>
      </c>
      <c r="E39" t="s">
        <v>74</v>
      </c>
      <c r="F39" t="s">
        <v>914</v>
      </c>
      <c r="G39" t="s">
        <v>74</v>
      </c>
      <c r="H39" t="s">
        <v>74</v>
      </c>
      <c r="I39" t="s">
        <v>915</v>
      </c>
      <c r="J39" t="s">
        <v>916</v>
      </c>
      <c r="K39" t="s">
        <v>917</v>
      </c>
      <c r="L39" t="s">
        <v>74</v>
      </c>
      <c r="M39" t="s">
        <v>78</v>
      </c>
      <c r="N39" t="s">
        <v>918</v>
      </c>
      <c r="O39" t="s">
        <v>74</v>
      </c>
      <c r="P39" t="s">
        <v>74</v>
      </c>
      <c r="Q39" t="s">
        <v>74</v>
      </c>
      <c r="R39" t="s">
        <v>74</v>
      </c>
      <c r="S39" t="s">
        <v>74</v>
      </c>
      <c r="T39" t="s">
        <v>74</v>
      </c>
      <c r="U39" t="s">
        <v>919</v>
      </c>
      <c r="V39" t="s">
        <v>920</v>
      </c>
      <c r="W39" t="s">
        <v>921</v>
      </c>
      <c r="X39" t="s">
        <v>922</v>
      </c>
      <c r="Y39" t="s">
        <v>923</v>
      </c>
      <c r="Z39" t="s">
        <v>924</v>
      </c>
      <c r="AA39" t="s">
        <v>925</v>
      </c>
      <c r="AB39" t="s">
        <v>926</v>
      </c>
      <c r="AC39" t="s">
        <v>74</v>
      </c>
      <c r="AD39" t="s">
        <v>74</v>
      </c>
      <c r="AE39" t="s">
        <v>74</v>
      </c>
      <c r="AF39" t="s">
        <v>74</v>
      </c>
      <c r="AG39">
        <v>139</v>
      </c>
      <c r="AH39">
        <v>10</v>
      </c>
      <c r="AI39">
        <v>10</v>
      </c>
      <c r="AJ39">
        <v>0</v>
      </c>
      <c r="AK39">
        <v>5</v>
      </c>
      <c r="AL39" t="s">
        <v>927</v>
      </c>
      <c r="AM39" t="s">
        <v>928</v>
      </c>
      <c r="AN39" t="s">
        <v>929</v>
      </c>
      <c r="AO39" t="s">
        <v>930</v>
      </c>
      <c r="AP39" t="s">
        <v>74</v>
      </c>
      <c r="AQ39" t="s">
        <v>931</v>
      </c>
      <c r="AR39" t="s">
        <v>932</v>
      </c>
      <c r="AS39" t="s">
        <v>933</v>
      </c>
      <c r="AT39" t="s">
        <v>74</v>
      </c>
      <c r="AU39">
        <v>2015</v>
      </c>
      <c r="AV39">
        <v>401</v>
      </c>
      <c r="AW39" t="s">
        <v>74</v>
      </c>
      <c r="AX39" t="s">
        <v>74</v>
      </c>
      <c r="AY39" t="s">
        <v>74</v>
      </c>
      <c r="AZ39" t="s">
        <v>74</v>
      </c>
      <c r="BA39" t="s">
        <v>74</v>
      </c>
      <c r="BB39">
        <v>107</v>
      </c>
      <c r="BC39">
        <v>126</v>
      </c>
      <c r="BD39" t="s">
        <v>74</v>
      </c>
      <c r="BE39" t="s">
        <v>934</v>
      </c>
      <c r="BF39" t="str">
        <f>HYPERLINK("http://dx.doi.org/10.1144/SP401.8","http://dx.doi.org/10.1144/SP401.8")</f>
        <v>http://dx.doi.org/10.1144/SP401.8</v>
      </c>
      <c r="BG39" t="s">
        <v>74</v>
      </c>
      <c r="BH39" t="s">
        <v>74</v>
      </c>
      <c r="BI39">
        <v>20</v>
      </c>
      <c r="BJ39" t="s">
        <v>935</v>
      </c>
      <c r="BK39" t="s">
        <v>936</v>
      </c>
      <c r="BL39" t="s">
        <v>935</v>
      </c>
      <c r="BM39" t="s">
        <v>937</v>
      </c>
      <c r="BN39" t="s">
        <v>74</v>
      </c>
      <c r="BO39" t="s">
        <v>74</v>
      </c>
      <c r="BP39" t="s">
        <v>74</v>
      </c>
      <c r="BQ39" t="s">
        <v>74</v>
      </c>
      <c r="BR39" t="s">
        <v>93</v>
      </c>
      <c r="BS39" t="s">
        <v>938</v>
      </c>
      <c r="BT39" t="str">
        <f>HYPERLINK("https%3A%2F%2Fwww.webofscience.com%2Fwos%2Fwoscc%2Ffull-record%2FWOS:000356369300006","View Full Record in Web of Science")</f>
        <v>View Full Record in Web of Science</v>
      </c>
    </row>
    <row r="40" spans="1:72" x14ac:dyDescent="0.15">
      <c r="A40" t="s">
        <v>72</v>
      </c>
      <c r="B40" t="s">
        <v>939</v>
      </c>
      <c r="C40" t="s">
        <v>74</v>
      </c>
      <c r="D40" t="s">
        <v>74</v>
      </c>
      <c r="E40" t="s">
        <v>74</v>
      </c>
      <c r="F40" t="s">
        <v>940</v>
      </c>
      <c r="G40" t="s">
        <v>74</v>
      </c>
      <c r="H40" t="s">
        <v>74</v>
      </c>
      <c r="I40" t="s">
        <v>941</v>
      </c>
      <c r="J40" t="s">
        <v>353</v>
      </c>
      <c r="K40" t="s">
        <v>74</v>
      </c>
      <c r="L40" t="s">
        <v>74</v>
      </c>
      <c r="M40" t="s">
        <v>78</v>
      </c>
      <c r="N40" t="s">
        <v>99</v>
      </c>
      <c r="O40" t="s">
        <v>74</v>
      </c>
      <c r="P40" t="s">
        <v>74</v>
      </c>
      <c r="Q40" t="s">
        <v>74</v>
      </c>
      <c r="R40" t="s">
        <v>74</v>
      </c>
      <c r="S40" t="s">
        <v>74</v>
      </c>
      <c r="T40" t="s">
        <v>942</v>
      </c>
      <c r="U40" t="s">
        <v>943</v>
      </c>
      <c r="V40" t="s">
        <v>944</v>
      </c>
      <c r="W40" t="s">
        <v>945</v>
      </c>
      <c r="X40" t="s">
        <v>946</v>
      </c>
      <c r="Y40" t="s">
        <v>947</v>
      </c>
      <c r="Z40" t="s">
        <v>948</v>
      </c>
      <c r="AA40" t="s">
        <v>949</v>
      </c>
      <c r="AB40" t="s">
        <v>950</v>
      </c>
      <c r="AC40" t="s">
        <v>951</v>
      </c>
      <c r="AD40" t="s">
        <v>952</v>
      </c>
      <c r="AE40" t="s">
        <v>953</v>
      </c>
      <c r="AF40" t="s">
        <v>74</v>
      </c>
      <c r="AG40">
        <v>39</v>
      </c>
      <c r="AH40">
        <v>26</v>
      </c>
      <c r="AI40">
        <v>27</v>
      </c>
      <c r="AJ40">
        <v>1</v>
      </c>
      <c r="AK40">
        <v>21</v>
      </c>
      <c r="AL40" t="s">
        <v>954</v>
      </c>
      <c r="AM40" t="s">
        <v>112</v>
      </c>
      <c r="AN40" t="s">
        <v>955</v>
      </c>
      <c r="AO40" t="s">
        <v>367</v>
      </c>
      <c r="AP40" t="s">
        <v>368</v>
      </c>
      <c r="AQ40" t="s">
        <v>74</v>
      </c>
      <c r="AR40" t="s">
        <v>369</v>
      </c>
      <c r="AS40" t="s">
        <v>370</v>
      </c>
      <c r="AT40" t="s">
        <v>74</v>
      </c>
      <c r="AU40">
        <v>2015</v>
      </c>
      <c r="AV40">
        <v>61</v>
      </c>
      <c r="AW40">
        <v>226</v>
      </c>
      <c r="AX40" t="s">
        <v>74</v>
      </c>
      <c r="AY40" t="s">
        <v>74</v>
      </c>
      <c r="AZ40" t="s">
        <v>74</v>
      </c>
      <c r="BA40" t="s">
        <v>74</v>
      </c>
      <c r="BB40">
        <v>243</v>
      </c>
      <c r="BC40">
        <v>252</v>
      </c>
      <c r="BD40" t="s">
        <v>74</v>
      </c>
      <c r="BE40" t="s">
        <v>956</v>
      </c>
      <c r="BF40" t="str">
        <f>HYPERLINK("http://dx.doi.org/10.3189/2015JoG14J151","http://dx.doi.org/10.3189/2015JoG14J151")</f>
        <v>http://dx.doi.org/10.3189/2015JoG14J151</v>
      </c>
      <c r="BG40" t="s">
        <v>74</v>
      </c>
      <c r="BH40" t="s">
        <v>74</v>
      </c>
      <c r="BI40">
        <v>10</v>
      </c>
      <c r="BJ40" t="s">
        <v>372</v>
      </c>
      <c r="BK40" t="s">
        <v>91</v>
      </c>
      <c r="BL40" t="s">
        <v>373</v>
      </c>
      <c r="BM40" t="s">
        <v>957</v>
      </c>
      <c r="BN40" t="s">
        <v>74</v>
      </c>
      <c r="BO40" t="s">
        <v>375</v>
      </c>
      <c r="BP40" t="s">
        <v>74</v>
      </c>
      <c r="BQ40" t="s">
        <v>74</v>
      </c>
      <c r="BR40" t="s">
        <v>93</v>
      </c>
      <c r="BS40" t="s">
        <v>958</v>
      </c>
      <c r="BT40" t="str">
        <f>HYPERLINK("https%3A%2F%2Fwww.webofscience.com%2Fwos%2Fwoscc%2Ffull-record%2FWOS:000355778000005","View Full Record in Web of Science")</f>
        <v>View Full Record in Web of Science</v>
      </c>
    </row>
    <row r="41" spans="1:72" x14ac:dyDescent="0.15">
      <c r="A41" t="s">
        <v>72</v>
      </c>
      <c r="B41" t="s">
        <v>959</v>
      </c>
      <c r="C41" t="s">
        <v>74</v>
      </c>
      <c r="D41" t="s">
        <v>74</v>
      </c>
      <c r="E41" t="s">
        <v>74</v>
      </c>
      <c r="F41" t="s">
        <v>960</v>
      </c>
      <c r="G41" t="s">
        <v>74</v>
      </c>
      <c r="H41" t="s">
        <v>74</v>
      </c>
      <c r="I41" t="s">
        <v>961</v>
      </c>
      <c r="J41" t="s">
        <v>353</v>
      </c>
      <c r="K41" t="s">
        <v>74</v>
      </c>
      <c r="L41" t="s">
        <v>74</v>
      </c>
      <c r="M41" t="s">
        <v>78</v>
      </c>
      <c r="N41" t="s">
        <v>99</v>
      </c>
      <c r="O41" t="s">
        <v>74</v>
      </c>
      <c r="P41" t="s">
        <v>74</v>
      </c>
      <c r="Q41" t="s">
        <v>74</v>
      </c>
      <c r="R41" t="s">
        <v>74</v>
      </c>
      <c r="S41" t="s">
        <v>74</v>
      </c>
      <c r="T41" t="s">
        <v>962</v>
      </c>
      <c r="U41" t="s">
        <v>963</v>
      </c>
      <c r="V41" t="s">
        <v>964</v>
      </c>
      <c r="W41" t="s">
        <v>965</v>
      </c>
      <c r="X41" t="s">
        <v>966</v>
      </c>
      <c r="Y41" t="s">
        <v>967</v>
      </c>
      <c r="Z41" t="s">
        <v>968</v>
      </c>
      <c r="AA41" t="s">
        <v>969</v>
      </c>
      <c r="AB41" t="s">
        <v>970</v>
      </c>
      <c r="AC41" t="s">
        <v>971</v>
      </c>
      <c r="AD41" t="s">
        <v>972</v>
      </c>
      <c r="AE41" t="s">
        <v>973</v>
      </c>
      <c r="AF41" t="s">
        <v>74</v>
      </c>
      <c r="AG41">
        <v>48</v>
      </c>
      <c r="AH41">
        <v>21</v>
      </c>
      <c r="AI41">
        <v>22</v>
      </c>
      <c r="AJ41">
        <v>0</v>
      </c>
      <c r="AK41">
        <v>9</v>
      </c>
      <c r="AL41" t="s">
        <v>365</v>
      </c>
      <c r="AM41" t="s">
        <v>112</v>
      </c>
      <c r="AN41" t="s">
        <v>366</v>
      </c>
      <c r="AO41" t="s">
        <v>367</v>
      </c>
      <c r="AP41" t="s">
        <v>368</v>
      </c>
      <c r="AQ41" t="s">
        <v>74</v>
      </c>
      <c r="AR41" t="s">
        <v>369</v>
      </c>
      <c r="AS41" t="s">
        <v>370</v>
      </c>
      <c r="AT41" t="s">
        <v>74</v>
      </c>
      <c r="AU41">
        <v>2015</v>
      </c>
      <c r="AV41">
        <v>61</v>
      </c>
      <c r="AW41">
        <v>226</v>
      </c>
      <c r="AX41" t="s">
        <v>74</v>
      </c>
      <c r="AY41" t="s">
        <v>74</v>
      </c>
      <c r="AZ41" t="s">
        <v>74</v>
      </c>
      <c r="BA41" t="s">
        <v>74</v>
      </c>
      <c r="BB41">
        <v>285</v>
      </c>
      <c r="BC41">
        <v>300</v>
      </c>
      <c r="BD41" t="s">
        <v>74</v>
      </c>
      <c r="BE41" t="s">
        <v>974</v>
      </c>
      <c r="BF41" t="str">
        <f>HYPERLINK("http://dx.doi.org/10.3189/2015JoG14J157","http://dx.doi.org/10.3189/2015JoG14J157")</f>
        <v>http://dx.doi.org/10.3189/2015JoG14J157</v>
      </c>
      <c r="BG41" t="s">
        <v>74</v>
      </c>
      <c r="BH41" t="s">
        <v>74</v>
      </c>
      <c r="BI41">
        <v>16</v>
      </c>
      <c r="BJ41" t="s">
        <v>372</v>
      </c>
      <c r="BK41" t="s">
        <v>91</v>
      </c>
      <c r="BL41" t="s">
        <v>373</v>
      </c>
      <c r="BM41" t="s">
        <v>957</v>
      </c>
      <c r="BN41" t="s">
        <v>74</v>
      </c>
      <c r="BO41" t="s">
        <v>375</v>
      </c>
      <c r="BP41" t="s">
        <v>74</v>
      </c>
      <c r="BQ41" t="s">
        <v>74</v>
      </c>
      <c r="BR41" t="s">
        <v>93</v>
      </c>
      <c r="BS41" t="s">
        <v>975</v>
      </c>
      <c r="BT41" t="str">
        <f>HYPERLINK("https%3A%2F%2Fwww.webofscience.com%2Fwos%2Fwoscc%2Ffull-record%2FWOS:000355778000009","View Full Record in Web of Science")</f>
        <v>View Full Record in Web of Science</v>
      </c>
    </row>
    <row r="42" spans="1:72" x14ac:dyDescent="0.15">
      <c r="A42" t="s">
        <v>72</v>
      </c>
      <c r="B42" t="s">
        <v>976</v>
      </c>
      <c r="C42" t="s">
        <v>74</v>
      </c>
      <c r="D42" t="s">
        <v>74</v>
      </c>
      <c r="E42" t="s">
        <v>74</v>
      </c>
      <c r="F42" t="s">
        <v>977</v>
      </c>
      <c r="G42" t="s">
        <v>74</v>
      </c>
      <c r="H42" t="s">
        <v>74</v>
      </c>
      <c r="I42" t="s">
        <v>978</v>
      </c>
      <c r="J42" t="s">
        <v>353</v>
      </c>
      <c r="K42" t="s">
        <v>74</v>
      </c>
      <c r="L42" t="s">
        <v>74</v>
      </c>
      <c r="M42" t="s">
        <v>78</v>
      </c>
      <c r="N42" t="s">
        <v>99</v>
      </c>
      <c r="O42" t="s">
        <v>74</v>
      </c>
      <c r="P42" t="s">
        <v>74</v>
      </c>
      <c r="Q42" t="s">
        <v>74</v>
      </c>
      <c r="R42" t="s">
        <v>74</v>
      </c>
      <c r="S42" t="s">
        <v>74</v>
      </c>
      <c r="T42" t="s">
        <v>979</v>
      </c>
      <c r="U42" t="s">
        <v>980</v>
      </c>
      <c r="V42" t="s">
        <v>981</v>
      </c>
      <c r="W42" t="s">
        <v>982</v>
      </c>
      <c r="X42" t="s">
        <v>983</v>
      </c>
      <c r="Y42" t="s">
        <v>984</v>
      </c>
      <c r="Z42" t="s">
        <v>985</v>
      </c>
      <c r="AA42" t="s">
        <v>74</v>
      </c>
      <c r="AB42" t="s">
        <v>986</v>
      </c>
      <c r="AC42" t="s">
        <v>987</v>
      </c>
      <c r="AD42" t="s">
        <v>988</v>
      </c>
      <c r="AE42" t="s">
        <v>989</v>
      </c>
      <c r="AF42" t="s">
        <v>74</v>
      </c>
      <c r="AG42">
        <v>47</v>
      </c>
      <c r="AH42">
        <v>24</v>
      </c>
      <c r="AI42">
        <v>26</v>
      </c>
      <c r="AJ42">
        <v>0</v>
      </c>
      <c r="AK42">
        <v>10</v>
      </c>
      <c r="AL42" t="s">
        <v>365</v>
      </c>
      <c r="AM42" t="s">
        <v>112</v>
      </c>
      <c r="AN42" t="s">
        <v>366</v>
      </c>
      <c r="AO42" t="s">
        <v>367</v>
      </c>
      <c r="AP42" t="s">
        <v>368</v>
      </c>
      <c r="AQ42" t="s">
        <v>74</v>
      </c>
      <c r="AR42" t="s">
        <v>369</v>
      </c>
      <c r="AS42" t="s">
        <v>370</v>
      </c>
      <c r="AT42" t="s">
        <v>74</v>
      </c>
      <c r="AU42">
        <v>2015</v>
      </c>
      <c r="AV42">
        <v>61</v>
      </c>
      <c r="AW42">
        <v>226</v>
      </c>
      <c r="AX42" t="s">
        <v>74</v>
      </c>
      <c r="AY42" t="s">
        <v>74</v>
      </c>
      <c r="AZ42" t="s">
        <v>74</v>
      </c>
      <c r="BA42" t="s">
        <v>74</v>
      </c>
      <c r="BB42">
        <v>329</v>
      </c>
      <c r="BC42">
        <v>344</v>
      </c>
      <c r="BD42" t="s">
        <v>74</v>
      </c>
      <c r="BE42" t="s">
        <v>990</v>
      </c>
      <c r="BF42" t="str">
        <f>HYPERLINK("http://dx.doi.org/10.3189/2015JoG14J116","http://dx.doi.org/10.3189/2015JoG14J116")</f>
        <v>http://dx.doi.org/10.3189/2015JoG14J116</v>
      </c>
      <c r="BG42" t="s">
        <v>74</v>
      </c>
      <c r="BH42" t="s">
        <v>74</v>
      </c>
      <c r="BI42">
        <v>16</v>
      </c>
      <c r="BJ42" t="s">
        <v>372</v>
      </c>
      <c r="BK42" t="s">
        <v>91</v>
      </c>
      <c r="BL42" t="s">
        <v>373</v>
      </c>
      <c r="BM42" t="s">
        <v>957</v>
      </c>
      <c r="BN42" t="s">
        <v>74</v>
      </c>
      <c r="BO42" t="s">
        <v>991</v>
      </c>
      <c r="BP42" t="s">
        <v>74</v>
      </c>
      <c r="BQ42" t="s">
        <v>74</v>
      </c>
      <c r="BR42" t="s">
        <v>93</v>
      </c>
      <c r="BS42" t="s">
        <v>992</v>
      </c>
      <c r="BT42" t="str">
        <f>HYPERLINK("https%3A%2F%2Fwww.webofscience.com%2Fwos%2Fwoscc%2Ffull-record%2FWOS:000355778000012","View Full Record in Web of Science")</f>
        <v>View Full Record in Web of Science</v>
      </c>
    </row>
    <row r="43" spans="1:72" x14ac:dyDescent="0.15">
      <c r="A43" t="s">
        <v>72</v>
      </c>
      <c r="B43" t="s">
        <v>993</v>
      </c>
      <c r="C43" t="s">
        <v>74</v>
      </c>
      <c r="D43" t="s">
        <v>74</v>
      </c>
      <c r="E43" t="s">
        <v>74</v>
      </c>
      <c r="F43" t="s">
        <v>994</v>
      </c>
      <c r="G43" t="s">
        <v>74</v>
      </c>
      <c r="H43" t="s">
        <v>74</v>
      </c>
      <c r="I43" t="s">
        <v>995</v>
      </c>
      <c r="J43" t="s">
        <v>996</v>
      </c>
      <c r="K43" t="s">
        <v>74</v>
      </c>
      <c r="L43" t="s">
        <v>74</v>
      </c>
      <c r="M43" t="s">
        <v>78</v>
      </c>
      <c r="N43" t="s">
        <v>99</v>
      </c>
      <c r="O43" t="s">
        <v>74</v>
      </c>
      <c r="P43" t="s">
        <v>74</v>
      </c>
      <c r="Q43" t="s">
        <v>74</v>
      </c>
      <c r="R43" t="s">
        <v>74</v>
      </c>
      <c r="S43" t="s">
        <v>74</v>
      </c>
      <c r="T43" t="s">
        <v>997</v>
      </c>
      <c r="U43" t="s">
        <v>998</v>
      </c>
      <c r="V43" t="s">
        <v>999</v>
      </c>
      <c r="W43" t="s">
        <v>1000</v>
      </c>
      <c r="X43" t="s">
        <v>1001</v>
      </c>
      <c r="Y43" t="s">
        <v>1002</v>
      </c>
      <c r="Z43" t="s">
        <v>1003</v>
      </c>
      <c r="AA43" t="s">
        <v>1004</v>
      </c>
      <c r="AB43" t="s">
        <v>1005</v>
      </c>
      <c r="AC43" t="s">
        <v>1006</v>
      </c>
      <c r="AD43" t="s">
        <v>1007</v>
      </c>
      <c r="AE43" t="s">
        <v>1008</v>
      </c>
      <c r="AF43" t="s">
        <v>74</v>
      </c>
      <c r="AG43">
        <v>44</v>
      </c>
      <c r="AH43">
        <v>7</v>
      </c>
      <c r="AI43">
        <v>8</v>
      </c>
      <c r="AJ43">
        <v>1</v>
      </c>
      <c r="AK43">
        <v>9</v>
      </c>
      <c r="AL43" t="s">
        <v>1009</v>
      </c>
      <c r="AM43" t="s">
        <v>1010</v>
      </c>
      <c r="AN43" t="s">
        <v>1011</v>
      </c>
      <c r="AO43" t="s">
        <v>1012</v>
      </c>
      <c r="AP43" t="s">
        <v>74</v>
      </c>
      <c r="AQ43" t="s">
        <v>74</v>
      </c>
      <c r="AR43" t="s">
        <v>996</v>
      </c>
      <c r="AS43" t="s">
        <v>1013</v>
      </c>
      <c r="AT43" t="s">
        <v>74</v>
      </c>
      <c r="AU43">
        <v>2015</v>
      </c>
      <c r="AV43">
        <v>15</v>
      </c>
      <c r="AW43">
        <v>1</v>
      </c>
      <c r="AX43" t="s">
        <v>74</v>
      </c>
      <c r="AY43" t="s">
        <v>74</v>
      </c>
      <c r="AZ43" t="s">
        <v>74</v>
      </c>
      <c r="BA43" t="s">
        <v>74</v>
      </c>
      <c r="BB43">
        <v>105</v>
      </c>
      <c r="BC43">
        <v>111</v>
      </c>
      <c r="BD43" t="s">
        <v>74</v>
      </c>
      <c r="BE43" t="s">
        <v>1014</v>
      </c>
      <c r="BF43" t="str">
        <f>HYPERLINK("http://dx.doi.org/10.5507/fot.2015.009","http://dx.doi.org/10.5507/fot.2015.009")</f>
        <v>http://dx.doi.org/10.5507/fot.2015.009</v>
      </c>
      <c r="BG43" t="s">
        <v>74</v>
      </c>
      <c r="BH43" t="s">
        <v>74</v>
      </c>
      <c r="BI43">
        <v>7</v>
      </c>
      <c r="BJ43" t="s">
        <v>1015</v>
      </c>
      <c r="BK43" t="s">
        <v>91</v>
      </c>
      <c r="BL43" t="s">
        <v>1015</v>
      </c>
      <c r="BM43" t="s">
        <v>1016</v>
      </c>
      <c r="BN43" t="s">
        <v>74</v>
      </c>
      <c r="BO43" t="s">
        <v>255</v>
      </c>
      <c r="BP43" t="s">
        <v>74</v>
      </c>
      <c r="BQ43" t="s">
        <v>74</v>
      </c>
      <c r="BR43" t="s">
        <v>93</v>
      </c>
      <c r="BS43" t="s">
        <v>1017</v>
      </c>
      <c r="BT43" t="str">
        <f>HYPERLINK("https%3A%2F%2Fwww.webofscience.com%2Fwos%2Fwoscc%2Ffull-record%2FWOS:000354694300009","View Full Record in Web of Science")</f>
        <v>View Full Record in Web of Science</v>
      </c>
    </row>
    <row r="44" spans="1:72" x14ac:dyDescent="0.15">
      <c r="A44" t="s">
        <v>295</v>
      </c>
      <c r="B44" t="s">
        <v>1018</v>
      </c>
      <c r="C44" t="s">
        <v>74</v>
      </c>
      <c r="D44" t="s">
        <v>1019</v>
      </c>
      <c r="E44" t="s">
        <v>74</v>
      </c>
      <c r="F44" t="s">
        <v>1020</v>
      </c>
      <c r="G44" t="s">
        <v>74</v>
      </c>
      <c r="H44" t="s">
        <v>74</v>
      </c>
      <c r="I44" t="s">
        <v>1021</v>
      </c>
      <c r="J44" t="s">
        <v>1022</v>
      </c>
      <c r="K44" t="s">
        <v>1023</v>
      </c>
      <c r="L44" t="s">
        <v>74</v>
      </c>
      <c r="M44" t="s">
        <v>78</v>
      </c>
      <c r="N44" t="s">
        <v>301</v>
      </c>
      <c r="O44" t="s">
        <v>1024</v>
      </c>
      <c r="P44" t="s">
        <v>1025</v>
      </c>
      <c r="Q44" t="s">
        <v>1026</v>
      </c>
      <c r="R44" t="s">
        <v>74</v>
      </c>
      <c r="S44" t="s">
        <v>74</v>
      </c>
      <c r="T44" t="s">
        <v>1027</v>
      </c>
      <c r="U44" t="s">
        <v>74</v>
      </c>
      <c r="V44" t="s">
        <v>1028</v>
      </c>
      <c r="W44" t="s">
        <v>1029</v>
      </c>
      <c r="X44" t="s">
        <v>1030</v>
      </c>
      <c r="Y44" t="s">
        <v>1031</v>
      </c>
      <c r="Z44" t="s">
        <v>74</v>
      </c>
      <c r="AA44" t="s">
        <v>1032</v>
      </c>
      <c r="AB44" t="s">
        <v>74</v>
      </c>
      <c r="AC44" t="s">
        <v>74</v>
      </c>
      <c r="AD44" t="s">
        <v>74</v>
      </c>
      <c r="AE44" t="s">
        <v>74</v>
      </c>
      <c r="AF44" t="s">
        <v>74</v>
      </c>
      <c r="AG44">
        <v>6</v>
      </c>
      <c r="AH44">
        <v>1</v>
      </c>
      <c r="AI44">
        <v>1</v>
      </c>
      <c r="AJ44">
        <v>1</v>
      </c>
      <c r="AK44">
        <v>7</v>
      </c>
      <c r="AL44" t="s">
        <v>1033</v>
      </c>
      <c r="AM44" t="s">
        <v>1034</v>
      </c>
      <c r="AN44" t="s">
        <v>1035</v>
      </c>
      <c r="AO44" t="s">
        <v>1036</v>
      </c>
      <c r="AP44" t="s">
        <v>74</v>
      </c>
      <c r="AQ44" t="s">
        <v>1037</v>
      </c>
      <c r="AR44" t="s">
        <v>1038</v>
      </c>
      <c r="AS44" t="s">
        <v>74</v>
      </c>
      <c r="AT44" t="s">
        <v>74</v>
      </c>
      <c r="AU44">
        <v>2015</v>
      </c>
      <c r="AV44">
        <v>9522</v>
      </c>
      <c r="AW44" t="s">
        <v>74</v>
      </c>
      <c r="AX44" t="s">
        <v>74</v>
      </c>
      <c r="AY44" t="s">
        <v>74</v>
      </c>
      <c r="AZ44" t="s">
        <v>74</v>
      </c>
      <c r="BA44" t="s">
        <v>74</v>
      </c>
      <c r="BB44" t="s">
        <v>74</v>
      </c>
      <c r="BC44" t="s">
        <v>74</v>
      </c>
      <c r="BD44" t="s">
        <v>1039</v>
      </c>
      <c r="BE44" t="s">
        <v>1040</v>
      </c>
      <c r="BF44" t="str">
        <f>HYPERLINK("http://dx.doi.org/10.1117/12.2180861","http://dx.doi.org/10.1117/12.2180861")</f>
        <v>http://dx.doi.org/10.1117/12.2180861</v>
      </c>
      <c r="BG44" t="s">
        <v>74</v>
      </c>
      <c r="BH44" t="s">
        <v>74</v>
      </c>
      <c r="BI44">
        <v>11</v>
      </c>
      <c r="BJ44" t="s">
        <v>1041</v>
      </c>
      <c r="BK44" t="s">
        <v>320</v>
      </c>
      <c r="BL44" t="s">
        <v>1042</v>
      </c>
      <c r="BM44" t="s">
        <v>1043</v>
      </c>
      <c r="BN44" t="s">
        <v>74</v>
      </c>
      <c r="BO44" t="s">
        <v>74</v>
      </c>
      <c r="BP44" t="s">
        <v>74</v>
      </c>
      <c r="BQ44" t="s">
        <v>74</v>
      </c>
      <c r="BR44" t="s">
        <v>93</v>
      </c>
      <c r="BS44" t="s">
        <v>1044</v>
      </c>
      <c r="BT44" t="str">
        <f>HYPERLINK("https%3A%2F%2Fwww.webofscience.com%2Fwos%2Fwoscc%2Ffull-record%2FWOS:000354371100081","View Full Record in Web of Science")</f>
        <v>View Full Record in Web of Science</v>
      </c>
    </row>
    <row r="45" spans="1:72" x14ac:dyDescent="0.15">
      <c r="A45" t="s">
        <v>72</v>
      </c>
      <c r="B45" t="s">
        <v>1045</v>
      </c>
      <c r="C45" t="s">
        <v>74</v>
      </c>
      <c r="D45" t="s">
        <v>74</v>
      </c>
      <c r="E45" t="s">
        <v>74</v>
      </c>
      <c r="F45" t="s">
        <v>1046</v>
      </c>
      <c r="G45" t="s">
        <v>74</v>
      </c>
      <c r="H45" t="s">
        <v>74</v>
      </c>
      <c r="I45" t="s">
        <v>1047</v>
      </c>
      <c r="J45" t="s">
        <v>1048</v>
      </c>
      <c r="K45" t="s">
        <v>74</v>
      </c>
      <c r="L45" t="s">
        <v>74</v>
      </c>
      <c r="M45" t="s">
        <v>78</v>
      </c>
      <c r="N45" t="s">
        <v>99</v>
      </c>
      <c r="O45" t="s">
        <v>74</v>
      </c>
      <c r="P45" t="s">
        <v>74</v>
      </c>
      <c r="Q45" t="s">
        <v>74</v>
      </c>
      <c r="R45" t="s">
        <v>74</v>
      </c>
      <c r="S45" t="s">
        <v>74</v>
      </c>
      <c r="T45" t="s">
        <v>1049</v>
      </c>
      <c r="U45" t="s">
        <v>1050</v>
      </c>
      <c r="V45" t="s">
        <v>1051</v>
      </c>
      <c r="W45" t="s">
        <v>1052</v>
      </c>
      <c r="X45" t="s">
        <v>1053</v>
      </c>
      <c r="Y45" t="s">
        <v>1054</v>
      </c>
      <c r="Z45" t="s">
        <v>1055</v>
      </c>
      <c r="AA45" t="s">
        <v>1056</v>
      </c>
      <c r="AB45" t="s">
        <v>1057</v>
      </c>
      <c r="AC45" t="s">
        <v>1058</v>
      </c>
      <c r="AD45" t="s">
        <v>1059</v>
      </c>
      <c r="AE45" t="s">
        <v>1060</v>
      </c>
      <c r="AF45" t="s">
        <v>74</v>
      </c>
      <c r="AG45">
        <v>53</v>
      </c>
      <c r="AH45">
        <v>1</v>
      </c>
      <c r="AI45">
        <v>1</v>
      </c>
      <c r="AJ45">
        <v>5</v>
      </c>
      <c r="AK45">
        <v>33</v>
      </c>
      <c r="AL45" t="s">
        <v>1061</v>
      </c>
      <c r="AM45" t="s">
        <v>1062</v>
      </c>
      <c r="AN45" t="s">
        <v>1063</v>
      </c>
      <c r="AO45" t="s">
        <v>1064</v>
      </c>
      <c r="AP45" t="s">
        <v>1065</v>
      </c>
      <c r="AQ45" t="s">
        <v>74</v>
      </c>
      <c r="AR45" t="s">
        <v>1066</v>
      </c>
      <c r="AS45" t="s">
        <v>1067</v>
      </c>
      <c r="AT45" t="s">
        <v>74</v>
      </c>
      <c r="AU45">
        <v>2015</v>
      </c>
      <c r="AV45">
        <v>42</v>
      </c>
      <c r="AW45">
        <v>6</v>
      </c>
      <c r="AX45" t="s">
        <v>74</v>
      </c>
      <c r="AY45" t="s">
        <v>74</v>
      </c>
      <c r="AZ45" t="s">
        <v>74</v>
      </c>
      <c r="BA45" t="s">
        <v>74</v>
      </c>
      <c r="BB45">
        <v>552</v>
      </c>
      <c r="BC45">
        <v>564</v>
      </c>
      <c r="BD45" t="s">
        <v>74</v>
      </c>
      <c r="BE45" t="s">
        <v>1068</v>
      </c>
      <c r="BF45" t="str">
        <f>HYPERLINK("http://dx.doi.org/10.1071/FP14134","http://dx.doi.org/10.1071/FP14134")</f>
        <v>http://dx.doi.org/10.1071/FP14134</v>
      </c>
      <c r="BG45" t="s">
        <v>74</v>
      </c>
      <c r="BH45" t="s">
        <v>74</v>
      </c>
      <c r="BI45">
        <v>13</v>
      </c>
      <c r="BJ45" t="s">
        <v>1015</v>
      </c>
      <c r="BK45" t="s">
        <v>91</v>
      </c>
      <c r="BL45" t="s">
        <v>1015</v>
      </c>
      <c r="BM45" t="s">
        <v>1069</v>
      </c>
      <c r="BN45">
        <v>32480700</v>
      </c>
      <c r="BO45" t="s">
        <v>74</v>
      </c>
      <c r="BP45" t="s">
        <v>74</v>
      </c>
      <c r="BQ45" t="s">
        <v>74</v>
      </c>
      <c r="BR45" t="s">
        <v>93</v>
      </c>
      <c r="BS45" t="s">
        <v>1070</v>
      </c>
      <c r="BT45" t="str">
        <f>HYPERLINK("https%3A%2F%2Fwww.webofscience.com%2Fwos%2Fwoscc%2Ffull-record%2FWOS:000354560500006","View Full Record in Web of Science")</f>
        <v>View Full Record in Web of Science</v>
      </c>
    </row>
    <row r="46" spans="1:72" x14ac:dyDescent="0.15">
      <c r="A46" t="s">
        <v>72</v>
      </c>
      <c r="B46" t="s">
        <v>1071</v>
      </c>
      <c r="C46" t="s">
        <v>74</v>
      </c>
      <c r="D46" t="s">
        <v>74</v>
      </c>
      <c r="E46" t="s">
        <v>74</v>
      </c>
      <c r="F46" t="s">
        <v>1072</v>
      </c>
      <c r="G46" t="s">
        <v>74</v>
      </c>
      <c r="H46" t="s">
        <v>74</v>
      </c>
      <c r="I46" t="s">
        <v>1073</v>
      </c>
      <c r="J46" t="s">
        <v>1074</v>
      </c>
      <c r="K46" t="s">
        <v>74</v>
      </c>
      <c r="L46" t="s">
        <v>74</v>
      </c>
      <c r="M46" t="s">
        <v>78</v>
      </c>
      <c r="N46" t="s">
        <v>99</v>
      </c>
      <c r="O46" t="s">
        <v>74</v>
      </c>
      <c r="P46" t="s">
        <v>74</v>
      </c>
      <c r="Q46" t="s">
        <v>74</v>
      </c>
      <c r="R46" t="s">
        <v>74</v>
      </c>
      <c r="S46" t="s">
        <v>74</v>
      </c>
      <c r="T46" t="s">
        <v>74</v>
      </c>
      <c r="U46" t="s">
        <v>1075</v>
      </c>
      <c r="V46" t="s">
        <v>1076</v>
      </c>
      <c r="W46" t="s">
        <v>1077</v>
      </c>
      <c r="X46" t="s">
        <v>1078</v>
      </c>
      <c r="Y46" t="s">
        <v>1079</v>
      </c>
      <c r="Z46" t="s">
        <v>1080</v>
      </c>
      <c r="AA46" t="s">
        <v>1081</v>
      </c>
      <c r="AB46" t="s">
        <v>1082</v>
      </c>
      <c r="AC46" t="s">
        <v>1083</v>
      </c>
      <c r="AD46" t="s">
        <v>1084</v>
      </c>
      <c r="AE46" t="s">
        <v>1085</v>
      </c>
      <c r="AF46" t="s">
        <v>74</v>
      </c>
      <c r="AG46">
        <v>68</v>
      </c>
      <c r="AH46">
        <v>20</v>
      </c>
      <c r="AI46">
        <v>21</v>
      </c>
      <c r="AJ46">
        <v>0</v>
      </c>
      <c r="AK46">
        <v>15</v>
      </c>
      <c r="AL46" t="s">
        <v>244</v>
      </c>
      <c r="AM46" t="s">
        <v>245</v>
      </c>
      <c r="AN46" t="s">
        <v>246</v>
      </c>
      <c r="AO46" t="s">
        <v>1086</v>
      </c>
      <c r="AP46" t="s">
        <v>1087</v>
      </c>
      <c r="AQ46" t="s">
        <v>74</v>
      </c>
      <c r="AR46" t="s">
        <v>1074</v>
      </c>
      <c r="AS46" t="s">
        <v>1088</v>
      </c>
      <c r="AT46" t="s">
        <v>74</v>
      </c>
      <c r="AU46">
        <v>2015</v>
      </c>
      <c r="AV46">
        <v>9</v>
      </c>
      <c r="AW46">
        <v>2</v>
      </c>
      <c r="AX46" t="s">
        <v>74</v>
      </c>
      <c r="AY46" t="s">
        <v>74</v>
      </c>
      <c r="AZ46" t="s">
        <v>74</v>
      </c>
      <c r="BA46" t="s">
        <v>74</v>
      </c>
      <c r="BB46">
        <v>439</v>
      </c>
      <c r="BC46">
        <v>450</v>
      </c>
      <c r="BD46" t="s">
        <v>74</v>
      </c>
      <c r="BE46" t="s">
        <v>1089</v>
      </c>
      <c r="BF46" t="str">
        <f>HYPERLINK("http://dx.doi.org/10.5194/tc-9-439-2015","http://dx.doi.org/10.5194/tc-9-439-2015")</f>
        <v>http://dx.doi.org/10.5194/tc-9-439-2015</v>
      </c>
      <c r="BG46" t="s">
        <v>74</v>
      </c>
      <c r="BH46" t="s">
        <v>74</v>
      </c>
      <c r="BI46">
        <v>12</v>
      </c>
      <c r="BJ46" t="s">
        <v>372</v>
      </c>
      <c r="BK46" t="s">
        <v>91</v>
      </c>
      <c r="BL46" t="s">
        <v>373</v>
      </c>
      <c r="BM46" t="s">
        <v>1090</v>
      </c>
      <c r="BN46" t="s">
        <v>74</v>
      </c>
      <c r="BO46" t="s">
        <v>255</v>
      </c>
      <c r="BP46" t="s">
        <v>74</v>
      </c>
      <c r="BQ46" t="s">
        <v>74</v>
      </c>
      <c r="BR46" t="s">
        <v>93</v>
      </c>
      <c r="BS46" t="s">
        <v>1091</v>
      </c>
      <c r="BT46" t="str">
        <f>HYPERLINK("https%3A%2F%2Fwww.webofscience.com%2Fwos%2Fwoscc%2Ffull-record%2FWOS:000353878400002","View Full Record in Web of Science")</f>
        <v>View Full Record in Web of Science</v>
      </c>
    </row>
    <row r="47" spans="1:72" x14ac:dyDescent="0.15">
      <c r="A47" t="s">
        <v>72</v>
      </c>
      <c r="B47" t="s">
        <v>1092</v>
      </c>
      <c r="C47" t="s">
        <v>74</v>
      </c>
      <c r="D47" t="s">
        <v>74</v>
      </c>
      <c r="E47" t="s">
        <v>74</v>
      </c>
      <c r="F47" t="s">
        <v>1093</v>
      </c>
      <c r="G47" t="s">
        <v>74</v>
      </c>
      <c r="H47" t="s">
        <v>74</v>
      </c>
      <c r="I47" t="s">
        <v>1094</v>
      </c>
      <c r="J47" t="s">
        <v>1074</v>
      </c>
      <c r="K47" t="s">
        <v>74</v>
      </c>
      <c r="L47" t="s">
        <v>74</v>
      </c>
      <c r="M47" t="s">
        <v>78</v>
      </c>
      <c r="N47" t="s">
        <v>99</v>
      </c>
      <c r="O47" t="s">
        <v>74</v>
      </c>
      <c r="P47" t="s">
        <v>74</v>
      </c>
      <c r="Q47" t="s">
        <v>74</v>
      </c>
      <c r="R47" t="s">
        <v>74</v>
      </c>
      <c r="S47" t="s">
        <v>74</v>
      </c>
      <c r="T47" t="s">
        <v>74</v>
      </c>
      <c r="U47" t="s">
        <v>1095</v>
      </c>
      <c r="V47" t="s">
        <v>1096</v>
      </c>
      <c r="W47" t="s">
        <v>1097</v>
      </c>
      <c r="X47" t="s">
        <v>1098</v>
      </c>
      <c r="Y47" t="s">
        <v>1099</v>
      </c>
      <c r="Z47" t="s">
        <v>1100</v>
      </c>
      <c r="AA47" t="s">
        <v>74</v>
      </c>
      <c r="AB47" t="s">
        <v>74</v>
      </c>
      <c r="AC47" t="s">
        <v>1101</v>
      </c>
      <c r="AD47" t="s">
        <v>1102</v>
      </c>
      <c r="AE47" t="s">
        <v>1103</v>
      </c>
      <c r="AF47" t="s">
        <v>74</v>
      </c>
      <c r="AG47">
        <v>59</v>
      </c>
      <c r="AH47">
        <v>8</v>
      </c>
      <c r="AI47">
        <v>9</v>
      </c>
      <c r="AJ47">
        <v>0</v>
      </c>
      <c r="AK47">
        <v>8</v>
      </c>
      <c r="AL47" t="s">
        <v>244</v>
      </c>
      <c r="AM47" t="s">
        <v>245</v>
      </c>
      <c r="AN47" t="s">
        <v>246</v>
      </c>
      <c r="AO47" t="s">
        <v>1086</v>
      </c>
      <c r="AP47" t="s">
        <v>1087</v>
      </c>
      <c r="AQ47" t="s">
        <v>74</v>
      </c>
      <c r="AR47" t="s">
        <v>1074</v>
      </c>
      <c r="AS47" t="s">
        <v>1088</v>
      </c>
      <c r="AT47" t="s">
        <v>74</v>
      </c>
      <c r="AU47">
        <v>2015</v>
      </c>
      <c r="AV47">
        <v>9</v>
      </c>
      <c r="AW47">
        <v>2</v>
      </c>
      <c r="AX47" t="s">
        <v>74</v>
      </c>
      <c r="AY47" t="s">
        <v>74</v>
      </c>
      <c r="AZ47" t="s">
        <v>74</v>
      </c>
      <c r="BA47" t="s">
        <v>74</v>
      </c>
      <c r="BB47">
        <v>541</v>
      </c>
      <c r="BC47">
        <v>556</v>
      </c>
      <c r="BD47" t="s">
        <v>74</v>
      </c>
      <c r="BE47" t="s">
        <v>1104</v>
      </c>
      <c r="BF47" t="str">
        <f>HYPERLINK("http://dx.doi.org/10.5194/tc-9-541-2015","http://dx.doi.org/10.5194/tc-9-541-2015")</f>
        <v>http://dx.doi.org/10.5194/tc-9-541-2015</v>
      </c>
      <c r="BG47" t="s">
        <v>74</v>
      </c>
      <c r="BH47" t="s">
        <v>74</v>
      </c>
      <c r="BI47">
        <v>16</v>
      </c>
      <c r="BJ47" t="s">
        <v>372</v>
      </c>
      <c r="BK47" t="s">
        <v>91</v>
      </c>
      <c r="BL47" t="s">
        <v>373</v>
      </c>
      <c r="BM47" t="s">
        <v>1090</v>
      </c>
      <c r="BN47" t="s">
        <v>74</v>
      </c>
      <c r="BO47" t="s">
        <v>720</v>
      </c>
      <c r="BP47" t="s">
        <v>74</v>
      </c>
      <c r="BQ47" t="s">
        <v>74</v>
      </c>
      <c r="BR47" t="s">
        <v>93</v>
      </c>
      <c r="BS47" t="s">
        <v>1105</v>
      </c>
      <c r="BT47" t="str">
        <f>HYPERLINK("https%3A%2F%2Fwww.webofscience.com%2Fwos%2Fwoscc%2Ffull-record%2FWOS:000353878400009","View Full Record in Web of Science")</f>
        <v>View Full Record in Web of Science</v>
      </c>
    </row>
    <row r="48" spans="1:72" x14ac:dyDescent="0.15">
      <c r="A48" t="s">
        <v>72</v>
      </c>
      <c r="B48" t="s">
        <v>1106</v>
      </c>
      <c r="C48" t="s">
        <v>74</v>
      </c>
      <c r="D48" t="s">
        <v>74</v>
      </c>
      <c r="E48" t="s">
        <v>74</v>
      </c>
      <c r="F48" t="s">
        <v>1107</v>
      </c>
      <c r="G48" t="s">
        <v>74</v>
      </c>
      <c r="H48" t="s">
        <v>74</v>
      </c>
      <c r="I48" t="s">
        <v>1108</v>
      </c>
      <c r="J48" t="s">
        <v>1074</v>
      </c>
      <c r="K48" t="s">
        <v>74</v>
      </c>
      <c r="L48" t="s">
        <v>74</v>
      </c>
      <c r="M48" t="s">
        <v>78</v>
      </c>
      <c r="N48" t="s">
        <v>99</v>
      </c>
      <c r="O48" t="s">
        <v>74</v>
      </c>
      <c r="P48" t="s">
        <v>74</v>
      </c>
      <c r="Q48" t="s">
        <v>74</v>
      </c>
      <c r="R48" t="s">
        <v>74</v>
      </c>
      <c r="S48" t="s">
        <v>74</v>
      </c>
      <c r="T48" t="s">
        <v>74</v>
      </c>
      <c r="U48" t="s">
        <v>1109</v>
      </c>
      <c r="V48" t="s">
        <v>1110</v>
      </c>
      <c r="W48" t="s">
        <v>1111</v>
      </c>
      <c r="X48" t="s">
        <v>1112</v>
      </c>
      <c r="Y48" t="s">
        <v>1113</v>
      </c>
      <c r="Z48" t="s">
        <v>1114</v>
      </c>
      <c r="AA48" t="s">
        <v>1115</v>
      </c>
      <c r="AB48" t="s">
        <v>1116</v>
      </c>
      <c r="AC48" t="s">
        <v>1117</v>
      </c>
      <c r="AD48" t="s">
        <v>1118</v>
      </c>
      <c r="AE48" t="s">
        <v>1119</v>
      </c>
      <c r="AF48" t="s">
        <v>74</v>
      </c>
      <c r="AG48">
        <v>75</v>
      </c>
      <c r="AH48">
        <v>7</v>
      </c>
      <c r="AI48">
        <v>8</v>
      </c>
      <c r="AJ48">
        <v>0</v>
      </c>
      <c r="AK48">
        <v>13</v>
      </c>
      <c r="AL48" t="s">
        <v>244</v>
      </c>
      <c r="AM48" t="s">
        <v>245</v>
      </c>
      <c r="AN48" t="s">
        <v>246</v>
      </c>
      <c r="AO48" t="s">
        <v>1086</v>
      </c>
      <c r="AP48" t="s">
        <v>1087</v>
      </c>
      <c r="AQ48" t="s">
        <v>74</v>
      </c>
      <c r="AR48" t="s">
        <v>1074</v>
      </c>
      <c r="AS48" t="s">
        <v>1088</v>
      </c>
      <c r="AT48" t="s">
        <v>74</v>
      </c>
      <c r="AU48">
        <v>2015</v>
      </c>
      <c r="AV48">
        <v>9</v>
      </c>
      <c r="AW48">
        <v>2</v>
      </c>
      <c r="AX48" t="s">
        <v>74</v>
      </c>
      <c r="AY48" t="s">
        <v>74</v>
      </c>
      <c r="AZ48" t="s">
        <v>74</v>
      </c>
      <c r="BA48" t="s">
        <v>74</v>
      </c>
      <c r="BB48">
        <v>675</v>
      </c>
      <c r="BC48">
        <v>690</v>
      </c>
      <c r="BD48" t="s">
        <v>74</v>
      </c>
      <c r="BE48" t="s">
        <v>1120</v>
      </c>
      <c r="BF48" t="str">
        <f>HYPERLINK("http://dx.doi.org/10.5194/tc-9-675-2015","http://dx.doi.org/10.5194/tc-9-675-2015")</f>
        <v>http://dx.doi.org/10.5194/tc-9-675-2015</v>
      </c>
      <c r="BG48" t="s">
        <v>74</v>
      </c>
      <c r="BH48" t="s">
        <v>74</v>
      </c>
      <c r="BI48">
        <v>16</v>
      </c>
      <c r="BJ48" t="s">
        <v>372</v>
      </c>
      <c r="BK48" t="s">
        <v>91</v>
      </c>
      <c r="BL48" t="s">
        <v>373</v>
      </c>
      <c r="BM48" t="s">
        <v>1090</v>
      </c>
      <c r="BN48" t="s">
        <v>74</v>
      </c>
      <c r="BO48" t="s">
        <v>255</v>
      </c>
      <c r="BP48" t="s">
        <v>74</v>
      </c>
      <c r="BQ48" t="s">
        <v>74</v>
      </c>
      <c r="BR48" t="s">
        <v>93</v>
      </c>
      <c r="BS48" t="s">
        <v>1121</v>
      </c>
      <c r="BT48" t="str">
        <f>HYPERLINK("https%3A%2F%2Fwww.webofscience.com%2Fwos%2Fwoscc%2Ffull-record%2FWOS:000353878400018","View Full Record in Web of Science")</f>
        <v>View Full Record in Web of Science</v>
      </c>
    </row>
    <row r="49" spans="1:72" x14ac:dyDescent="0.15">
      <c r="A49" t="s">
        <v>72</v>
      </c>
      <c r="B49" t="s">
        <v>1122</v>
      </c>
      <c r="C49" t="s">
        <v>74</v>
      </c>
      <c r="D49" t="s">
        <v>74</v>
      </c>
      <c r="E49" t="s">
        <v>74</v>
      </c>
      <c r="F49" t="s">
        <v>1123</v>
      </c>
      <c r="G49" t="s">
        <v>74</v>
      </c>
      <c r="H49" t="s">
        <v>74</v>
      </c>
      <c r="I49" t="s">
        <v>1124</v>
      </c>
      <c r="J49" t="s">
        <v>1074</v>
      </c>
      <c r="K49" t="s">
        <v>74</v>
      </c>
      <c r="L49" t="s">
        <v>74</v>
      </c>
      <c r="M49" t="s">
        <v>78</v>
      </c>
      <c r="N49" t="s">
        <v>99</v>
      </c>
      <c r="O49" t="s">
        <v>74</v>
      </c>
      <c r="P49" t="s">
        <v>74</v>
      </c>
      <c r="Q49" t="s">
        <v>74</v>
      </c>
      <c r="R49" t="s">
        <v>74</v>
      </c>
      <c r="S49" t="s">
        <v>74</v>
      </c>
      <c r="T49" t="s">
        <v>74</v>
      </c>
      <c r="U49" t="s">
        <v>1125</v>
      </c>
      <c r="V49" t="s">
        <v>1126</v>
      </c>
      <c r="W49" t="s">
        <v>1127</v>
      </c>
      <c r="X49" t="s">
        <v>1128</v>
      </c>
      <c r="Y49" t="s">
        <v>1129</v>
      </c>
      <c r="Z49" t="s">
        <v>1130</v>
      </c>
      <c r="AA49" t="s">
        <v>74</v>
      </c>
      <c r="AB49" t="s">
        <v>74</v>
      </c>
      <c r="AC49" t="s">
        <v>1131</v>
      </c>
      <c r="AD49" t="s">
        <v>1132</v>
      </c>
      <c r="AE49" t="s">
        <v>1133</v>
      </c>
      <c r="AF49" t="s">
        <v>74</v>
      </c>
      <c r="AG49">
        <v>58</v>
      </c>
      <c r="AH49">
        <v>36</v>
      </c>
      <c r="AI49">
        <v>37</v>
      </c>
      <c r="AJ49">
        <v>0</v>
      </c>
      <c r="AK49">
        <v>16</v>
      </c>
      <c r="AL49" t="s">
        <v>244</v>
      </c>
      <c r="AM49" t="s">
        <v>245</v>
      </c>
      <c r="AN49" t="s">
        <v>246</v>
      </c>
      <c r="AO49" t="s">
        <v>1086</v>
      </c>
      <c r="AP49" t="s">
        <v>1087</v>
      </c>
      <c r="AQ49" t="s">
        <v>74</v>
      </c>
      <c r="AR49" t="s">
        <v>1074</v>
      </c>
      <c r="AS49" t="s">
        <v>1088</v>
      </c>
      <c r="AT49" t="s">
        <v>74</v>
      </c>
      <c r="AU49">
        <v>2015</v>
      </c>
      <c r="AV49">
        <v>9</v>
      </c>
      <c r="AW49">
        <v>3</v>
      </c>
      <c r="AX49" t="s">
        <v>74</v>
      </c>
      <c r="AY49" t="s">
        <v>74</v>
      </c>
      <c r="AZ49" t="s">
        <v>74</v>
      </c>
      <c r="BA49" t="s">
        <v>74</v>
      </c>
      <c r="BB49">
        <v>925</v>
      </c>
      <c r="BC49">
        <v>944</v>
      </c>
      <c r="BD49" t="s">
        <v>74</v>
      </c>
      <c r="BE49" t="s">
        <v>1134</v>
      </c>
      <c r="BF49" t="str">
        <f>HYPERLINK("http://dx.doi.org/10.5194/tc-9-925-2015","http://dx.doi.org/10.5194/tc-9-925-2015")</f>
        <v>http://dx.doi.org/10.5194/tc-9-925-2015</v>
      </c>
      <c r="BG49" t="s">
        <v>74</v>
      </c>
      <c r="BH49" t="s">
        <v>74</v>
      </c>
      <c r="BI49">
        <v>20</v>
      </c>
      <c r="BJ49" t="s">
        <v>372</v>
      </c>
      <c r="BK49" t="s">
        <v>91</v>
      </c>
      <c r="BL49" t="s">
        <v>373</v>
      </c>
      <c r="BM49" t="s">
        <v>1135</v>
      </c>
      <c r="BN49" t="s">
        <v>74</v>
      </c>
      <c r="BO49" t="s">
        <v>1136</v>
      </c>
      <c r="BP49" t="s">
        <v>74</v>
      </c>
      <c r="BQ49" t="s">
        <v>74</v>
      </c>
      <c r="BR49" t="s">
        <v>93</v>
      </c>
      <c r="BS49" t="s">
        <v>1137</v>
      </c>
      <c r="BT49" t="str">
        <f>HYPERLINK("https%3A%2F%2Fwww.webofscience.com%2Fwos%2Fwoscc%2Ffull-record%2FWOS:000354442400007","View Full Record in Web of Science")</f>
        <v>View Full Record in Web of Science</v>
      </c>
    </row>
    <row r="50" spans="1:72" x14ac:dyDescent="0.15">
      <c r="A50" t="s">
        <v>72</v>
      </c>
      <c r="B50" t="s">
        <v>1138</v>
      </c>
      <c r="C50" t="s">
        <v>74</v>
      </c>
      <c r="D50" t="s">
        <v>74</v>
      </c>
      <c r="E50" t="s">
        <v>74</v>
      </c>
      <c r="F50" t="s">
        <v>1139</v>
      </c>
      <c r="G50" t="s">
        <v>74</v>
      </c>
      <c r="H50" t="s">
        <v>74</v>
      </c>
      <c r="I50" t="s">
        <v>1140</v>
      </c>
      <c r="J50" t="s">
        <v>419</v>
      </c>
      <c r="K50" t="s">
        <v>74</v>
      </c>
      <c r="L50" t="s">
        <v>74</v>
      </c>
      <c r="M50" t="s">
        <v>78</v>
      </c>
      <c r="N50" t="s">
        <v>99</v>
      </c>
      <c r="O50" t="s">
        <v>74</v>
      </c>
      <c r="P50" t="s">
        <v>74</v>
      </c>
      <c r="Q50" t="s">
        <v>74</v>
      </c>
      <c r="R50" t="s">
        <v>74</v>
      </c>
      <c r="S50" t="s">
        <v>74</v>
      </c>
      <c r="T50" t="s">
        <v>1141</v>
      </c>
      <c r="U50" t="s">
        <v>1142</v>
      </c>
      <c r="V50" t="s">
        <v>1143</v>
      </c>
      <c r="W50" t="s">
        <v>1144</v>
      </c>
      <c r="X50" t="s">
        <v>1145</v>
      </c>
      <c r="Y50" t="s">
        <v>1146</v>
      </c>
      <c r="Z50" t="s">
        <v>1147</v>
      </c>
      <c r="AA50" t="s">
        <v>1148</v>
      </c>
      <c r="AB50" t="s">
        <v>1149</v>
      </c>
      <c r="AC50" t="s">
        <v>1150</v>
      </c>
      <c r="AD50" t="s">
        <v>1151</v>
      </c>
      <c r="AE50" t="s">
        <v>1152</v>
      </c>
      <c r="AF50" t="s">
        <v>74</v>
      </c>
      <c r="AG50">
        <v>32</v>
      </c>
      <c r="AH50">
        <v>13</v>
      </c>
      <c r="AI50">
        <v>13</v>
      </c>
      <c r="AJ50">
        <v>0</v>
      </c>
      <c r="AK50">
        <v>16</v>
      </c>
      <c r="AL50" t="s">
        <v>1061</v>
      </c>
      <c r="AM50" t="s">
        <v>1062</v>
      </c>
      <c r="AN50" t="s">
        <v>1063</v>
      </c>
      <c r="AO50" t="s">
        <v>417</v>
      </c>
      <c r="AP50" t="s">
        <v>418</v>
      </c>
      <c r="AQ50" t="s">
        <v>74</v>
      </c>
      <c r="AR50" t="s">
        <v>419</v>
      </c>
      <c r="AS50" t="s">
        <v>420</v>
      </c>
      <c r="AT50" t="s">
        <v>74</v>
      </c>
      <c r="AU50">
        <v>2015</v>
      </c>
      <c r="AV50">
        <v>115</v>
      </c>
      <c r="AW50">
        <v>2</v>
      </c>
      <c r="AX50" t="s">
        <v>74</v>
      </c>
      <c r="AY50" t="s">
        <v>74</v>
      </c>
      <c r="AZ50" t="s">
        <v>74</v>
      </c>
      <c r="BA50" t="s">
        <v>74</v>
      </c>
      <c r="BB50">
        <v>185</v>
      </c>
      <c r="BC50">
        <v>189</v>
      </c>
      <c r="BD50" t="s">
        <v>74</v>
      </c>
      <c r="BE50" t="s">
        <v>1153</v>
      </c>
      <c r="BF50" t="str">
        <f>HYPERLINK("http://dx.doi.org/10.1071/MU14068","http://dx.doi.org/10.1071/MU14068")</f>
        <v>http://dx.doi.org/10.1071/MU14068</v>
      </c>
      <c r="BG50" t="s">
        <v>74</v>
      </c>
      <c r="BH50" t="s">
        <v>74</v>
      </c>
      <c r="BI50">
        <v>5</v>
      </c>
      <c r="BJ50" t="s">
        <v>422</v>
      </c>
      <c r="BK50" t="s">
        <v>91</v>
      </c>
      <c r="BL50" t="s">
        <v>423</v>
      </c>
      <c r="BM50" t="s">
        <v>1154</v>
      </c>
      <c r="BN50" t="s">
        <v>74</v>
      </c>
      <c r="BO50" t="s">
        <v>74</v>
      </c>
      <c r="BP50" t="s">
        <v>74</v>
      </c>
      <c r="BQ50" t="s">
        <v>74</v>
      </c>
      <c r="BR50" t="s">
        <v>93</v>
      </c>
      <c r="BS50" t="s">
        <v>1155</v>
      </c>
      <c r="BT50" t="str">
        <f>HYPERLINK("https%3A%2F%2Fwww.webofscience.com%2Fwos%2Fwoscc%2Ffull-record%2FWOS:000354177600011","View Full Record in Web of Science")</f>
        <v>View Full Record in Web of Science</v>
      </c>
    </row>
    <row r="51" spans="1:72" x14ac:dyDescent="0.15">
      <c r="A51" t="s">
        <v>295</v>
      </c>
      <c r="B51" t="s">
        <v>1156</v>
      </c>
      <c r="C51" t="s">
        <v>74</v>
      </c>
      <c r="D51" t="s">
        <v>1157</v>
      </c>
      <c r="E51" t="s">
        <v>74</v>
      </c>
      <c r="F51" t="s">
        <v>1158</v>
      </c>
      <c r="G51" t="s">
        <v>74</v>
      </c>
      <c r="H51" t="s">
        <v>74</v>
      </c>
      <c r="I51" t="s">
        <v>1159</v>
      </c>
      <c r="J51" t="s">
        <v>1160</v>
      </c>
      <c r="K51" t="s">
        <v>1161</v>
      </c>
      <c r="L51" t="s">
        <v>74</v>
      </c>
      <c r="M51" t="s">
        <v>78</v>
      </c>
      <c r="N51" t="s">
        <v>301</v>
      </c>
      <c r="O51" t="s">
        <v>1162</v>
      </c>
      <c r="P51" t="s">
        <v>1163</v>
      </c>
      <c r="Q51" t="s">
        <v>1164</v>
      </c>
      <c r="R51" t="s">
        <v>74</v>
      </c>
      <c r="S51" t="s">
        <v>1165</v>
      </c>
      <c r="T51" t="s">
        <v>1166</v>
      </c>
      <c r="U51" t="s">
        <v>1167</v>
      </c>
      <c r="V51" t="s">
        <v>1168</v>
      </c>
      <c r="W51" t="s">
        <v>1169</v>
      </c>
      <c r="X51" t="s">
        <v>1170</v>
      </c>
      <c r="Y51" t="s">
        <v>1171</v>
      </c>
      <c r="Z51" t="s">
        <v>1172</v>
      </c>
      <c r="AA51" t="s">
        <v>1173</v>
      </c>
      <c r="AB51" t="s">
        <v>1174</v>
      </c>
      <c r="AC51" t="s">
        <v>74</v>
      </c>
      <c r="AD51" t="s">
        <v>74</v>
      </c>
      <c r="AE51" t="s">
        <v>74</v>
      </c>
      <c r="AF51" t="s">
        <v>74</v>
      </c>
      <c r="AG51">
        <v>21</v>
      </c>
      <c r="AH51">
        <v>20</v>
      </c>
      <c r="AI51">
        <v>27</v>
      </c>
      <c r="AJ51">
        <v>3</v>
      </c>
      <c r="AK51">
        <v>23</v>
      </c>
      <c r="AL51" t="s">
        <v>1175</v>
      </c>
      <c r="AM51" t="s">
        <v>1176</v>
      </c>
      <c r="AN51" t="s">
        <v>1177</v>
      </c>
      <c r="AO51" t="s">
        <v>1178</v>
      </c>
      <c r="AP51" t="s">
        <v>74</v>
      </c>
      <c r="AQ51" t="s">
        <v>74</v>
      </c>
      <c r="AR51" t="s">
        <v>1179</v>
      </c>
      <c r="AS51" t="s">
        <v>74</v>
      </c>
      <c r="AT51" t="s">
        <v>74</v>
      </c>
      <c r="AU51">
        <v>2015</v>
      </c>
      <c r="AV51">
        <v>4</v>
      </c>
      <c r="AW51" t="s">
        <v>74</v>
      </c>
      <c r="AX51" t="s">
        <v>74</v>
      </c>
      <c r="AY51" t="s">
        <v>74</v>
      </c>
      <c r="AZ51" t="s">
        <v>74</v>
      </c>
      <c r="BA51" t="s">
        <v>74</v>
      </c>
      <c r="BB51">
        <v>125</v>
      </c>
      <c r="BC51">
        <v>132</v>
      </c>
      <c r="BD51" t="s">
        <v>74</v>
      </c>
      <c r="BE51" t="s">
        <v>1180</v>
      </c>
      <c r="BF51" t="str">
        <f>HYPERLINK("http://dx.doi.org/10.1016/j.aqpro.2015.02.018","http://dx.doi.org/10.1016/j.aqpro.2015.02.018")</f>
        <v>http://dx.doi.org/10.1016/j.aqpro.2015.02.018</v>
      </c>
      <c r="BG51" t="s">
        <v>74</v>
      </c>
      <c r="BH51" t="s">
        <v>74</v>
      </c>
      <c r="BI51">
        <v>8</v>
      </c>
      <c r="BJ51" t="s">
        <v>1181</v>
      </c>
      <c r="BK51" t="s">
        <v>320</v>
      </c>
      <c r="BL51" t="s">
        <v>1182</v>
      </c>
      <c r="BM51" t="s">
        <v>1183</v>
      </c>
      <c r="BN51" t="s">
        <v>74</v>
      </c>
      <c r="BO51" t="s">
        <v>134</v>
      </c>
      <c r="BP51" t="s">
        <v>74</v>
      </c>
      <c r="BQ51" t="s">
        <v>74</v>
      </c>
      <c r="BR51" t="s">
        <v>93</v>
      </c>
      <c r="BS51" t="s">
        <v>1184</v>
      </c>
      <c r="BT51" t="str">
        <f>HYPERLINK("https%3A%2F%2Fwww.webofscience.com%2Fwos%2Fwoscc%2Ffull-record%2FWOS:000353455800017","View Full Record in Web of Science")</f>
        <v>View Full Record in Web of Science</v>
      </c>
    </row>
    <row r="52" spans="1:72" x14ac:dyDescent="0.15">
      <c r="A52" t="s">
        <v>295</v>
      </c>
      <c r="B52" t="s">
        <v>1185</v>
      </c>
      <c r="C52" t="s">
        <v>74</v>
      </c>
      <c r="D52" t="s">
        <v>1157</v>
      </c>
      <c r="E52" t="s">
        <v>74</v>
      </c>
      <c r="F52" t="s">
        <v>1186</v>
      </c>
      <c r="G52" t="s">
        <v>74</v>
      </c>
      <c r="H52" t="s">
        <v>74</v>
      </c>
      <c r="I52" t="s">
        <v>1187</v>
      </c>
      <c r="J52" t="s">
        <v>1160</v>
      </c>
      <c r="K52" t="s">
        <v>1161</v>
      </c>
      <c r="L52" t="s">
        <v>74</v>
      </c>
      <c r="M52" t="s">
        <v>78</v>
      </c>
      <c r="N52" t="s">
        <v>301</v>
      </c>
      <c r="O52" t="s">
        <v>1162</v>
      </c>
      <c r="P52" t="s">
        <v>1163</v>
      </c>
      <c r="Q52" t="s">
        <v>1164</v>
      </c>
      <c r="R52" t="s">
        <v>74</v>
      </c>
      <c r="S52" t="s">
        <v>1165</v>
      </c>
      <c r="T52" t="s">
        <v>1188</v>
      </c>
      <c r="U52" t="s">
        <v>1189</v>
      </c>
      <c r="V52" t="s">
        <v>1190</v>
      </c>
      <c r="W52" t="s">
        <v>1191</v>
      </c>
      <c r="X52" t="s">
        <v>1192</v>
      </c>
      <c r="Y52" t="s">
        <v>1193</v>
      </c>
      <c r="Z52" t="s">
        <v>1172</v>
      </c>
      <c r="AA52" t="s">
        <v>1173</v>
      </c>
      <c r="AB52" t="s">
        <v>1174</v>
      </c>
      <c r="AC52" t="s">
        <v>74</v>
      </c>
      <c r="AD52" t="s">
        <v>74</v>
      </c>
      <c r="AE52" t="s">
        <v>74</v>
      </c>
      <c r="AF52" t="s">
        <v>74</v>
      </c>
      <c r="AG52">
        <v>24</v>
      </c>
      <c r="AH52">
        <v>5</v>
      </c>
      <c r="AI52">
        <v>5</v>
      </c>
      <c r="AJ52">
        <v>0</v>
      </c>
      <c r="AK52">
        <v>7</v>
      </c>
      <c r="AL52" t="s">
        <v>1175</v>
      </c>
      <c r="AM52" t="s">
        <v>1176</v>
      </c>
      <c r="AN52" t="s">
        <v>1177</v>
      </c>
      <c r="AO52" t="s">
        <v>1178</v>
      </c>
      <c r="AP52" t="s">
        <v>74</v>
      </c>
      <c r="AQ52" t="s">
        <v>74</v>
      </c>
      <c r="AR52" t="s">
        <v>1179</v>
      </c>
      <c r="AS52" t="s">
        <v>74</v>
      </c>
      <c r="AT52" t="s">
        <v>74</v>
      </c>
      <c r="AU52">
        <v>2015</v>
      </c>
      <c r="AV52">
        <v>4</v>
      </c>
      <c r="AW52" t="s">
        <v>74</v>
      </c>
      <c r="AX52" t="s">
        <v>74</v>
      </c>
      <c r="AY52" t="s">
        <v>74</v>
      </c>
      <c r="AZ52" t="s">
        <v>74</v>
      </c>
      <c r="BA52" t="s">
        <v>74</v>
      </c>
      <c r="BB52">
        <v>157</v>
      </c>
      <c r="BC52">
        <v>164</v>
      </c>
      <c r="BD52" t="s">
        <v>74</v>
      </c>
      <c r="BE52" t="s">
        <v>1194</v>
      </c>
      <c r="BF52" t="str">
        <f>HYPERLINK("http://dx.doi.org/10.1016/j.aqpro.2015.02.022","http://dx.doi.org/10.1016/j.aqpro.2015.02.022")</f>
        <v>http://dx.doi.org/10.1016/j.aqpro.2015.02.022</v>
      </c>
      <c r="BG52" t="s">
        <v>74</v>
      </c>
      <c r="BH52" t="s">
        <v>74</v>
      </c>
      <c r="BI52">
        <v>8</v>
      </c>
      <c r="BJ52" t="s">
        <v>1181</v>
      </c>
      <c r="BK52" t="s">
        <v>320</v>
      </c>
      <c r="BL52" t="s">
        <v>1182</v>
      </c>
      <c r="BM52" t="s">
        <v>1183</v>
      </c>
      <c r="BN52" t="s">
        <v>74</v>
      </c>
      <c r="BO52" t="s">
        <v>134</v>
      </c>
      <c r="BP52" t="s">
        <v>74</v>
      </c>
      <c r="BQ52" t="s">
        <v>74</v>
      </c>
      <c r="BR52" t="s">
        <v>93</v>
      </c>
      <c r="BS52" t="s">
        <v>1195</v>
      </c>
      <c r="BT52" t="str">
        <f>HYPERLINK("https%3A%2F%2Fwww.webofscience.com%2Fwos%2Fwoscc%2Ffull-record%2FWOS:000353455800021","View Full Record in Web of Science")</f>
        <v>View Full Record in Web of Science</v>
      </c>
    </row>
    <row r="53" spans="1:72" x14ac:dyDescent="0.15">
      <c r="A53" t="s">
        <v>295</v>
      </c>
      <c r="B53" t="s">
        <v>1156</v>
      </c>
      <c r="C53" t="s">
        <v>74</v>
      </c>
      <c r="D53" t="s">
        <v>1157</v>
      </c>
      <c r="E53" t="s">
        <v>74</v>
      </c>
      <c r="F53" t="s">
        <v>1158</v>
      </c>
      <c r="G53" t="s">
        <v>74</v>
      </c>
      <c r="H53" t="s">
        <v>74</v>
      </c>
      <c r="I53" t="s">
        <v>1196</v>
      </c>
      <c r="J53" t="s">
        <v>1160</v>
      </c>
      <c r="K53" t="s">
        <v>1161</v>
      </c>
      <c r="L53" t="s">
        <v>74</v>
      </c>
      <c r="M53" t="s">
        <v>78</v>
      </c>
      <c r="N53" t="s">
        <v>301</v>
      </c>
      <c r="O53" t="s">
        <v>1162</v>
      </c>
      <c r="P53" t="s">
        <v>1163</v>
      </c>
      <c r="Q53" t="s">
        <v>1164</v>
      </c>
      <c r="R53" t="s">
        <v>74</v>
      </c>
      <c r="S53" t="s">
        <v>1165</v>
      </c>
      <c r="T53" t="s">
        <v>1197</v>
      </c>
      <c r="U53" t="s">
        <v>1198</v>
      </c>
      <c r="V53" t="s">
        <v>1199</v>
      </c>
      <c r="W53" t="s">
        <v>1169</v>
      </c>
      <c r="X53" t="s">
        <v>1200</v>
      </c>
      <c r="Y53" t="s">
        <v>1171</v>
      </c>
      <c r="Z53" t="s">
        <v>1172</v>
      </c>
      <c r="AA53" t="s">
        <v>1173</v>
      </c>
      <c r="AB53" t="s">
        <v>1174</v>
      </c>
      <c r="AC53" t="s">
        <v>74</v>
      </c>
      <c r="AD53" t="s">
        <v>74</v>
      </c>
      <c r="AE53" t="s">
        <v>74</v>
      </c>
      <c r="AF53" t="s">
        <v>74</v>
      </c>
      <c r="AG53">
        <v>25</v>
      </c>
      <c r="AH53">
        <v>15</v>
      </c>
      <c r="AI53">
        <v>17</v>
      </c>
      <c r="AJ53">
        <v>0</v>
      </c>
      <c r="AK53">
        <v>11</v>
      </c>
      <c r="AL53" t="s">
        <v>1175</v>
      </c>
      <c r="AM53" t="s">
        <v>1176</v>
      </c>
      <c r="AN53" t="s">
        <v>1177</v>
      </c>
      <c r="AO53" t="s">
        <v>1178</v>
      </c>
      <c r="AP53" t="s">
        <v>74</v>
      </c>
      <c r="AQ53" t="s">
        <v>74</v>
      </c>
      <c r="AR53" t="s">
        <v>1179</v>
      </c>
      <c r="AS53" t="s">
        <v>74</v>
      </c>
      <c r="AT53" t="s">
        <v>74</v>
      </c>
      <c r="AU53">
        <v>2015</v>
      </c>
      <c r="AV53">
        <v>4</v>
      </c>
      <c r="AW53" t="s">
        <v>74</v>
      </c>
      <c r="AX53" t="s">
        <v>74</v>
      </c>
      <c r="AY53" t="s">
        <v>74</v>
      </c>
      <c r="AZ53" t="s">
        <v>74</v>
      </c>
      <c r="BA53" t="s">
        <v>74</v>
      </c>
      <c r="BB53">
        <v>1331</v>
      </c>
      <c r="BC53">
        <v>1338</v>
      </c>
      <c r="BD53" t="s">
        <v>74</v>
      </c>
      <c r="BE53" t="s">
        <v>1201</v>
      </c>
      <c r="BF53" t="str">
        <f>HYPERLINK("http://dx.doi.org/10.1016/j.aqpro.2015.02.173","http://dx.doi.org/10.1016/j.aqpro.2015.02.173")</f>
        <v>http://dx.doi.org/10.1016/j.aqpro.2015.02.173</v>
      </c>
      <c r="BG53" t="s">
        <v>74</v>
      </c>
      <c r="BH53" t="s">
        <v>74</v>
      </c>
      <c r="BI53">
        <v>8</v>
      </c>
      <c r="BJ53" t="s">
        <v>1181</v>
      </c>
      <c r="BK53" t="s">
        <v>320</v>
      </c>
      <c r="BL53" t="s">
        <v>1182</v>
      </c>
      <c r="BM53" t="s">
        <v>1183</v>
      </c>
      <c r="BN53" t="s">
        <v>74</v>
      </c>
      <c r="BO53" t="s">
        <v>134</v>
      </c>
      <c r="BP53" t="s">
        <v>74</v>
      </c>
      <c r="BQ53" t="s">
        <v>74</v>
      </c>
      <c r="BR53" t="s">
        <v>93</v>
      </c>
      <c r="BS53" t="s">
        <v>1202</v>
      </c>
      <c r="BT53" t="str">
        <f>HYPERLINK("https%3A%2F%2Fwww.webofscience.com%2Fwos%2Fwoscc%2Ffull-record%2FWOS:000353455800172","View Full Record in Web of Science")</f>
        <v>View Full Record in Web of Science</v>
      </c>
    </row>
    <row r="54" spans="1:72" x14ac:dyDescent="0.15">
      <c r="A54" t="s">
        <v>72</v>
      </c>
      <c r="B54" t="s">
        <v>1203</v>
      </c>
      <c r="C54" t="s">
        <v>74</v>
      </c>
      <c r="D54" t="s">
        <v>74</v>
      </c>
      <c r="E54" t="s">
        <v>74</v>
      </c>
      <c r="F54" t="s">
        <v>1204</v>
      </c>
      <c r="G54" t="s">
        <v>74</v>
      </c>
      <c r="H54" t="s">
        <v>74</v>
      </c>
      <c r="I54" t="s">
        <v>1205</v>
      </c>
      <c r="J54" t="s">
        <v>1206</v>
      </c>
      <c r="K54" t="s">
        <v>74</v>
      </c>
      <c r="L54" t="s">
        <v>74</v>
      </c>
      <c r="M54" t="s">
        <v>78</v>
      </c>
      <c r="N54" t="s">
        <v>99</v>
      </c>
      <c r="O54" t="s">
        <v>74</v>
      </c>
      <c r="P54" t="s">
        <v>74</v>
      </c>
      <c r="Q54" t="s">
        <v>74</v>
      </c>
      <c r="R54" t="s">
        <v>74</v>
      </c>
      <c r="S54" t="s">
        <v>74</v>
      </c>
      <c r="T54" t="s">
        <v>1207</v>
      </c>
      <c r="U54" t="s">
        <v>1208</v>
      </c>
      <c r="V54" t="s">
        <v>1209</v>
      </c>
      <c r="W54" t="s">
        <v>1210</v>
      </c>
      <c r="X54" t="s">
        <v>1211</v>
      </c>
      <c r="Y54" t="s">
        <v>1212</v>
      </c>
      <c r="Z54" t="s">
        <v>1213</v>
      </c>
      <c r="AA54" t="s">
        <v>1214</v>
      </c>
      <c r="AB54" t="s">
        <v>1215</v>
      </c>
      <c r="AC54" t="s">
        <v>1216</v>
      </c>
      <c r="AD54" t="s">
        <v>1217</v>
      </c>
      <c r="AE54" t="s">
        <v>1218</v>
      </c>
      <c r="AF54" t="s">
        <v>74</v>
      </c>
      <c r="AG54">
        <v>46</v>
      </c>
      <c r="AH54">
        <v>18</v>
      </c>
      <c r="AI54">
        <v>19</v>
      </c>
      <c r="AJ54">
        <v>3</v>
      </c>
      <c r="AK54">
        <v>23</v>
      </c>
      <c r="AL54" t="s">
        <v>1219</v>
      </c>
      <c r="AM54" t="s">
        <v>1220</v>
      </c>
      <c r="AN54" t="s">
        <v>1221</v>
      </c>
      <c r="AO54" t="s">
        <v>1222</v>
      </c>
      <c r="AP54" t="s">
        <v>1223</v>
      </c>
      <c r="AQ54" t="s">
        <v>74</v>
      </c>
      <c r="AR54" t="s">
        <v>1224</v>
      </c>
      <c r="AS54" t="s">
        <v>1225</v>
      </c>
      <c r="AT54" t="s">
        <v>74</v>
      </c>
      <c r="AU54">
        <v>2015</v>
      </c>
      <c r="AV54">
        <v>23</v>
      </c>
      <c r="AW54">
        <v>3</v>
      </c>
      <c r="AX54" t="s">
        <v>74</v>
      </c>
      <c r="AY54" t="s">
        <v>74</v>
      </c>
      <c r="AZ54" t="s">
        <v>74</v>
      </c>
      <c r="BA54" t="s">
        <v>74</v>
      </c>
      <c r="BB54">
        <v>225</v>
      </c>
      <c r="BC54">
        <v>235</v>
      </c>
      <c r="BD54" t="s">
        <v>74</v>
      </c>
      <c r="BE54" t="s">
        <v>1226</v>
      </c>
      <c r="BF54" t="str">
        <f>HYPERLINK("http://dx.doi.org/10.3354/ab00622","http://dx.doi.org/10.3354/ab00622")</f>
        <v>http://dx.doi.org/10.3354/ab00622</v>
      </c>
      <c r="BG54" t="s">
        <v>74</v>
      </c>
      <c r="BH54" t="s">
        <v>74</v>
      </c>
      <c r="BI54">
        <v>11</v>
      </c>
      <c r="BJ54" t="s">
        <v>1227</v>
      </c>
      <c r="BK54" t="s">
        <v>91</v>
      </c>
      <c r="BL54" t="s">
        <v>1227</v>
      </c>
      <c r="BM54" t="s">
        <v>1228</v>
      </c>
      <c r="BN54" t="s">
        <v>74</v>
      </c>
      <c r="BO54" t="s">
        <v>1136</v>
      </c>
      <c r="BP54" t="s">
        <v>74</v>
      </c>
      <c r="BQ54" t="s">
        <v>74</v>
      </c>
      <c r="BR54" t="s">
        <v>93</v>
      </c>
      <c r="BS54" t="s">
        <v>1229</v>
      </c>
      <c r="BT54" t="str">
        <f>HYPERLINK("https%3A%2F%2Fwww.webofscience.com%2Fwos%2Fwoscc%2Ffull-record%2FWOS:000353913500004","View Full Record in Web of Science")</f>
        <v>View Full Record in Web of Science</v>
      </c>
    </row>
    <row r="55" spans="1:72" x14ac:dyDescent="0.15">
      <c r="A55" t="s">
        <v>72</v>
      </c>
      <c r="B55" t="s">
        <v>1230</v>
      </c>
      <c r="C55" t="s">
        <v>74</v>
      </c>
      <c r="D55" t="s">
        <v>74</v>
      </c>
      <c r="E55" t="s">
        <v>74</v>
      </c>
      <c r="F55" t="s">
        <v>1231</v>
      </c>
      <c r="G55" t="s">
        <v>74</v>
      </c>
      <c r="H55" t="s">
        <v>74</v>
      </c>
      <c r="I55" t="s">
        <v>1232</v>
      </c>
      <c r="J55" t="s">
        <v>1233</v>
      </c>
      <c r="K55" t="s">
        <v>74</v>
      </c>
      <c r="L55" t="s">
        <v>74</v>
      </c>
      <c r="M55" t="s">
        <v>78</v>
      </c>
      <c r="N55" t="s">
        <v>99</v>
      </c>
      <c r="O55" t="s">
        <v>74</v>
      </c>
      <c r="P55" t="s">
        <v>74</v>
      </c>
      <c r="Q55" t="s">
        <v>74</v>
      </c>
      <c r="R55" t="s">
        <v>74</v>
      </c>
      <c r="S55" t="s">
        <v>74</v>
      </c>
      <c r="T55" t="s">
        <v>1234</v>
      </c>
      <c r="U55" t="s">
        <v>1235</v>
      </c>
      <c r="V55" t="s">
        <v>1236</v>
      </c>
      <c r="W55" t="s">
        <v>1237</v>
      </c>
      <c r="X55" t="s">
        <v>1238</v>
      </c>
      <c r="Y55" t="s">
        <v>1239</v>
      </c>
      <c r="Z55" t="s">
        <v>1240</v>
      </c>
      <c r="AA55" t="s">
        <v>1241</v>
      </c>
      <c r="AB55" t="s">
        <v>1242</v>
      </c>
      <c r="AC55" t="s">
        <v>1243</v>
      </c>
      <c r="AD55" t="s">
        <v>1244</v>
      </c>
      <c r="AE55" t="s">
        <v>1245</v>
      </c>
      <c r="AF55" t="s">
        <v>74</v>
      </c>
      <c r="AG55">
        <v>27</v>
      </c>
      <c r="AH55">
        <v>4</v>
      </c>
      <c r="AI55">
        <v>4</v>
      </c>
      <c r="AJ55">
        <v>0</v>
      </c>
      <c r="AK55">
        <v>9</v>
      </c>
      <c r="AL55" t="s">
        <v>1246</v>
      </c>
      <c r="AM55" t="s">
        <v>1247</v>
      </c>
      <c r="AN55" t="s">
        <v>1248</v>
      </c>
      <c r="AO55" t="s">
        <v>1249</v>
      </c>
      <c r="AP55" t="s">
        <v>1250</v>
      </c>
      <c r="AQ55" t="s">
        <v>74</v>
      </c>
      <c r="AR55" t="s">
        <v>1251</v>
      </c>
      <c r="AS55" t="s">
        <v>1252</v>
      </c>
      <c r="AT55" t="s">
        <v>74</v>
      </c>
      <c r="AU55">
        <v>2015</v>
      </c>
      <c r="AV55">
        <v>112</v>
      </c>
      <c r="AW55">
        <v>2</v>
      </c>
      <c r="AX55" t="s">
        <v>74</v>
      </c>
      <c r="AY55" t="s">
        <v>74</v>
      </c>
      <c r="AZ55" t="s">
        <v>74</v>
      </c>
      <c r="BA55" t="s">
        <v>74</v>
      </c>
      <c r="BB55">
        <v>334</v>
      </c>
      <c r="BC55">
        <v>343</v>
      </c>
      <c r="BD55" t="s">
        <v>74</v>
      </c>
      <c r="BE55" t="s">
        <v>1253</v>
      </c>
      <c r="BF55" t="str">
        <f>HYPERLINK("http://dx.doi.org/10.14411/eje.2015.032","http://dx.doi.org/10.14411/eje.2015.032")</f>
        <v>http://dx.doi.org/10.14411/eje.2015.032</v>
      </c>
      <c r="BG55" t="s">
        <v>74</v>
      </c>
      <c r="BH55" t="s">
        <v>74</v>
      </c>
      <c r="BI55">
        <v>10</v>
      </c>
      <c r="BJ55" t="s">
        <v>1254</v>
      </c>
      <c r="BK55" t="s">
        <v>91</v>
      </c>
      <c r="BL55" t="s">
        <v>1254</v>
      </c>
      <c r="BM55" t="s">
        <v>1255</v>
      </c>
      <c r="BN55" t="s">
        <v>74</v>
      </c>
      <c r="BO55" t="s">
        <v>255</v>
      </c>
      <c r="BP55" t="s">
        <v>74</v>
      </c>
      <c r="BQ55" t="s">
        <v>74</v>
      </c>
      <c r="BR55" t="s">
        <v>93</v>
      </c>
      <c r="BS55" t="s">
        <v>1256</v>
      </c>
      <c r="BT55" t="str">
        <f>HYPERLINK("https%3A%2F%2Fwww.webofscience.com%2Fwos%2Fwoscc%2Ffull-record%2FWOS:000353304300015","View Full Record in Web of Science")</f>
        <v>View Full Record in Web of Science</v>
      </c>
    </row>
    <row r="56" spans="1:72" x14ac:dyDescent="0.15">
      <c r="A56" t="s">
        <v>72</v>
      </c>
      <c r="B56" t="s">
        <v>1257</v>
      </c>
      <c r="C56" t="s">
        <v>74</v>
      </c>
      <c r="D56" t="s">
        <v>74</v>
      </c>
      <c r="E56" t="s">
        <v>74</v>
      </c>
      <c r="F56" t="s">
        <v>1258</v>
      </c>
      <c r="G56" t="s">
        <v>74</v>
      </c>
      <c r="H56" t="s">
        <v>74</v>
      </c>
      <c r="I56" t="s">
        <v>1259</v>
      </c>
      <c r="J56" t="s">
        <v>480</v>
      </c>
      <c r="K56" t="s">
        <v>74</v>
      </c>
      <c r="L56" t="s">
        <v>74</v>
      </c>
      <c r="M56" t="s">
        <v>78</v>
      </c>
      <c r="N56" t="s">
        <v>99</v>
      </c>
      <c r="O56" t="s">
        <v>74</v>
      </c>
      <c r="P56" t="s">
        <v>74</v>
      </c>
      <c r="Q56" t="s">
        <v>74</v>
      </c>
      <c r="R56" t="s">
        <v>74</v>
      </c>
      <c r="S56" t="s">
        <v>74</v>
      </c>
      <c r="T56" t="s">
        <v>74</v>
      </c>
      <c r="U56" t="s">
        <v>1260</v>
      </c>
      <c r="V56" t="s">
        <v>1261</v>
      </c>
      <c r="W56" t="s">
        <v>1262</v>
      </c>
      <c r="X56" t="s">
        <v>1263</v>
      </c>
      <c r="Y56" t="s">
        <v>1264</v>
      </c>
      <c r="Z56" t="s">
        <v>1265</v>
      </c>
      <c r="AA56" t="s">
        <v>1266</v>
      </c>
      <c r="AB56" t="s">
        <v>1267</v>
      </c>
      <c r="AC56" t="s">
        <v>1268</v>
      </c>
      <c r="AD56" t="s">
        <v>1269</v>
      </c>
      <c r="AE56" t="s">
        <v>1270</v>
      </c>
      <c r="AF56" t="s">
        <v>74</v>
      </c>
      <c r="AG56">
        <v>57</v>
      </c>
      <c r="AH56">
        <v>27</v>
      </c>
      <c r="AI56">
        <v>29</v>
      </c>
      <c r="AJ56">
        <v>0</v>
      </c>
      <c r="AK56">
        <v>11</v>
      </c>
      <c r="AL56" t="s">
        <v>244</v>
      </c>
      <c r="AM56" t="s">
        <v>245</v>
      </c>
      <c r="AN56" t="s">
        <v>246</v>
      </c>
      <c r="AO56" t="s">
        <v>492</v>
      </c>
      <c r="AP56" t="s">
        <v>493</v>
      </c>
      <c r="AQ56" t="s">
        <v>74</v>
      </c>
      <c r="AR56" t="s">
        <v>494</v>
      </c>
      <c r="AS56" t="s">
        <v>495</v>
      </c>
      <c r="AT56" t="s">
        <v>74</v>
      </c>
      <c r="AU56">
        <v>2015</v>
      </c>
      <c r="AV56">
        <v>15</v>
      </c>
      <c r="AW56">
        <v>7</v>
      </c>
      <c r="AX56" t="s">
        <v>74</v>
      </c>
      <c r="AY56" t="s">
        <v>74</v>
      </c>
      <c r="AZ56" t="s">
        <v>74</v>
      </c>
      <c r="BA56" t="s">
        <v>74</v>
      </c>
      <c r="BB56">
        <v>3873</v>
      </c>
      <c r="BC56">
        <v>3892</v>
      </c>
      <c r="BD56" t="s">
        <v>74</v>
      </c>
      <c r="BE56" t="s">
        <v>1271</v>
      </c>
      <c r="BF56" t="str">
        <f>HYPERLINK("http://dx.doi.org/10.5194/acp-15-3873-2015","http://dx.doi.org/10.5194/acp-15-3873-2015")</f>
        <v>http://dx.doi.org/10.5194/acp-15-3873-2015</v>
      </c>
      <c r="BG56" t="s">
        <v>74</v>
      </c>
      <c r="BH56" t="s">
        <v>74</v>
      </c>
      <c r="BI56">
        <v>20</v>
      </c>
      <c r="BJ56" t="s">
        <v>497</v>
      </c>
      <c r="BK56" t="s">
        <v>91</v>
      </c>
      <c r="BL56" t="s">
        <v>498</v>
      </c>
      <c r="BM56" t="s">
        <v>1272</v>
      </c>
      <c r="BN56" t="s">
        <v>74</v>
      </c>
      <c r="BO56" t="s">
        <v>255</v>
      </c>
      <c r="BP56" t="s">
        <v>74</v>
      </c>
      <c r="BQ56" t="s">
        <v>74</v>
      </c>
      <c r="BR56" t="s">
        <v>93</v>
      </c>
      <c r="BS56" t="s">
        <v>1273</v>
      </c>
      <c r="BT56" t="str">
        <f>HYPERLINK("https%3A%2F%2Fwww.webofscience.com%2Fwos%2Fwoscc%2Ffull-record%2FWOS:000352957400015","View Full Record in Web of Science")</f>
        <v>View Full Record in Web of Science</v>
      </c>
    </row>
    <row r="57" spans="1:72" x14ac:dyDescent="0.15">
      <c r="A57" t="s">
        <v>72</v>
      </c>
      <c r="B57" t="s">
        <v>1274</v>
      </c>
      <c r="C57" t="s">
        <v>74</v>
      </c>
      <c r="D57" t="s">
        <v>74</v>
      </c>
      <c r="E57" t="s">
        <v>74</v>
      </c>
      <c r="F57" t="s">
        <v>1275</v>
      </c>
      <c r="G57" t="s">
        <v>74</v>
      </c>
      <c r="H57" t="s">
        <v>74</v>
      </c>
      <c r="I57" t="s">
        <v>1276</v>
      </c>
      <c r="J57" t="s">
        <v>597</v>
      </c>
      <c r="K57" t="s">
        <v>74</v>
      </c>
      <c r="L57" t="s">
        <v>74</v>
      </c>
      <c r="M57" t="s">
        <v>78</v>
      </c>
      <c r="N57" t="s">
        <v>99</v>
      </c>
      <c r="O57" t="s">
        <v>74</v>
      </c>
      <c r="P57" t="s">
        <v>74</v>
      </c>
      <c r="Q57" t="s">
        <v>74</v>
      </c>
      <c r="R57" t="s">
        <v>74</v>
      </c>
      <c r="S57" t="s">
        <v>74</v>
      </c>
      <c r="T57" t="s">
        <v>74</v>
      </c>
      <c r="U57" t="s">
        <v>1277</v>
      </c>
      <c r="V57" t="s">
        <v>1278</v>
      </c>
      <c r="W57" t="s">
        <v>1279</v>
      </c>
      <c r="X57" t="s">
        <v>1280</v>
      </c>
      <c r="Y57" t="s">
        <v>1281</v>
      </c>
      <c r="Z57" t="s">
        <v>1282</v>
      </c>
      <c r="AA57" t="s">
        <v>1283</v>
      </c>
      <c r="AB57" t="s">
        <v>1284</v>
      </c>
      <c r="AC57" t="s">
        <v>1285</v>
      </c>
      <c r="AD57" t="s">
        <v>1286</v>
      </c>
      <c r="AE57" t="s">
        <v>1287</v>
      </c>
      <c r="AF57" t="s">
        <v>74</v>
      </c>
      <c r="AG57">
        <v>69</v>
      </c>
      <c r="AH57">
        <v>72</v>
      </c>
      <c r="AI57">
        <v>84</v>
      </c>
      <c r="AJ57">
        <v>5</v>
      </c>
      <c r="AK57">
        <v>108</v>
      </c>
      <c r="AL57" t="s">
        <v>244</v>
      </c>
      <c r="AM57" t="s">
        <v>245</v>
      </c>
      <c r="AN57" t="s">
        <v>246</v>
      </c>
      <c r="AO57" t="s">
        <v>609</v>
      </c>
      <c r="AP57" t="s">
        <v>610</v>
      </c>
      <c r="AQ57" t="s">
        <v>74</v>
      </c>
      <c r="AR57" t="s">
        <v>597</v>
      </c>
      <c r="AS57" t="s">
        <v>611</v>
      </c>
      <c r="AT57" t="s">
        <v>74</v>
      </c>
      <c r="AU57">
        <v>2015</v>
      </c>
      <c r="AV57">
        <v>12</v>
      </c>
      <c r="AW57">
        <v>7</v>
      </c>
      <c r="AX57" t="s">
        <v>74</v>
      </c>
      <c r="AY57" t="s">
        <v>74</v>
      </c>
      <c r="AZ57" t="s">
        <v>74</v>
      </c>
      <c r="BA57" t="s">
        <v>74</v>
      </c>
      <c r="BB57">
        <v>2163</v>
      </c>
      <c r="BC57">
        <v>2177</v>
      </c>
      <c r="BD57" t="s">
        <v>74</v>
      </c>
      <c r="BE57" t="s">
        <v>1288</v>
      </c>
      <c r="BF57" t="str">
        <f>HYPERLINK("http://dx.doi.org/10.5194/bg-12-2163-2015","http://dx.doi.org/10.5194/bg-12-2163-2015")</f>
        <v>http://dx.doi.org/10.5194/bg-12-2163-2015</v>
      </c>
      <c r="BG57" t="s">
        <v>74</v>
      </c>
      <c r="BH57" t="s">
        <v>74</v>
      </c>
      <c r="BI57">
        <v>15</v>
      </c>
      <c r="BJ57" t="s">
        <v>613</v>
      </c>
      <c r="BK57" t="s">
        <v>91</v>
      </c>
      <c r="BL57" t="s">
        <v>614</v>
      </c>
      <c r="BM57" t="s">
        <v>1289</v>
      </c>
      <c r="BN57" t="s">
        <v>74</v>
      </c>
      <c r="BO57" t="s">
        <v>1136</v>
      </c>
      <c r="BP57" t="s">
        <v>74</v>
      </c>
      <c r="BQ57" t="s">
        <v>74</v>
      </c>
      <c r="BR57" t="s">
        <v>93</v>
      </c>
      <c r="BS57" t="s">
        <v>1290</v>
      </c>
      <c r="BT57" t="str">
        <f>HYPERLINK("https%3A%2F%2Fwww.webofscience.com%2Fwos%2Fwoscc%2Ffull-record%2FWOS:000352958400008","View Full Record in Web of Science")</f>
        <v>View Full Record in Web of Science</v>
      </c>
    </row>
    <row r="58" spans="1:72" x14ac:dyDescent="0.15">
      <c r="A58" t="s">
        <v>72</v>
      </c>
      <c r="B58" t="s">
        <v>1291</v>
      </c>
      <c r="C58" t="s">
        <v>74</v>
      </c>
      <c r="D58" t="s">
        <v>74</v>
      </c>
      <c r="E58" t="s">
        <v>74</v>
      </c>
      <c r="F58" t="s">
        <v>1292</v>
      </c>
      <c r="G58" t="s">
        <v>74</v>
      </c>
      <c r="H58" t="s">
        <v>74</v>
      </c>
      <c r="I58" t="s">
        <v>1293</v>
      </c>
      <c r="J58" t="s">
        <v>597</v>
      </c>
      <c r="K58" t="s">
        <v>74</v>
      </c>
      <c r="L58" t="s">
        <v>74</v>
      </c>
      <c r="M58" t="s">
        <v>78</v>
      </c>
      <c r="N58" t="s">
        <v>99</v>
      </c>
      <c r="O58" t="s">
        <v>74</v>
      </c>
      <c r="P58" t="s">
        <v>74</v>
      </c>
      <c r="Q58" t="s">
        <v>74</v>
      </c>
      <c r="R58" t="s">
        <v>74</v>
      </c>
      <c r="S58" t="s">
        <v>74</v>
      </c>
      <c r="T58" t="s">
        <v>74</v>
      </c>
      <c r="U58" t="s">
        <v>1294</v>
      </c>
      <c r="V58" t="s">
        <v>1295</v>
      </c>
      <c r="W58" t="s">
        <v>1296</v>
      </c>
      <c r="X58" t="s">
        <v>1297</v>
      </c>
      <c r="Y58" t="s">
        <v>1298</v>
      </c>
      <c r="Z58" t="s">
        <v>1299</v>
      </c>
      <c r="AA58" t="s">
        <v>1300</v>
      </c>
      <c r="AB58" t="s">
        <v>1301</v>
      </c>
      <c r="AC58" t="s">
        <v>1302</v>
      </c>
      <c r="AD58" t="s">
        <v>1303</v>
      </c>
      <c r="AE58" t="s">
        <v>1304</v>
      </c>
      <c r="AF58" t="s">
        <v>74</v>
      </c>
      <c r="AG58">
        <v>97</v>
      </c>
      <c r="AH58">
        <v>35</v>
      </c>
      <c r="AI58">
        <v>38</v>
      </c>
      <c r="AJ58">
        <v>3</v>
      </c>
      <c r="AK58">
        <v>51</v>
      </c>
      <c r="AL58" t="s">
        <v>244</v>
      </c>
      <c r="AM58" t="s">
        <v>245</v>
      </c>
      <c r="AN58" t="s">
        <v>246</v>
      </c>
      <c r="AO58" t="s">
        <v>609</v>
      </c>
      <c r="AP58" t="s">
        <v>610</v>
      </c>
      <c r="AQ58" t="s">
        <v>74</v>
      </c>
      <c r="AR58" t="s">
        <v>597</v>
      </c>
      <c r="AS58" t="s">
        <v>611</v>
      </c>
      <c r="AT58" t="s">
        <v>74</v>
      </c>
      <c r="AU58">
        <v>2015</v>
      </c>
      <c r="AV58">
        <v>12</v>
      </c>
      <c r="AW58">
        <v>7</v>
      </c>
      <c r="AX58" t="s">
        <v>74</v>
      </c>
      <c r="AY58" t="s">
        <v>74</v>
      </c>
      <c r="AZ58" t="s">
        <v>74</v>
      </c>
      <c r="BA58" t="s">
        <v>74</v>
      </c>
      <c r="BB58">
        <v>2261</v>
      </c>
      <c r="BC58">
        <v>2283</v>
      </c>
      <c r="BD58" t="s">
        <v>74</v>
      </c>
      <c r="BE58" t="s">
        <v>1305</v>
      </c>
      <c r="BF58" t="str">
        <f>HYPERLINK("http://dx.doi.org/10.5194/bg-12-2261-2015","http://dx.doi.org/10.5194/bg-12-2261-2015")</f>
        <v>http://dx.doi.org/10.5194/bg-12-2261-2015</v>
      </c>
      <c r="BG58" t="s">
        <v>74</v>
      </c>
      <c r="BH58" t="s">
        <v>74</v>
      </c>
      <c r="BI58">
        <v>23</v>
      </c>
      <c r="BJ58" t="s">
        <v>613</v>
      </c>
      <c r="BK58" t="s">
        <v>91</v>
      </c>
      <c r="BL58" t="s">
        <v>614</v>
      </c>
      <c r="BM58" t="s">
        <v>1289</v>
      </c>
      <c r="BN58" t="s">
        <v>74</v>
      </c>
      <c r="BO58" t="s">
        <v>255</v>
      </c>
      <c r="BP58" t="s">
        <v>74</v>
      </c>
      <c r="BQ58" t="s">
        <v>74</v>
      </c>
      <c r="BR58" t="s">
        <v>93</v>
      </c>
      <c r="BS58" t="s">
        <v>1306</v>
      </c>
      <c r="BT58" t="str">
        <f>HYPERLINK("https%3A%2F%2Fwww.webofscience.com%2Fwos%2Fwoscc%2Ffull-record%2FWOS:000352958400014","View Full Record in Web of Science")</f>
        <v>View Full Record in Web of Science</v>
      </c>
    </row>
    <row r="59" spans="1:72" x14ac:dyDescent="0.15">
      <c r="A59" t="s">
        <v>72</v>
      </c>
      <c r="B59" t="s">
        <v>1307</v>
      </c>
      <c r="C59" t="s">
        <v>74</v>
      </c>
      <c r="D59" t="s">
        <v>74</v>
      </c>
      <c r="E59" t="s">
        <v>74</v>
      </c>
      <c r="F59" t="s">
        <v>1308</v>
      </c>
      <c r="G59" t="s">
        <v>74</v>
      </c>
      <c r="H59" t="s">
        <v>74</v>
      </c>
      <c r="I59" t="s">
        <v>1309</v>
      </c>
      <c r="J59" t="s">
        <v>1310</v>
      </c>
      <c r="K59" t="s">
        <v>74</v>
      </c>
      <c r="L59" t="s">
        <v>74</v>
      </c>
      <c r="M59" t="s">
        <v>78</v>
      </c>
      <c r="N59" t="s">
        <v>99</v>
      </c>
      <c r="O59" t="s">
        <v>74</v>
      </c>
      <c r="P59" t="s">
        <v>74</v>
      </c>
      <c r="Q59" t="s">
        <v>74</v>
      </c>
      <c r="R59" t="s">
        <v>74</v>
      </c>
      <c r="S59" t="s">
        <v>74</v>
      </c>
      <c r="T59" t="s">
        <v>74</v>
      </c>
      <c r="U59" t="s">
        <v>1311</v>
      </c>
      <c r="V59" t="s">
        <v>1312</v>
      </c>
      <c r="W59" t="s">
        <v>1313</v>
      </c>
      <c r="X59" t="s">
        <v>1314</v>
      </c>
      <c r="Y59" t="s">
        <v>1315</v>
      </c>
      <c r="Z59" t="s">
        <v>1316</v>
      </c>
      <c r="AA59" t="s">
        <v>74</v>
      </c>
      <c r="AB59" t="s">
        <v>1317</v>
      </c>
      <c r="AC59" t="s">
        <v>1318</v>
      </c>
      <c r="AD59" t="s">
        <v>1319</v>
      </c>
      <c r="AE59" t="s">
        <v>1320</v>
      </c>
      <c r="AF59" t="s">
        <v>74</v>
      </c>
      <c r="AG59">
        <v>31</v>
      </c>
      <c r="AH59">
        <v>2</v>
      </c>
      <c r="AI59">
        <v>2</v>
      </c>
      <c r="AJ59">
        <v>0</v>
      </c>
      <c r="AK59">
        <v>3</v>
      </c>
      <c r="AL59" t="s">
        <v>386</v>
      </c>
      <c r="AM59" t="s">
        <v>387</v>
      </c>
      <c r="AN59" t="s">
        <v>388</v>
      </c>
      <c r="AO59" t="s">
        <v>1321</v>
      </c>
      <c r="AP59" t="s">
        <v>1322</v>
      </c>
      <c r="AQ59" t="s">
        <v>74</v>
      </c>
      <c r="AR59" t="s">
        <v>1310</v>
      </c>
      <c r="AS59" t="s">
        <v>1323</v>
      </c>
      <c r="AT59" t="s">
        <v>74</v>
      </c>
      <c r="AU59">
        <v>2015</v>
      </c>
      <c r="AV59">
        <v>88</v>
      </c>
      <c r="AW59">
        <v>4</v>
      </c>
      <c r="AX59" t="s">
        <v>74</v>
      </c>
      <c r="AY59" t="s">
        <v>74</v>
      </c>
      <c r="AZ59" t="s">
        <v>74</v>
      </c>
      <c r="BA59" t="s">
        <v>74</v>
      </c>
      <c r="BB59">
        <v>405</v>
      </c>
      <c r="BC59">
        <v>421</v>
      </c>
      <c r="BD59" t="s">
        <v>74</v>
      </c>
      <c r="BE59" t="s">
        <v>1324</v>
      </c>
      <c r="BF59" t="str">
        <f>HYPERLINK("http://dx.doi.org/10.1163/15685403-00003417","http://dx.doi.org/10.1163/15685403-00003417")</f>
        <v>http://dx.doi.org/10.1163/15685403-00003417</v>
      </c>
      <c r="BG59" t="s">
        <v>74</v>
      </c>
      <c r="BH59" t="s">
        <v>74</v>
      </c>
      <c r="BI59">
        <v>17</v>
      </c>
      <c r="BJ59" t="s">
        <v>1227</v>
      </c>
      <c r="BK59" t="s">
        <v>91</v>
      </c>
      <c r="BL59" t="s">
        <v>1227</v>
      </c>
      <c r="BM59" t="s">
        <v>1325</v>
      </c>
      <c r="BN59" t="s">
        <v>74</v>
      </c>
      <c r="BO59" t="s">
        <v>74</v>
      </c>
      <c r="BP59" t="s">
        <v>74</v>
      </c>
      <c r="BQ59" t="s">
        <v>74</v>
      </c>
      <c r="BR59" t="s">
        <v>93</v>
      </c>
      <c r="BS59" t="s">
        <v>1326</v>
      </c>
      <c r="BT59" t="str">
        <f>HYPERLINK("https%3A%2F%2Fwww.webofscience.com%2Fwos%2Fwoscc%2Ffull-record%2FWOS:000353392200003","View Full Record in Web of Science")</f>
        <v>View Full Record in Web of Science</v>
      </c>
    </row>
    <row r="60" spans="1:72" x14ac:dyDescent="0.15">
      <c r="A60" t="s">
        <v>72</v>
      </c>
      <c r="B60" t="s">
        <v>1327</v>
      </c>
      <c r="C60" t="s">
        <v>74</v>
      </c>
      <c r="D60" t="s">
        <v>74</v>
      </c>
      <c r="E60" t="s">
        <v>74</v>
      </c>
      <c r="F60" t="s">
        <v>1328</v>
      </c>
      <c r="G60" t="s">
        <v>74</v>
      </c>
      <c r="H60" t="s">
        <v>74</v>
      </c>
      <c r="I60" t="s">
        <v>1329</v>
      </c>
      <c r="J60" t="s">
        <v>1330</v>
      </c>
      <c r="K60" t="s">
        <v>74</v>
      </c>
      <c r="L60" t="s">
        <v>74</v>
      </c>
      <c r="M60" t="s">
        <v>78</v>
      </c>
      <c r="N60" t="s">
        <v>99</v>
      </c>
      <c r="O60" t="s">
        <v>74</v>
      </c>
      <c r="P60" t="s">
        <v>74</v>
      </c>
      <c r="Q60" t="s">
        <v>74</v>
      </c>
      <c r="R60" t="s">
        <v>74</v>
      </c>
      <c r="S60" t="s">
        <v>74</v>
      </c>
      <c r="T60" t="s">
        <v>74</v>
      </c>
      <c r="U60" t="s">
        <v>1331</v>
      </c>
      <c r="V60" t="s">
        <v>1332</v>
      </c>
      <c r="W60" t="s">
        <v>1333</v>
      </c>
      <c r="X60" t="s">
        <v>1334</v>
      </c>
      <c r="Y60" t="s">
        <v>1335</v>
      </c>
      <c r="Z60" t="s">
        <v>1336</v>
      </c>
      <c r="AA60" t="s">
        <v>1337</v>
      </c>
      <c r="AB60" t="s">
        <v>1338</v>
      </c>
      <c r="AC60" t="s">
        <v>1339</v>
      </c>
      <c r="AD60" t="s">
        <v>1340</v>
      </c>
      <c r="AE60" t="s">
        <v>1341</v>
      </c>
      <c r="AF60" t="s">
        <v>74</v>
      </c>
      <c r="AG60">
        <v>69</v>
      </c>
      <c r="AH60">
        <v>10</v>
      </c>
      <c r="AI60">
        <v>12</v>
      </c>
      <c r="AJ60">
        <v>0</v>
      </c>
      <c r="AK60">
        <v>19</v>
      </c>
      <c r="AL60" t="s">
        <v>82</v>
      </c>
      <c r="AM60" t="s">
        <v>83</v>
      </c>
      <c r="AN60" t="s">
        <v>150</v>
      </c>
      <c r="AO60" t="s">
        <v>1342</v>
      </c>
      <c r="AP60" t="s">
        <v>1343</v>
      </c>
      <c r="AQ60" t="s">
        <v>74</v>
      </c>
      <c r="AR60" t="s">
        <v>1344</v>
      </c>
      <c r="AS60" t="s">
        <v>1345</v>
      </c>
      <c r="AT60" t="s">
        <v>74</v>
      </c>
      <c r="AU60">
        <v>2015</v>
      </c>
      <c r="AV60">
        <v>36</v>
      </c>
      <c r="AW60">
        <v>7</v>
      </c>
      <c r="AX60" t="s">
        <v>74</v>
      </c>
      <c r="AY60" t="s">
        <v>74</v>
      </c>
      <c r="AZ60" t="s">
        <v>74</v>
      </c>
      <c r="BA60" t="s">
        <v>74</v>
      </c>
      <c r="BB60">
        <v>1921</v>
      </c>
      <c r="BC60">
        <v>1941</v>
      </c>
      <c r="BD60" t="s">
        <v>74</v>
      </c>
      <c r="BE60" t="s">
        <v>1346</v>
      </c>
      <c r="BF60" t="str">
        <f>HYPERLINK("http://dx.doi.org/10.1080/01431161.2015.1029098","http://dx.doi.org/10.1080/01431161.2015.1029098")</f>
        <v>http://dx.doi.org/10.1080/01431161.2015.1029098</v>
      </c>
      <c r="BG60" t="s">
        <v>74</v>
      </c>
      <c r="BH60" t="s">
        <v>74</v>
      </c>
      <c r="BI60">
        <v>21</v>
      </c>
      <c r="BJ60" t="s">
        <v>1347</v>
      </c>
      <c r="BK60" t="s">
        <v>91</v>
      </c>
      <c r="BL60" t="s">
        <v>1347</v>
      </c>
      <c r="BM60" t="s">
        <v>1348</v>
      </c>
      <c r="BN60" t="s">
        <v>74</v>
      </c>
      <c r="BO60" t="s">
        <v>74</v>
      </c>
      <c r="BP60" t="s">
        <v>74</v>
      </c>
      <c r="BQ60" t="s">
        <v>74</v>
      </c>
      <c r="BR60" t="s">
        <v>93</v>
      </c>
      <c r="BS60" t="s">
        <v>1349</v>
      </c>
      <c r="BT60" t="str">
        <f>HYPERLINK("https%3A%2F%2Fwww.webofscience.com%2Fwos%2Fwoscc%2Ffull-record%2FWOS:000353576900010","View Full Record in Web of Science")</f>
        <v>View Full Record in Web of Science</v>
      </c>
    </row>
    <row r="61" spans="1:72" x14ac:dyDescent="0.15">
      <c r="A61" t="s">
        <v>72</v>
      </c>
      <c r="B61" t="s">
        <v>1350</v>
      </c>
      <c r="C61" t="s">
        <v>74</v>
      </c>
      <c r="D61" t="s">
        <v>74</v>
      </c>
      <c r="E61" t="s">
        <v>74</v>
      </c>
      <c r="F61" t="s">
        <v>1351</v>
      </c>
      <c r="G61" t="s">
        <v>74</v>
      </c>
      <c r="H61" t="s">
        <v>74</v>
      </c>
      <c r="I61" t="s">
        <v>1352</v>
      </c>
      <c r="J61" t="s">
        <v>1353</v>
      </c>
      <c r="K61" t="s">
        <v>74</v>
      </c>
      <c r="L61" t="s">
        <v>74</v>
      </c>
      <c r="M61" t="s">
        <v>78</v>
      </c>
      <c r="N61" t="s">
        <v>1354</v>
      </c>
      <c r="O61" t="s">
        <v>74</v>
      </c>
      <c r="P61" t="s">
        <v>74</v>
      </c>
      <c r="Q61" t="s">
        <v>74</v>
      </c>
      <c r="R61" t="s">
        <v>74</v>
      </c>
      <c r="S61" t="s">
        <v>74</v>
      </c>
      <c r="T61" t="s">
        <v>74</v>
      </c>
      <c r="U61" t="s">
        <v>74</v>
      </c>
      <c r="V61" t="s">
        <v>74</v>
      </c>
      <c r="W61" t="s">
        <v>1355</v>
      </c>
      <c r="X61" t="s">
        <v>1356</v>
      </c>
      <c r="Y61" t="s">
        <v>1357</v>
      </c>
      <c r="Z61" t="s">
        <v>74</v>
      </c>
      <c r="AA61" t="s">
        <v>74</v>
      </c>
      <c r="AB61" t="s">
        <v>74</v>
      </c>
      <c r="AC61" t="s">
        <v>74</v>
      </c>
      <c r="AD61" t="s">
        <v>74</v>
      </c>
      <c r="AE61" t="s">
        <v>74</v>
      </c>
      <c r="AF61" t="s">
        <v>74</v>
      </c>
      <c r="AG61">
        <v>1</v>
      </c>
      <c r="AH61">
        <v>0</v>
      </c>
      <c r="AI61">
        <v>0</v>
      </c>
      <c r="AJ61">
        <v>0</v>
      </c>
      <c r="AK61">
        <v>4</v>
      </c>
      <c r="AL61" t="s">
        <v>1358</v>
      </c>
      <c r="AM61" t="s">
        <v>219</v>
      </c>
      <c r="AN61" t="s">
        <v>1359</v>
      </c>
      <c r="AO61" t="s">
        <v>1360</v>
      </c>
      <c r="AP61" t="s">
        <v>74</v>
      </c>
      <c r="AQ61" t="s">
        <v>74</v>
      </c>
      <c r="AR61" t="s">
        <v>1361</v>
      </c>
      <c r="AS61" t="s">
        <v>1362</v>
      </c>
      <c r="AT61" t="s">
        <v>200</v>
      </c>
      <c r="AU61">
        <v>2015</v>
      </c>
      <c r="AV61">
        <v>47</v>
      </c>
      <c r="AW61" t="s">
        <v>74</v>
      </c>
      <c r="AX61" t="s">
        <v>74</v>
      </c>
      <c r="AY61" t="s">
        <v>74</v>
      </c>
      <c r="AZ61" t="s">
        <v>74</v>
      </c>
      <c r="BA61" t="s">
        <v>74</v>
      </c>
      <c r="BB61">
        <v>117</v>
      </c>
      <c r="BC61">
        <v>118</v>
      </c>
      <c r="BD61" t="s">
        <v>74</v>
      </c>
      <c r="BE61" t="s">
        <v>1363</v>
      </c>
      <c r="BF61" t="str">
        <f>HYPERLINK("http://dx.doi.org/10.1016/j.jhg.2014.08.022","http://dx.doi.org/10.1016/j.jhg.2014.08.022")</f>
        <v>http://dx.doi.org/10.1016/j.jhg.2014.08.022</v>
      </c>
      <c r="BG61" t="s">
        <v>74</v>
      </c>
      <c r="BH61" t="s">
        <v>74</v>
      </c>
      <c r="BI61">
        <v>2</v>
      </c>
      <c r="BJ61" t="s">
        <v>1364</v>
      </c>
      <c r="BK61" t="s">
        <v>891</v>
      </c>
      <c r="BL61" t="s">
        <v>1365</v>
      </c>
      <c r="BM61" t="s">
        <v>1366</v>
      </c>
      <c r="BN61" t="s">
        <v>74</v>
      </c>
      <c r="BO61" t="s">
        <v>74</v>
      </c>
      <c r="BP61" t="s">
        <v>74</v>
      </c>
      <c r="BQ61" t="s">
        <v>74</v>
      </c>
      <c r="BR61" t="s">
        <v>93</v>
      </c>
      <c r="BS61" t="s">
        <v>1367</v>
      </c>
      <c r="BT61" t="str">
        <f>HYPERLINK("https%3A%2F%2Fwww.webofscience.com%2Fwos%2Fwoscc%2Ffull-record%2FWOS:000353096100038","View Full Record in Web of Science")</f>
        <v>View Full Record in Web of Science</v>
      </c>
    </row>
    <row r="62" spans="1:72" x14ac:dyDescent="0.15">
      <c r="A62" t="s">
        <v>72</v>
      </c>
      <c r="B62" t="s">
        <v>1368</v>
      </c>
      <c r="C62" t="s">
        <v>74</v>
      </c>
      <c r="D62" t="s">
        <v>74</v>
      </c>
      <c r="E62" t="s">
        <v>74</v>
      </c>
      <c r="F62" t="s">
        <v>1369</v>
      </c>
      <c r="G62" t="s">
        <v>74</v>
      </c>
      <c r="H62" t="s">
        <v>74</v>
      </c>
      <c r="I62" t="s">
        <v>1370</v>
      </c>
      <c r="J62" t="s">
        <v>1371</v>
      </c>
      <c r="K62" t="s">
        <v>74</v>
      </c>
      <c r="L62" t="s">
        <v>74</v>
      </c>
      <c r="M62" t="s">
        <v>78</v>
      </c>
      <c r="N62" t="s">
        <v>454</v>
      </c>
      <c r="O62" t="s">
        <v>74</v>
      </c>
      <c r="P62" t="s">
        <v>74</v>
      </c>
      <c r="Q62" t="s">
        <v>74</v>
      </c>
      <c r="R62" t="s">
        <v>74</v>
      </c>
      <c r="S62" t="s">
        <v>74</v>
      </c>
      <c r="T62" t="s">
        <v>1372</v>
      </c>
      <c r="U62" t="s">
        <v>1373</v>
      </c>
      <c r="V62" t="s">
        <v>1374</v>
      </c>
      <c r="W62" t="s">
        <v>1375</v>
      </c>
      <c r="X62" t="s">
        <v>1376</v>
      </c>
      <c r="Y62" t="s">
        <v>1377</v>
      </c>
      <c r="Z62" t="s">
        <v>1378</v>
      </c>
      <c r="AA62" t="s">
        <v>1379</v>
      </c>
      <c r="AB62" t="s">
        <v>1380</v>
      </c>
      <c r="AC62" t="s">
        <v>1381</v>
      </c>
      <c r="AD62" t="s">
        <v>1382</v>
      </c>
      <c r="AE62" t="s">
        <v>1383</v>
      </c>
      <c r="AF62" t="s">
        <v>74</v>
      </c>
      <c r="AG62">
        <v>38</v>
      </c>
      <c r="AH62">
        <v>15</v>
      </c>
      <c r="AI62">
        <v>18</v>
      </c>
      <c r="AJ62">
        <v>0</v>
      </c>
      <c r="AK62">
        <v>48</v>
      </c>
      <c r="AL62" t="s">
        <v>1384</v>
      </c>
      <c r="AM62" t="s">
        <v>1385</v>
      </c>
      <c r="AN62" t="s">
        <v>1386</v>
      </c>
      <c r="AO62" t="s">
        <v>1387</v>
      </c>
      <c r="AP62" t="s">
        <v>74</v>
      </c>
      <c r="AQ62" t="s">
        <v>74</v>
      </c>
      <c r="AR62" t="s">
        <v>1371</v>
      </c>
      <c r="AS62" t="s">
        <v>1388</v>
      </c>
      <c r="AT62" t="s">
        <v>74</v>
      </c>
      <c r="AU62">
        <v>2015</v>
      </c>
      <c r="AV62">
        <v>10</v>
      </c>
      <c r="AW62">
        <v>1</v>
      </c>
      <c r="AX62" t="s">
        <v>74</v>
      </c>
      <c r="AY62" t="s">
        <v>74</v>
      </c>
      <c r="AZ62" t="s">
        <v>74</v>
      </c>
      <c r="BA62" t="s">
        <v>74</v>
      </c>
      <c r="BB62">
        <v>1757</v>
      </c>
      <c r="BC62">
        <v>1772</v>
      </c>
      <c r="BD62" t="s">
        <v>74</v>
      </c>
      <c r="BE62" t="s">
        <v>1389</v>
      </c>
      <c r="BF62" t="str">
        <f>HYPERLINK("http://dx.doi.org/10.15376/biores.10.1.1757-1772","http://dx.doi.org/10.15376/biores.10.1.1757-1772")</f>
        <v>http://dx.doi.org/10.15376/biores.10.1.1757-1772</v>
      </c>
      <c r="BG62" t="s">
        <v>74</v>
      </c>
      <c r="BH62" t="s">
        <v>74</v>
      </c>
      <c r="BI62">
        <v>16</v>
      </c>
      <c r="BJ62" t="s">
        <v>1390</v>
      </c>
      <c r="BK62" t="s">
        <v>91</v>
      </c>
      <c r="BL62" t="s">
        <v>1391</v>
      </c>
      <c r="BM62" t="s">
        <v>1392</v>
      </c>
      <c r="BN62" t="s">
        <v>74</v>
      </c>
      <c r="BO62" t="s">
        <v>1393</v>
      </c>
      <c r="BP62" t="s">
        <v>74</v>
      </c>
      <c r="BQ62" t="s">
        <v>74</v>
      </c>
      <c r="BR62" t="s">
        <v>93</v>
      </c>
      <c r="BS62" t="s">
        <v>1394</v>
      </c>
      <c r="BT62" t="str">
        <f>HYPERLINK("https%3A%2F%2Fwww.webofscience.com%2Fwos%2Fwoscc%2Ffull-record%2FWOS:000351941000140","View Full Record in Web of Science")</f>
        <v>View Full Record in Web of Science</v>
      </c>
    </row>
    <row r="63" spans="1:72" x14ac:dyDescent="0.15">
      <c r="A63" t="s">
        <v>1395</v>
      </c>
      <c r="B63" t="s">
        <v>1396</v>
      </c>
      <c r="C63" t="s">
        <v>74</v>
      </c>
      <c r="D63" t="s">
        <v>1397</v>
      </c>
      <c r="E63" t="s">
        <v>74</v>
      </c>
      <c r="F63" t="s">
        <v>1398</v>
      </c>
      <c r="G63" t="s">
        <v>74</v>
      </c>
      <c r="H63" t="s">
        <v>74</v>
      </c>
      <c r="I63" t="s">
        <v>1399</v>
      </c>
      <c r="J63" t="s">
        <v>1400</v>
      </c>
      <c r="K63" t="s">
        <v>1401</v>
      </c>
      <c r="L63" t="s">
        <v>74</v>
      </c>
      <c r="M63" t="s">
        <v>78</v>
      </c>
      <c r="N63" t="s">
        <v>918</v>
      </c>
      <c r="O63" t="s">
        <v>74</v>
      </c>
      <c r="P63" t="s">
        <v>74</v>
      </c>
      <c r="Q63" t="s">
        <v>74</v>
      </c>
      <c r="R63" t="s">
        <v>74</v>
      </c>
      <c r="S63" t="s">
        <v>74</v>
      </c>
      <c r="T63" t="s">
        <v>1402</v>
      </c>
      <c r="U63" t="s">
        <v>1403</v>
      </c>
      <c r="V63" t="s">
        <v>1404</v>
      </c>
      <c r="W63" t="s">
        <v>1405</v>
      </c>
      <c r="X63" t="s">
        <v>1406</v>
      </c>
      <c r="Y63" t="s">
        <v>1407</v>
      </c>
      <c r="Z63" t="s">
        <v>1408</v>
      </c>
      <c r="AA63" t="s">
        <v>74</v>
      </c>
      <c r="AB63" t="s">
        <v>1409</v>
      </c>
      <c r="AC63" t="s">
        <v>74</v>
      </c>
      <c r="AD63" t="s">
        <v>74</v>
      </c>
      <c r="AE63" t="s">
        <v>74</v>
      </c>
      <c r="AF63" t="s">
        <v>74</v>
      </c>
      <c r="AG63">
        <v>42</v>
      </c>
      <c r="AH63">
        <v>27</v>
      </c>
      <c r="AI63">
        <v>31</v>
      </c>
      <c r="AJ63">
        <v>3</v>
      </c>
      <c r="AK63">
        <v>53</v>
      </c>
      <c r="AL63" t="s">
        <v>1410</v>
      </c>
      <c r="AM63" t="s">
        <v>1411</v>
      </c>
      <c r="AN63" t="s">
        <v>1412</v>
      </c>
      <c r="AO63" t="s">
        <v>74</v>
      </c>
      <c r="AP63" t="s">
        <v>74</v>
      </c>
      <c r="AQ63" t="s">
        <v>74</v>
      </c>
      <c r="AR63" t="s">
        <v>1413</v>
      </c>
      <c r="AS63" t="s">
        <v>1414</v>
      </c>
      <c r="AT63" t="s">
        <v>74</v>
      </c>
      <c r="AU63">
        <v>2015</v>
      </c>
      <c r="AV63">
        <v>1340</v>
      </c>
      <c r="AW63" t="s">
        <v>74</v>
      </c>
      <c r="AX63" t="s">
        <v>74</v>
      </c>
      <c r="AY63" t="s">
        <v>74</v>
      </c>
      <c r="AZ63" t="s">
        <v>74</v>
      </c>
      <c r="BA63" t="s">
        <v>74</v>
      </c>
      <c r="BB63">
        <v>1</v>
      </c>
      <c r="BC63">
        <v>7</v>
      </c>
      <c r="BD63" t="s">
        <v>74</v>
      </c>
      <c r="BE63" t="s">
        <v>1415</v>
      </c>
      <c r="BF63" t="str">
        <f>HYPERLINK("http://dx.doi.org/10.1111/nyas.12560","http://dx.doi.org/10.1111/nyas.12560")</f>
        <v>http://dx.doi.org/10.1111/nyas.12560</v>
      </c>
      <c r="BG63" t="s">
        <v>74</v>
      </c>
      <c r="BH63" t="s">
        <v>74</v>
      </c>
      <c r="BI63">
        <v>7</v>
      </c>
      <c r="BJ63" t="s">
        <v>1416</v>
      </c>
      <c r="BK63" t="s">
        <v>869</v>
      </c>
      <c r="BL63" t="s">
        <v>1417</v>
      </c>
      <c r="BM63" t="s">
        <v>1418</v>
      </c>
      <c r="BN63">
        <v>25428611</v>
      </c>
      <c r="BO63" t="s">
        <v>74</v>
      </c>
      <c r="BP63" t="s">
        <v>74</v>
      </c>
      <c r="BQ63" t="s">
        <v>74</v>
      </c>
      <c r="BR63" t="s">
        <v>93</v>
      </c>
      <c r="BS63" t="s">
        <v>1419</v>
      </c>
      <c r="BT63" t="str">
        <f>HYPERLINK("https%3A%2F%2Fwww.webofscience.com%2Fwos%2Fwoscc%2Ffull-record%2FWOS:000353102100001","View Full Record in Web of Science")</f>
        <v>View Full Record in Web of Science</v>
      </c>
    </row>
    <row r="64" spans="1:72" x14ac:dyDescent="0.15">
      <c r="A64" t="s">
        <v>72</v>
      </c>
      <c r="B64" t="s">
        <v>1420</v>
      </c>
      <c r="C64" t="s">
        <v>74</v>
      </c>
      <c r="D64" t="s">
        <v>74</v>
      </c>
      <c r="E64" t="s">
        <v>74</v>
      </c>
      <c r="F64" t="s">
        <v>1421</v>
      </c>
      <c r="G64" t="s">
        <v>74</v>
      </c>
      <c r="H64" t="s">
        <v>74</v>
      </c>
      <c r="I64" t="s">
        <v>1422</v>
      </c>
      <c r="J64" t="s">
        <v>1423</v>
      </c>
      <c r="K64" t="s">
        <v>74</v>
      </c>
      <c r="L64" t="s">
        <v>74</v>
      </c>
      <c r="M64" t="s">
        <v>78</v>
      </c>
      <c r="N64" t="s">
        <v>99</v>
      </c>
      <c r="O64" t="s">
        <v>74</v>
      </c>
      <c r="P64" t="s">
        <v>74</v>
      </c>
      <c r="Q64" t="s">
        <v>74</v>
      </c>
      <c r="R64" t="s">
        <v>74</v>
      </c>
      <c r="S64" t="s">
        <v>74</v>
      </c>
      <c r="T64" t="s">
        <v>1424</v>
      </c>
      <c r="U64" t="s">
        <v>1425</v>
      </c>
      <c r="V64" t="s">
        <v>1426</v>
      </c>
      <c r="W64" t="s">
        <v>1427</v>
      </c>
      <c r="X64" t="s">
        <v>1428</v>
      </c>
      <c r="Y64" t="s">
        <v>1429</v>
      </c>
      <c r="Z64" t="s">
        <v>1430</v>
      </c>
      <c r="AA64" t="s">
        <v>74</v>
      </c>
      <c r="AB64" t="s">
        <v>74</v>
      </c>
      <c r="AC64" t="s">
        <v>74</v>
      </c>
      <c r="AD64" t="s">
        <v>74</v>
      </c>
      <c r="AE64" t="s">
        <v>74</v>
      </c>
      <c r="AF64" t="s">
        <v>74</v>
      </c>
      <c r="AG64">
        <v>82</v>
      </c>
      <c r="AH64">
        <v>1</v>
      </c>
      <c r="AI64">
        <v>2</v>
      </c>
      <c r="AJ64">
        <v>0</v>
      </c>
      <c r="AK64">
        <v>2</v>
      </c>
      <c r="AL64" t="s">
        <v>1431</v>
      </c>
      <c r="AM64" t="s">
        <v>1432</v>
      </c>
      <c r="AN64" t="s">
        <v>1433</v>
      </c>
      <c r="AO64" t="s">
        <v>1434</v>
      </c>
      <c r="AP64" t="s">
        <v>74</v>
      </c>
      <c r="AQ64" t="s">
        <v>74</v>
      </c>
      <c r="AR64" t="s">
        <v>1435</v>
      </c>
      <c r="AS64" t="s">
        <v>1436</v>
      </c>
      <c r="AT64" t="s">
        <v>74</v>
      </c>
      <c r="AU64">
        <v>2015</v>
      </c>
      <c r="AV64">
        <v>40</v>
      </c>
      <c r="AW64">
        <v>2</v>
      </c>
      <c r="AX64" t="s">
        <v>74</v>
      </c>
      <c r="AY64" t="s">
        <v>74</v>
      </c>
      <c r="AZ64" t="s">
        <v>1437</v>
      </c>
      <c r="BA64" t="s">
        <v>74</v>
      </c>
      <c r="BB64">
        <v>202</v>
      </c>
      <c r="BC64">
        <v>221</v>
      </c>
      <c r="BD64" t="s">
        <v>74</v>
      </c>
      <c r="BE64" t="s">
        <v>74</v>
      </c>
      <c r="BF64" t="s">
        <v>74</v>
      </c>
      <c r="BG64" t="s">
        <v>74</v>
      </c>
      <c r="BH64" t="s">
        <v>74</v>
      </c>
      <c r="BI64">
        <v>20</v>
      </c>
      <c r="BJ64" t="s">
        <v>1438</v>
      </c>
      <c r="BK64" t="s">
        <v>891</v>
      </c>
      <c r="BL64" t="s">
        <v>1439</v>
      </c>
      <c r="BM64" t="s">
        <v>1440</v>
      </c>
      <c r="BN64" t="s">
        <v>74</v>
      </c>
      <c r="BO64" t="s">
        <v>74</v>
      </c>
      <c r="BP64" t="s">
        <v>74</v>
      </c>
      <c r="BQ64" t="s">
        <v>74</v>
      </c>
      <c r="BR64" t="s">
        <v>93</v>
      </c>
      <c r="BS64" t="s">
        <v>1441</v>
      </c>
      <c r="BT64" t="str">
        <f>HYPERLINK("https%3A%2F%2Fwww.webofscience.com%2Fwos%2Fwoscc%2Ffull-record%2FWOS:000352520400010","View Full Record in Web of Science")</f>
        <v>View Full Record in Web of Science</v>
      </c>
    </row>
    <row r="65" spans="1:72" x14ac:dyDescent="0.15">
      <c r="A65" t="s">
        <v>72</v>
      </c>
      <c r="B65" t="s">
        <v>1442</v>
      </c>
      <c r="C65" t="s">
        <v>74</v>
      </c>
      <c r="D65" t="s">
        <v>74</v>
      </c>
      <c r="E65" t="s">
        <v>74</v>
      </c>
      <c r="F65" t="s">
        <v>1443</v>
      </c>
      <c r="G65" t="s">
        <v>74</v>
      </c>
      <c r="H65" t="s">
        <v>74</v>
      </c>
      <c r="I65" t="s">
        <v>1444</v>
      </c>
      <c r="J65" t="s">
        <v>480</v>
      </c>
      <c r="K65" t="s">
        <v>74</v>
      </c>
      <c r="L65" t="s">
        <v>74</v>
      </c>
      <c r="M65" t="s">
        <v>78</v>
      </c>
      <c r="N65" t="s">
        <v>99</v>
      </c>
      <c r="O65" t="s">
        <v>74</v>
      </c>
      <c r="P65" t="s">
        <v>74</v>
      </c>
      <c r="Q65" t="s">
        <v>74</v>
      </c>
      <c r="R65" t="s">
        <v>74</v>
      </c>
      <c r="S65" t="s">
        <v>74</v>
      </c>
      <c r="T65" t="s">
        <v>74</v>
      </c>
      <c r="U65" t="s">
        <v>1445</v>
      </c>
      <c r="V65" t="s">
        <v>1446</v>
      </c>
      <c r="W65" t="s">
        <v>1447</v>
      </c>
      <c r="X65" t="s">
        <v>1448</v>
      </c>
      <c r="Y65" t="s">
        <v>1449</v>
      </c>
      <c r="Z65" t="s">
        <v>1450</v>
      </c>
      <c r="AA65" t="s">
        <v>1451</v>
      </c>
      <c r="AB65" t="s">
        <v>1452</v>
      </c>
      <c r="AC65" t="s">
        <v>1453</v>
      </c>
      <c r="AD65" t="s">
        <v>1454</v>
      </c>
      <c r="AE65" t="s">
        <v>1455</v>
      </c>
      <c r="AF65" t="s">
        <v>74</v>
      </c>
      <c r="AG65">
        <v>35</v>
      </c>
      <c r="AH65">
        <v>77</v>
      </c>
      <c r="AI65">
        <v>82</v>
      </c>
      <c r="AJ65">
        <v>2</v>
      </c>
      <c r="AK65">
        <v>41</v>
      </c>
      <c r="AL65" t="s">
        <v>244</v>
      </c>
      <c r="AM65" t="s">
        <v>245</v>
      </c>
      <c r="AN65" t="s">
        <v>246</v>
      </c>
      <c r="AO65" t="s">
        <v>492</v>
      </c>
      <c r="AP65" t="s">
        <v>493</v>
      </c>
      <c r="AQ65" t="s">
        <v>74</v>
      </c>
      <c r="AR65" t="s">
        <v>494</v>
      </c>
      <c r="AS65" t="s">
        <v>495</v>
      </c>
      <c r="AT65" t="s">
        <v>74</v>
      </c>
      <c r="AU65">
        <v>2015</v>
      </c>
      <c r="AV65">
        <v>15</v>
      </c>
      <c r="AW65">
        <v>6</v>
      </c>
      <c r="AX65" t="s">
        <v>74</v>
      </c>
      <c r="AY65" t="s">
        <v>74</v>
      </c>
      <c r="AZ65" t="s">
        <v>74</v>
      </c>
      <c r="BA65" t="s">
        <v>74</v>
      </c>
      <c r="BB65">
        <v>3125</v>
      </c>
      <c r="BC65">
        <v>3133</v>
      </c>
      <c r="BD65" t="s">
        <v>74</v>
      </c>
      <c r="BE65" t="s">
        <v>1456</v>
      </c>
      <c r="BF65" t="str">
        <f>HYPERLINK("http://dx.doi.org/10.5194/acp-15-3125-2015","http://dx.doi.org/10.5194/acp-15-3125-2015")</f>
        <v>http://dx.doi.org/10.5194/acp-15-3125-2015</v>
      </c>
      <c r="BG65" t="s">
        <v>74</v>
      </c>
      <c r="BH65" t="s">
        <v>74</v>
      </c>
      <c r="BI65">
        <v>9</v>
      </c>
      <c r="BJ65" t="s">
        <v>497</v>
      </c>
      <c r="BK65" t="s">
        <v>91</v>
      </c>
      <c r="BL65" t="s">
        <v>498</v>
      </c>
      <c r="BM65" t="s">
        <v>1457</v>
      </c>
      <c r="BN65" t="s">
        <v>74</v>
      </c>
      <c r="BO65" t="s">
        <v>1458</v>
      </c>
      <c r="BP65" t="s">
        <v>74</v>
      </c>
      <c r="BQ65" t="s">
        <v>74</v>
      </c>
      <c r="BR65" t="s">
        <v>93</v>
      </c>
      <c r="BS65" t="s">
        <v>1459</v>
      </c>
      <c r="BT65" t="str">
        <f>HYPERLINK("https%3A%2F%2Fwww.webofscience.com%2Fwos%2Fwoscc%2Ffull-record%2FWOS:000352157600010","View Full Record in Web of Science")</f>
        <v>View Full Record in Web of Science</v>
      </c>
    </row>
    <row r="66" spans="1:72" x14ac:dyDescent="0.15">
      <c r="A66" t="s">
        <v>72</v>
      </c>
      <c r="B66" t="s">
        <v>1460</v>
      </c>
      <c r="C66" t="s">
        <v>74</v>
      </c>
      <c r="D66" t="s">
        <v>74</v>
      </c>
      <c r="E66" t="s">
        <v>74</v>
      </c>
      <c r="F66" t="s">
        <v>1461</v>
      </c>
      <c r="G66" t="s">
        <v>74</v>
      </c>
      <c r="H66" t="s">
        <v>74</v>
      </c>
      <c r="I66" t="s">
        <v>1462</v>
      </c>
      <c r="J66" t="s">
        <v>260</v>
      </c>
      <c r="K66" t="s">
        <v>74</v>
      </c>
      <c r="L66" t="s">
        <v>74</v>
      </c>
      <c r="M66" t="s">
        <v>78</v>
      </c>
      <c r="N66" t="s">
        <v>99</v>
      </c>
      <c r="O66" t="s">
        <v>74</v>
      </c>
      <c r="P66" t="s">
        <v>74</v>
      </c>
      <c r="Q66" t="s">
        <v>74</v>
      </c>
      <c r="R66" t="s">
        <v>74</v>
      </c>
      <c r="S66" t="s">
        <v>74</v>
      </c>
      <c r="T66" t="s">
        <v>74</v>
      </c>
      <c r="U66" t="s">
        <v>1463</v>
      </c>
      <c r="V66" t="s">
        <v>1464</v>
      </c>
      <c r="W66" t="s">
        <v>1465</v>
      </c>
      <c r="X66" t="s">
        <v>1466</v>
      </c>
      <c r="Y66" t="s">
        <v>1467</v>
      </c>
      <c r="Z66" t="s">
        <v>1468</v>
      </c>
      <c r="AA66" t="s">
        <v>1469</v>
      </c>
      <c r="AB66" t="s">
        <v>1470</v>
      </c>
      <c r="AC66" t="s">
        <v>1471</v>
      </c>
      <c r="AD66" t="s">
        <v>1472</v>
      </c>
      <c r="AE66" t="s">
        <v>1473</v>
      </c>
      <c r="AF66" t="s">
        <v>74</v>
      </c>
      <c r="AG66">
        <v>33</v>
      </c>
      <c r="AH66">
        <v>7</v>
      </c>
      <c r="AI66">
        <v>7</v>
      </c>
      <c r="AJ66">
        <v>1</v>
      </c>
      <c r="AK66">
        <v>8</v>
      </c>
      <c r="AL66" t="s">
        <v>244</v>
      </c>
      <c r="AM66" t="s">
        <v>245</v>
      </c>
      <c r="AN66" t="s">
        <v>246</v>
      </c>
      <c r="AO66" t="s">
        <v>272</v>
      </c>
      <c r="AP66" t="s">
        <v>273</v>
      </c>
      <c r="AQ66" t="s">
        <v>74</v>
      </c>
      <c r="AR66" t="s">
        <v>274</v>
      </c>
      <c r="AS66" t="s">
        <v>275</v>
      </c>
      <c r="AT66" t="s">
        <v>74</v>
      </c>
      <c r="AU66">
        <v>2015</v>
      </c>
      <c r="AV66">
        <v>8</v>
      </c>
      <c r="AW66">
        <v>3</v>
      </c>
      <c r="AX66" t="s">
        <v>74</v>
      </c>
      <c r="AY66" t="s">
        <v>74</v>
      </c>
      <c r="AZ66" t="s">
        <v>74</v>
      </c>
      <c r="BA66" t="s">
        <v>74</v>
      </c>
      <c r="BB66">
        <v>1043</v>
      </c>
      <c r="BC66">
        <v>1053</v>
      </c>
      <c r="BD66" t="s">
        <v>74</v>
      </c>
      <c r="BE66" t="s">
        <v>1474</v>
      </c>
      <c r="BF66" t="str">
        <f>HYPERLINK("http://dx.doi.org/10.5194/amt-8-1043-2015","http://dx.doi.org/10.5194/amt-8-1043-2015")</f>
        <v>http://dx.doi.org/10.5194/amt-8-1043-2015</v>
      </c>
      <c r="BG66" t="s">
        <v>74</v>
      </c>
      <c r="BH66" t="s">
        <v>74</v>
      </c>
      <c r="BI66">
        <v>11</v>
      </c>
      <c r="BJ66" t="s">
        <v>226</v>
      </c>
      <c r="BK66" t="s">
        <v>91</v>
      </c>
      <c r="BL66" t="s">
        <v>226</v>
      </c>
      <c r="BM66" t="s">
        <v>1475</v>
      </c>
      <c r="BN66" t="s">
        <v>74</v>
      </c>
      <c r="BO66" t="s">
        <v>255</v>
      </c>
      <c r="BP66" t="s">
        <v>74</v>
      </c>
      <c r="BQ66" t="s">
        <v>74</v>
      </c>
      <c r="BR66" t="s">
        <v>93</v>
      </c>
      <c r="BS66" t="s">
        <v>1476</v>
      </c>
      <c r="BT66" t="str">
        <f>HYPERLINK("https%3A%2F%2Fwww.webofscience.com%2Fwos%2Fwoscc%2Ffull-record%2FWOS:000352158300003","View Full Record in Web of Science")</f>
        <v>View Full Record in Web of Science</v>
      </c>
    </row>
    <row r="67" spans="1:72" x14ac:dyDescent="0.15">
      <c r="A67" t="s">
        <v>72</v>
      </c>
      <c r="B67" t="s">
        <v>1477</v>
      </c>
      <c r="C67" t="s">
        <v>74</v>
      </c>
      <c r="D67" t="s">
        <v>74</v>
      </c>
      <c r="E67" t="s">
        <v>74</v>
      </c>
      <c r="F67" t="s">
        <v>1478</v>
      </c>
      <c r="G67" t="s">
        <v>74</v>
      </c>
      <c r="H67" t="s">
        <v>1479</v>
      </c>
      <c r="I67" t="s">
        <v>1480</v>
      </c>
      <c r="J67" t="s">
        <v>702</v>
      </c>
      <c r="K67" t="s">
        <v>74</v>
      </c>
      <c r="L67" t="s">
        <v>74</v>
      </c>
      <c r="M67" t="s">
        <v>78</v>
      </c>
      <c r="N67" t="s">
        <v>99</v>
      </c>
      <c r="O67" t="s">
        <v>74</v>
      </c>
      <c r="P67" t="s">
        <v>74</v>
      </c>
      <c r="Q67" t="s">
        <v>74</v>
      </c>
      <c r="R67" t="s">
        <v>74</v>
      </c>
      <c r="S67" t="s">
        <v>74</v>
      </c>
      <c r="T67" t="s">
        <v>74</v>
      </c>
      <c r="U67" t="s">
        <v>1481</v>
      </c>
      <c r="V67" t="s">
        <v>1482</v>
      </c>
      <c r="W67" t="s">
        <v>1483</v>
      </c>
      <c r="X67" t="s">
        <v>1484</v>
      </c>
      <c r="Y67" t="s">
        <v>1485</v>
      </c>
      <c r="Z67" t="s">
        <v>1486</v>
      </c>
      <c r="AA67" t="s">
        <v>1487</v>
      </c>
      <c r="AB67" t="s">
        <v>1488</v>
      </c>
      <c r="AC67" t="s">
        <v>1489</v>
      </c>
      <c r="AD67" t="s">
        <v>1490</v>
      </c>
      <c r="AE67" t="s">
        <v>1491</v>
      </c>
      <c r="AF67" t="s">
        <v>74</v>
      </c>
      <c r="AG67">
        <v>60</v>
      </c>
      <c r="AH67">
        <v>18</v>
      </c>
      <c r="AI67">
        <v>20</v>
      </c>
      <c r="AJ67">
        <v>0</v>
      </c>
      <c r="AK67">
        <v>18</v>
      </c>
      <c r="AL67" t="s">
        <v>244</v>
      </c>
      <c r="AM67" t="s">
        <v>245</v>
      </c>
      <c r="AN67" t="s">
        <v>246</v>
      </c>
      <c r="AO67" t="s">
        <v>714</v>
      </c>
      <c r="AP67" t="s">
        <v>715</v>
      </c>
      <c r="AQ67" t="s">
        <v>74</v>
      </c>
      <c r="AR67" t="s">
        <v>716</v>
      </c>
      <c r="AS67" t="s">
        <v>717</v>
      </c>
      <c r="AT67" t="s">
        <v>74</v>
      </c>
      <c r="AU67">
        <v>2015</v>
      </c>
      <c r="AV67">
        <v>11</v>
      </c>
      <c r="AW67">
        <v>3</v>
      </c>
      <c r="AX67" t="s">
        <v>74</v>
      </c>
      <c r="AY67" t="s">
        <v>74</v>
      </c>
      <c r="AZ67" t="s">
        <v>74</v>
      </c>
      <c r="BA67" t="s">
        <v>74</v>
      </c>
      <c r="BB67">
        <v>355</v>
      </c>
      <c r="BC67">
        <v>367</v>
      </c>
      <c r="BD67" t="s">
        <v>74</v>
      </c>
      <c r="BE67" t="s">
        <v>1492</v>
      </c>
      <c r="BF67" t="str">
        <f>HYPERLINK("http://dx.doi.org/10.5194/cp-11-355-2015","http://dx.doi.org/10.5194/cp-11-355-2015")</f>
        <v>http://dx.doi.org/10.5194/cp-11-355-2015</v>
      </c>
      <c r="BG67" t="s">
        <v>74</v>
      </c>
      <c r="BH67" t="s">
        <v>74</v>
      </c>
      <c r="BI67">
        <v>13</v>
      </c>
      <c r="BJ67" t="s">
        <v>637</v>
      </c>
      <c r="BK67" t="s">
        <v>91</v>
      </c>
      <c r="BL67" t="s">
        <v>638</v>
      </c>
      <c r="BM67" t="s">
        <v>1493</v>
      </c>
      <c r="BN67" t="s">
        <v>74</v>
      </c>
      <c r="BO67" t="s">
        <v>255</v>
      </c>
      <c r="BP67" t="s">
        <v>74</v>
      </c>
      <c r="BQ67" t="s">
        <v>74</v>
      </c>
      <c r="BR67" t="s">
        <v>93</v>
      </c>
      <c r="BS67" t="s">
        <v>1494</v>
      </c>
      <c r="BT67" t="str">
        <f>HYPERLINK("https%3A%2F%2Fwww.webofscience.com%2Fwos%2Fwoscc%2Ffull-record%2FWOS:000352159900001","View Full Record in Web of Science")</f>
        <v>View Full Record in Web of Science</v>
      </c>
    </row>
    <row r="68" spans="1:72" x14ac:dyDescent="0.15">
      <c r="A68" t="s">
        <v>72</v>
      </c>
      <c r="B68" t="s">
        <v>1495</v>
      </c>
      <c r="C68" t="s">
        <v>74</v>
      </c>
      <c r="D68" t="s">
        <v>74</v>
      </c>
      <c r="E68" t="s">
        <v>74</v>
      </c>
      <c r="F68" t="s">
        <v>1496</v>
      </c>
      <c r="G68" t="s">
        <v>74</v>
      </c>
      <c r="H68" t="s">
        <v>74</v>
      </c>
      <c r="I68" t="s">
        <v>1497</v>
      </c>
      <c r="J68" t="s">
        <v>1498</v>
      </c>
      <c r="K68" t="s">
        <v>74</v>
      </c>
      <c r="L68" t="s">
        <v>74</v>
      </c>
      <c r="M68" t="s">
        <v>78</v>
      </c>
      <c r="N68" t="s">
        <v>99</v>
      </c>
      <c r="O68" t="s">
        <v>74</v>
      </c>
      <c r="P68" t="s">
        <v>74</v>
      </c>
      <c r="Q68" t="s">
        <v>74</v>
      </c>
      <c r="R68" t="s">
        <v>74</v>
      </c>
      <c r="S68" t="s">
        <v>74</v>
      </c>
      <c r="T68" t="s">
        <v>1499</v>
      </c>
      <c r="U68" t="s">
        <v>1500</v>
      </c>
      <c r="V68" t="s">
        <v>1501</v>
      </c>
      <c r="W68" t="s">
        <v>1502</v>
      </c>
      <c r="X68" t="s">
        <v>1503</v>
      </c>
      <c r="Y68" t="s">
        <v>1504</v>
      </c>
      <c r="Z68" t="s">
        <v>1505</v>
      </c>
      <c r="AA68" t="s">
        <v>1506</v>
      </c>
      <c r="AB68" t="s">
        <v>1507</v>
      </c>
      <c r="AC68" t="s">
        <v>1508</v>
      </c>
      <c r="AD68" t="s">
        <v>1509</v>
      </c>
      <c r="AE68" t="s">
        <v>1510</v>
      </c>
      <c r="AF68" t="s">
        <v>74</v>
      </c>
      <c r="AG68">
        <v>72</v>
      </c>
      <c r="AH68">
        <v>7</v>
      </c>
      <c r="AI68">
        <v>7</v>
      </c>
      <c r="AJ68">
        <v>1</v>
      </c>
      <c r="AK68">
        <v>18</v>
      </c>
      <c r="AL68" t="s">
        <v>1061</v>
      </c>
      <c r="AM68" t="s">
        <v>1062</v>
      </c>
      <c r="AN68" t="s">
        <v>1063</v>
      </c>
      <c r="AO68" t="s">
        <v>1511</v>
      </c>
      <c r="AP68" t="s">
        <v>1512</v>
      </c>
      <c r="AQ68" t="s">
        <v>74</v>
      </c>
      <c r="AR68" t="s">
        <v>1513</v>
      </c>
      <c r="AS68" t="s">
        <v>1514</v>
      </c>
      <c r="AT68" t="s">
        <v>74</v>
      </c>
      <c r="AU68">
        <v>2015</v>
      </c>
      <c r="AV68">
        <v>12</v>
      </c>
      <c r="AW68">
        <v>2</v>
      </c>
      <c r="AX68" t="s">
        <v>74</v>
      </c>
      <c r="AY68" t="s">
        <v>74</v>
      </c>
      <c r="AZ68" t="s">
        <v>74</v>
      </c>
      <c r="BA68" t="s">
        <v>74</v>
      </c>
      <c r="BB68">
        <v>204</v>
      </c>
      <c r="BC68">
        <v>226</v>
      </c>
      <c r="BD68" t="s">
        <v>74</v>
      </c>
      <c r="BE68" t="s">
        <v>1515</v>
      </c>
      <c r="BF68" t="str">
        <f>HYPERLINK("http://dx.doi.org/10.1071/EN14126","http://dx.doi.org/10.1071/EN14126")</f>
        <v>http://dx.doi.org/10.1071/EN14126</v>
      </c>
      <c r="BG68" t="s">
        <v>74</v>
      </c>
      <c r="BH68" t="s">
        <v>74</v>
      </c>
      <c r="BI68">
        <v>23</v>
      </c>
      <c r="BJ68" t="s">
        <v>571</v>
      </c>
      <c r="BK68" t="s">
        <v>91</v>
      </c>
      <c r="BL68" t="s">
        <v>572</v>
      </c>
      <c r="BM68" t="s">
        <v>1516</v>
      </c>
      <c r="BN68" t="s">
        <v>74</v>
      </c>
      <c r="BO68" t="s">
        <v>74</v>
      </c>
      <c r="BP68" t="s">
        <v>74</v>
      </c>
      <c r="BQ68" t="s">
        <v>74</v>
      </c>
      <c r="BR68" t="s">
        <v>93</v>
      </c>
      <c r="BS68" t="s">
        <v>1517</v>
      </c>
      <c r="BT68" t="str">
        <f>HYPERLINK("https%3A%2F%2Fwww.webofscience.com%2Fwos%2Fwoscc%2Ffull-record%2FWOS:000351999300013","View Full Record in Web of Science")</f>
        <v>View Full Record in Web of Science</v>
      </c>
    </row>
    <row r="69" spans="1:72" x14ac:dyDescent="0.15">
      <c r="A69" t="s">
        <v>72</v>
      </c>
      <c r="B69" t="s">
        <v>1518</v>
      </c>
      <c r="C69" t="s">
        <v>74</v>
      </c>
      <c r="D69" t="s">
        <v>74</v>
      </c>
      <c r="E69" t="s">
        <v>74</v>
      </c>
      <c r="F69" t="s">
        <v>1519</v>
      </c>
      <c r="G69" t="s">
        <v>74</v>
      </c>
      <c r="H69" t="s">
        <v>74</v>
      </c>
      <c r="I69" t="s">
        <v>1520</v>
      </c>
      <c r="J69" t="s">
        <v>1521</v>
      </c>
      <c r="K69" t="s">
        <v>74</v>
      </c>
      <c r="L69" t="s">
        <v>74</v>
      </c>
      <c r="M69" t="s">
        <v>78</v>
      </c>
      <c r="N69" t="s">
        <v>99</v>
      </c>
      <c r="O69" t="s">
        <v>74</v>
      </c>
      <c r="P69" t="s">
        <v>74</v>
      </c>
      <c r="Q69" t="s">
        <v>74</v>
      </c>
      <c r="R69" t="s">
        <v>74</v>
      </c>
      <c r="S69" t="s">
        <v>74</v>
      </c>
      <c r="T69" t="s">
        <v>74</v>
      </c>
      <c r="U69" t="s">
        <v>1522</v>
      </c>
      <c r="V69" t="s">
        <v>1523</v>
      </c>
      <c r="W69" t="s">
        <v>1524</v>
      </c>
      <c r="X69" t="s">
        <v>1525</v>
      </c>
      <c r="Y69" t="s">
        <v>1526</v>
      </c>
      <c r="Z69" t="s">
        <v>1527</v>
      </c>
      <c r="AA69" t="s">
        <v>1528</v>
      </c>
      <c r="AB69" t="s">
        <v>1529</v>
      </c>
      <c r="AC69" t="s">
        <v>1530</v>
      </c>
      <c r="AD69" t="s">
        <v>1531</v>
      </c>
      <c r="AE69" t="s">
        <v>1532</v>
      </c>
      <c r="AF69" t="s">
        <v>74</v>
      </c>
      <c r="AG69">
        <v>78</v>
      </c>
      <c r="AH69">
        <v>6</v>
      </c>
      <c r="AI69">
        <v>9</v>
      </c>
      <c r="AJ69">
        <v>0</v>
      </c>
      <c r="AK69">
        <v>27</v>
      </c>
      <c r="AL69" t="s">
        <v>244</v>
      </c>
      <c r="AM69" t="s">
        <v>245</v>
      </c>
      <c r="AN69" t="s">
        <v>246</v>
      </c>
      <c r="AO69" t="s">
        <v>1533</v>
      </c>
      <c r="AP69" t="s">
        <v>74</v>
      </c>
      <c r="AQ69" t="s">
        <v>74</v>
      </c>
      <c r="AR69" t="s">
        <v>1534</v>
      </c>
      <c r="AS69" t="s">
        <v>1535</v>
      </c>
      <c r="AT69" t="s">
        <v>74</v>
      </c>
      <c r="AU69">
        <v>2015</v>
      </c>
      <c r="AV69">
        <v>11</v>
      </c>
      <c r="AW69">
        <v>2</v>
      </c>
      <c r="AX69" t="s">
        <v>74</v>
      </c>
      <c r="AY69" t="s">
        <v>74</v>
      </c>
      <c r="AZ69" t="s">
        <v>74</v>
      </c>
      <c r="BA69" t="s">
        <v>74</v>
      </c>
      <c r="BB69">
        <v>215</v>
      </c>
      <c r="BC69">
        <v>236</v>
      </c>
      <c r="BD69" t="s">
        <v>74</v>
      </c>
      <c r="BE69" t="s">
        <v>1536</v>
      </c>
      <c r="BF69" t="str">
        <f>HYPERLINK("http://dx.doi.org/10.5194/os-11-215-2015","http://dx.doi.org/10.5194/os-11-215-2015")</f>
        <v>http://dx.doi.org/10.5194/os-11-215-2015</v>
      </c>
      <c r="BG69" t="s">
        <v>74</v>
      </c>
      <c r="BH69" t="s">
        <v>74</v>
      </c>
      <c r="BI69">
        <v>22</v>
      </c>
      <c r="BJ69" t="s">
        <v>1537</v>
      </c>
      <c r="BK69" t="s">
        <v>91</v>
      </c>
      <c r="BL69" t="s">
        <v>1537</v>
      </c>
      <c r="BM69" t="s">
        <v>1538</v>
      </c>
      <c r="BN69" t="s">
        <v>74</v>
      </c>
      <c r="BO69" t="s">
        <v>1539</v>
      </c>
      <c r="BP69" t="s">
        <v>74</v>
      </c>
      <c r="BQ69" t="s">
        <v>74</v>
      </c>
      <c r="BR69" t="s">
        <v>93</v>
      </c>
      <c r="BS69" t="s">
        <v>1540</v>
      </c>
      <c r="BT69" t="str">
        <f>HYPERLINK("https%3A%2F%2Fwww.webofscience.com%2Fwos%2Fwoscc%2Ffull-record%2FWOS:000352488400001","View Full Record in Web of Science")</f>
        <v>View Full Record in Web of Science</v>
      </c>
    </row>
    <row r="70" spans="1:72" x14ac:dyDescent="0.15">
      <c r="A70" t="s">
        <v>72</v>
      </c>
      <c r="B70" t="s">
        <v>1541</v>
      </c>
      <c r="C70" t="s">
        <v>74</v>
      </c>
      <c r="D70" t="s">
        <v>74</v>
      </c>
      <c r="E70" t="s">
        <v>74</v>
      </c>
      <c r="F70" t="s">
        <v>1542</v>
      </c>
      <c r="G70" t="s">
        <v>74</v>
      </c>
      <c r="H70" t="s">
        <v>74</v>
      </c>
      <c r="I70" t="s">
        <v>1543</v>
      </c>
      <c r="J70" t="s">
        <v>597</v>
      </c>
      <c r="K70" t="s">
        <v>74</v>
      </c>
      <c r="L70" t="s">
        <v>74</v>
      </c>
      <c r="M70" t="s">
        <v>78</v>
      </c>
      <c r="N70" t="s">
        <v>99</v>
      </c>
      <c r="O70" t="s">
        <v>74</v>
      </c>
      <c r="P70" t="s">
        <v>74</v>
      </c>
      <c r="Q70" t="s">
        <v>74</v>
      </c>
      <c r="R70" t="s">
        <v>74</v>
      </c>
      <c r="S70" t="s">
        <v>74</v>
      </c>
      <c r="T70" t="s">
        <v>74</v>
      </c>
      <c r="U70" t="s">
        <v>1544</v>
      </c>
      <c r="V70" t="s">
        <v>1545</v>
      </c>
      <c r="W70" t="s">
        <v>1546</v>
      </c>
      <c r="X70" t="s">
        <v>1547</v>
      </c>
      <c r="Y70" t="s">
        <v>1548</v>
      </c>
      <c r="Z70" t="s">
        <v>1549</v>
      </c>
      <c r="AA70" t="s">
        <v>1550</v>
      </c>
      <c r="AB70" t="s">
        <v>1551</v>
      </c>
      <c r="AC70" t="s">
        <v>1552</v>
      </c>
      <c r="AD70" t="s">
        <v>1553</v>
      </c>
      <c r="AE70" t="s">
        <v>1554</v>
      </c>
      <c r="AF70" t="s">
        <v>74</v>
      </c>
      <c r="AG70">
        <v>49</v>
      </c>
      <c r="AH70">
        <v>26</v>
      </c>
      <c r="AI70">
        <v>26</v>
      </c>
      <c r="AJ70">
        <v>3</v>
      </c>
      <c r="AK70">
        <v>35</v>
      </c>
      <c r="AL70" t="s">
        <v>244</v>
      </c>
      <c r="AM70" t="s">
        <v>245</v>
      </c>
      <c r="AN70" t="s">
        <v>246</v>
      </c>
      <c r="AO70" t="s">
        <v>609</v>
      </c>
      <c r="AP70" t="s">
        <v>610</v>
      </c>
      <c r="AQ70" t="s">
        <v>74</v>
      </c>
      <c r="AR70" t="s">
        <v>597</v>
      </c>
      <c r="AS70" t="s">
        <v>611</v>
      </c>
      <c r="AT70" t="s">
        <v>74</v>
      </c>
      <c r="AU70">
        <v>2015</v>
      </c>
      <c r="AV70">
        <v>12</v>
      </c>
      <c r="AW70">
        <v>6</v>
      </c>
      <c r="AX70" t="s">
        <v>74</v>
      </c>
      <c r="AY70" t="s">
        <v>74</v>
      </c>
      <c r="AZ70" t="s">
        <v>74</v>
      </c>
      <c r="BA70" t="s">
        <v>74</v>
      </c>
      <c r="BB70">
        <v>1893</v>
      </c>
      <c r="BC70">
        <v>1906</v>
      </c>
      <c r="BD70" t="s">
        <v>74</v>
      </c>
      <c r="BE70" t="s">
        <v>1555</v>
      </c>
      <c r="BF70" t="str">
        <f>HYPERLINK("http://dx.doi.org/10.5194/bg-12-1893-2015","http://dx.doi.org/10.5194/bg-12-1893-2015")</f>
        <v>http://dx.doi.org/10.5194/bg-12-1893-2015</v>
      </c>
      <c r="BG70" t="s">
        <v>74</v>
      </c>
      <c r="BH70" t="s">
        <v>74</v>
      </c>
      <c r="BI70">
        <v>14</v>
      </c>
      <c r="BJ70" t="s">
        <v>613</v>
      </c>
      <c r="BK70" t="s">
        <v>91</v>
      </c>
      <c r="BL70" t="s">
        <v>614</v>
      </c>
      <c r="BM70" t="s">
        <v>1556</v>
      </c>
      <c r="BN70" t="s">
        <v>74</v>
      </c>
      <c r="BO70" t="s">
        <v>1557</v>
      </c>
      <c r="BP70" t="s">
        <v>74</v>
      </c>
      <c r="BQ70" t="s">
        <v>74</v>
      </c>
      <c r="BR70" t="s">
        <v>93</v>
      </c>
      <c r="BS70" t="s">
        <v>1558</v>
      </c>
      <c r="BT70" t="str">
        <f>HYPERLINK("https%3A%2F%2Fwww.webofscience.com%2Fwos%2Fwoscc%2Ffull-record%2FWOS:000352112900018","View Full Record in Web of Science")</f>
        <v>View Full Record in Web of Science</v>
      </c>
    </row>
    <row r="71" spans="1:72" x14ac:dyDescent="0.15">
      <c r="A71" t="s">
        <v>72</v>
      </c>
      <c r="B71" t="s">
        <v>1559</v>
      </c>
      <c r="C71" t="s">
        <v>74</v>
      </c>
      <c r="D71" t="s">
        <v>74</v>
      </c>
      <c r="E71" t="s">
        <v>74</v>
      </c>
      <c r="F71" t="s">
        <v>1559</v>
      </c>
      <c r="G71" t="s">
        <v>74</v>
      </c>
      <c r="H71" t="s">
        <v>74</v>
      </c>
      <c r="I71" t="s">
        <v>1560</v>
      </c>
      <c r="J71" t="s">
        <v>1561</v>
      </c>
      <c r="K71" t="s">
        <v>74</v>
      </c>
      <c r="L71" t="s">
        <v>74</v>
      </c>
      <c r="M71" t="s">
        <v>78</v>
      </c>
      <c r="N71" t="s">
        <v>1562</v>
      </c>
      <c r="O71" t="s">
        <v>74</v>
      </c>
      <c r="P71" t="s">
        <v>74</v>
      </c>
      <c r="Q71" t="s">
        <v>74</v>
      </c>
      <c r="R71" t="s">
        <v>74</v>
      </c>
      <c r="S71" t="s">
        <v>74</v>
      </c>
      <c r="T71" t="s">
        <v>74</v>
      </c>
      <c r="U71" t="s">
        <v>74</v>
      </c>
      <c r="V71" t="s">
        <v>74</v>
      </c>
      <c r="W71" t="s">
        <v>74</v>
      </c>
      <c r="X71" t="s">
        <v>74</v>
      </c>
      <c r="Y71" t="s">
        <v>74</v>
      </c>
      <c r="Z71" t="s">
        <v>74</v>
      </c>
      <c r="AA71" t="s">
        <v>74</v>
      </c>
      <c r="AB71" t="s">
        <v>74</v>
      </c>
      <c r="AC71" t="s">
        <v>74</v>
      </c>
      <c r="AD71" t="s">
        <v>74</v>
      </c>
      <c r="AE71" t="s">
        <v>74</v>
      </c>
      <c r="AF71" t="s">
        <v>74</v>
      </c>
      <c r="AG71">
        <v>0</v>
      </c>
      <c r="AH71">
        <v>0</v>
      </c>
      <c r="AI71">
        <v>0</v>
      </c>
      <c r="AJ71">
        <v>0</v>
      </c>
      <c r="AK71">
        <v>1</v>
      </c>
      <c r="AL71" t="s">
        <v>1563</v>
      </c>
      <c r="AM71" t="s">
        <v>1564</v>
      </c>
      <c r="AN71" t="s">
        <v>1565</v>
      </c>
      <c r="AO71" t="s">
        <v>1566</v>
      </c>
      <c r="AP71" t="s">
        <v>1567</v>
      </c>
      <c r="AQ71" t="s">
        <v>74</v>
      </c>
      <c r="AR71" t="s">
        <v>1568</v>
      </c>
      <c r="AS71" t="s">
        <v>1569</v>
      </c>
      <c r="AT71" t="s">
        <v>200</v>
      </c>
      <c r="AU71">
        <v>2015</v>
      </c>
      <c r="AV71">
        <v>96</v>
      </c>
      <c r="AW71">
        <v>1</v>
      </c>
      <c r="AX71" t="s">
        <v>74</v>
      </c>
      <c r="AY71" t="s">
        <v>74</v>
      </c>
      <c r="AZ71" t="s">
        <v>74</v>
      </c>
      <c r="BA71" t="s">
        <v>74</v>
      </c>
      <c r="BB71">
        <v>13</v>
      </c>
      <c r="BC71">
        <v>14</v>
      </c>
      <c r="BD71" t="s">
        <v>74</v>
      </c>
      <c r="BE71" t="s">
        <v>74</v>
      </c>
      <c r="BF71" t="s">
        <v>74</v>
      </c>
      <c r="BG71" t="s">
        <v>74</v>
      </c>
      <c r="BH71" t="s">
        <v>74</v>
      </c>
      <c r="BI71">
        <v>2</v>
      </c>
      <c r="BJ71" t="s">
        <v>226</v>
      </c>
      <c r="BK71" t="s">
        <v>91</v>
      </c>
      <c r="BL71" t="s">
        <v>226</v>
      </c>
      <c r="BM71" t="s">
        <v>1570</v>
      </c>
      <c r="BN71" t="s">
        <v>74</v>
      </c>
      <c r="BO71" t="s">
        <v>74</v>
      </c>
      <c r="BP71" t="s">
        <v>74</v>
      </c>
      <c r="BQ71" t="s">
        <v>74</v>
      </c>
      <c r="BR71" t="s">
        <v>93</v>
      </c>
      <c r="BS71" t="s">
        <v>1571</v>
      </c>
      <c r="BT71" t="str">
        <f>HYPERLINK("https%3A%2F%2Fwww.webofscience.com%2Fwos%2Fwoscc%2Ffull-record%2FWOS:000351478700005","View Full Record in Web of Science")</f>
        <v>View Full Record in Web of Science</v>
      </c>
    </row>
    <row r="72" spans="1:72" x14ac:dyDescent="0.15">
      <c r="A72" t="s">
        <v>72</v>
      </c>
      <c r="B72" t="s">
        <v>1572</v>
      </c>
      <c r="C72" t="s">
        <v>74</v>
      </c>
      <c r="D72" t="s">
        <v>74</v>
      </c>
      <c r="E72" t="s">
        <v>74</v>
      </c>
      <c r="F72" t="s">
        <v>1573</v>
      </c>
      <c r="G72" t="s">
        <v>74</v>
      </c>
      <c r="H72" t="s">
        <v>74</v>
      </c>
      <c r="I72" t="s">
        <v>1574</v>
      </c>
      <c r="J72" t="s">
        <v>480</v>
      </c>
      <c r="K72" t="s">
        <v>74</v>
      </c>
      <c r="L72" t="s">
        <v>74</v>
      </c>
      <c r="M72" t="s">
        <v>78</v>
      </c>
      <c r="N72" t="s">
        <v>99</v>
      </c>
      <c r="O72" t="s">
        <v>74</v>
      </c>
      <c r="P72" t="s">
        <v>74</v>
      </c>
      <c r="Q72" t="s">
        <v>74</v>
      </c>
      <c r="R72" t="s">
        <v>74</v>
      </c>
      <c r="S72" t="s">
        <v>74</v>
      </c>
      <c r="T72" t="s">
        <v>74</v>
      </c>
      <c r="U72" t="s">
        <v>1575</v>
      </c>
      <c r="V72" t="s">
        <v>1576</v>
      </c>
      <c r="W72" t="s">
        <v>1577</v>
      </c>
      <c r="X72" t="s">
        <v>1578</v>
      </c>
      <c r="Y72" t="s">
        <v>1579</v>
      </c>
      <c r="Z72" t="s">
        <v>1580</v>
      </c>
      <c r="AA72" t="s">
        <v>1581</v>
      </c>
      <c r="AB72" t="s">
        <v>1582</v>
      </c>
      <c r="AC72" t="s">
        <v>1583</v>
      </c>
      <c r="AD72" t="s">
        <v>1584</v>
      </c>
      <c r="AE72" t="s">
        <v>1585</v>
      </c>
      <c r="AF72" t="s">
        <v>74</v>
      </c>
      <c r="AG72">
        <v>41</v>
      </c>
      <c r="AH72">
        <v>57</v>
      </c>
      <c r="AI72">
        <v>57</v>
      </c>
      <c r="AJ72">
        <v>0</v>
      </c>
      <c r="AK72">
        <v>26</v>
      </c>
      <c r="AL72" t="s">
        <v>244</v>
      </c>
      <c r="AM72" t="s">
        <v>245</v>
      </c>
      <c r="AN72" t="s">
        <v>246</v>
      </c>
      <c r="AO72" t="s">
        <v>492</v>
      </c>
      <c r="AP72" t="s">
        <v>493</v>
      </c>
      <c r="AQ72" t="s">
        <v>74</v>
      </c>
      <c r="AR72" t="s">
        <v>494</v>
      </c>
      <c r="AS72" t="s">
        <v>495</v>
      </c>
      <c r="AT72" t="s">
        <v>74</v>
      </c>
      <c r="AU72">
        <v>2015</v>
      </c>
      <c r="AV72">
        <v>15</v>
      </c>
      <c r="AW72">
        <v>6</v>
      </c>
      <c r="AX72" t="s">
        <v>74</v>
      </c>
      <c r="AY72" t="s">
        <v>74</v>
      </c>
      <c r="AZ72" t="s">
        <v>74</v>
      </c>
      <c r="BA72" t="s">
        <v>74</v>
      </c>
      <c r="BB72">
        <v>2915</v>
      </c>
      <c r="BC72">
        <v>2933</v>
      </c>
      <c r="BD72" t="s">
        <v>74</v>
      </c>
      <c r="BE72" t="s">
        <v>1586</v>
      </c>
      <c r="BF72" t="str">
        <f>HYPERLINK("http://dx.doi.org/10.5194/acp-15-2915-2015","http://dx.doi.org/10.5194/acp-15-2915-2015")</f>
        <v>http://dx.doi.org/10.5194/acp-15-2915-2015</v>
      </c>
      <c r="BG72" t="s">
        <v>74</v>
      </c>
      <c r="BH72" t="s">
        <v>74</v>
      </c>
      <c r="BI72">
        <v>19</v>
      </c>
      <c r="BJ72" t="s">
        <v>497</v>
      </c>
      <c r="BK72" t="s">
        <v>91</v>
      </c>
      <c r="BL72" t="s">
        <v>498</v>
      </c>
      <c r="BM72" t="s">
        <v>1587</v>
      </c>
      <c r="BN72" t="s">
        <v>74</v>
      </c>
      <c r="BO72" t="s">
        <v>523</v>
      </c>
      <c r="BP72" t="s">
        <v>74</v>
      </c>
      <c r="BQ72" t="s">
        <v>74</v>
      </c>
      <c r="BR72" t="s">
        <v>93</v>
      </c>
      <c r="BS72" t="s">
        <v>1588</v>
      </c>
      <c r="BT72" t="str">
        <f>HYPERLINK("https%3A%2F%2Fwww.webofscience.com%2Fwos%2Fwoscc%2Ffull-record%2FWOS:000350986500001","View Full Record in Web of Science")</f>
        <v>View Full Record in Web of Science</v>
      </c>
    </row>
    <row r="73" spans="1:72" x14ac:dyDescent="0.15">
      <c r="A73" t="s">
        <v>72</v>
      </c>
      <c r="B73" t="s">
        <v>1589</v>
      </c>
      <c r="C73" t="s">
        <v>74</v>
      </c>
      <c r="D73" t="s">
        <v>74</v>
      </c>
      <c r="E73" t="s">
        <v>74</v>
      </c>
      <c r="F73" t="s">
        <v>1590</v>
      </c>
      <c r="G73" t="s">
        <v>74</v>
      </c>
      <c r="H73" t="s">
        <v>74</v>
      </c>
      <c r="I73" t="s">
        <v>1591</v>
      </c>
      <c r="J73" t="s">
        <v>1592</v>
      </c>
      <c r="K73" t="s">
        <v>74</v>
      </c>
      <c r="L73" t="s">
        <v>74</v>
      </c>
      <c r="M73" t="s">
        <v>78</v>
      </c>
      <c r="N73" t="s">
        <v>99</v>
      </c>
      <c r="O73" t="s">
        <v>74</v>
      </c>
      <c r="P73" t="s">
        <v>74</v>
      </c>
      <c r="Q73" t="s">
        <v>74</v>
      </c>
      <c r="R73" t="s">
        <v>74</v>
      </c>
      <c r="S73" t="s">
        <v>74</v>
      </c>
      <c r="T73" t="s">
        <v>1593</v>
      </c>
      <c r="U73" t="s">
        <v>1594</v>
      </c>
      <c r="V73" t="s">
        <v>1595</v>
      </c>
      <c r="W73" t="s">
        <v>1596</v>
      </c>
      <c r="X73" t="s">
        <v>1597</v>
      </c>
      <c r="Y73" t="s">
        <v>1598</v>
      </c>
      <c r="Z73" t="s">
        <v>1599</v>
      </c>
      <c r="AA73" t="s">
        <v>1600</v>
      </c>
      <c r="AB73" t="s">
        <v>74</v>
      </c>
      <c r="AC73" t="s">
        <v>1601</v>
      </c>
      <c r="AD73" t="s">
        <v>1602</v>
      </c>
      <c r="AE73" t="s">
        <v>1603</v>
      </c>
      <c r="AF73" t="s">
        <v>74</v>
      </c>
      <c r="AG73">
        <v>48</v>
      </c>
      <c r="AH73">
        <v>11</v>
      </c>
      <c r="AI73">
        <v>13</v>
      </c>
      <c r="AJ73">
        <v>1</v>
      </c>
      <c r="AK73">
        <v>39</v>
      </c>
      <c r="AL73" t="s">
        <v>1604</v>
      </c>
      <c r="AM73" t="s">
        <v>1605</v>
      </c>
      <c r="AN73" t="s">
        <v>1606</v>
      </c>
      <c r="AO73" t="s">
        <v>1607</v>
      </c>
      <c r="AP73" t="s">
        <v>74</v>
      </c>
      <c r="AQ73" t="s">
        <v>74</v>
      </c>
      <c r="AR73" t="s">
        <v>1608</v>
      </c>
      <c r="AS73" t="s">
        <v>1609</v>
      </c>
      <c r="AT73" t="s">
        <v>200</v>
      </c>
      <c r="AU73">
        <v>2015</v>
      </c>
      <c r="AV73">
        <v>6</v>
      </c>
      <c r="AW73">
        <v>1</v>
      </c>
      <c r="AX73" t="s">
        <v>74</v>
      </c>
      <c r="AY73" t="s">
        <v>74</v>
      </c>
      <c r="AZ73" t="s">
        <v>74</v>
      </c>
      <c r="BA73" t="s">
        <v>74</v>
      </c>
      <c r="BB73">
        <v>154</v>
      </c>
      <c r="BC73">
        <v>161</v>
      </c>
      <c r="BD73" t="s">
        <v>74</v>
      </c>
      <c r="BE73" t="s">
        <v>1610</v>
      </c>
      <c r="BF73" t="str">
        <f>HYPERLINK("http://dx.doi.org/10.5094/APR.2015.018","http://dx.doi.org/10.5094/APR.2015.018")</f>
        <v>http://dx.doi.org/10.5094/APR.2015.018</v>
      </c>
      <c r="BG73" t="s">
        <v>74</v>
      </c>
      <c r="BH73" t="s">
        <v>74</v>
      </c>
      <c r="BI73">
        <v>8</v>
      </c>
      <c r="BJ73" t="s">
        <v>1611</v>
      </c>
      <c r="BK73" t="s">
        <v>91</v>
      </c>
      <c r="BL73" t="s">
        <v>395</v>
      </c>
      <c r="BM73" t="s">
        <v>1612</v>
      </c>
      <c r="BN73" t="s">
        <v>74</v>
      </c>
      <c r="BO73" t="s">
        <v>134</v>
      </c>
      <c r="BP73" t="s">
        <v>74</v>
      </c>
      <c r="BQ73" t="s">
        <v>74</v>
      </c>
      <c r="BR73" t="s">
        <v>93</v>
      </c>
      <c r="BS73" t="s">
        <v>1613</v>
      </c>
      <c r="BT73" t="str">
        <f>HYPERLINK("https%3A%2F%2Fwww.webofscience.com%2Fwos%2Fwoscc%2Ffull-record%2FWOS:000351543300018","View Full Record in Web of Science")</f>
        <v>View Full Record in Web of Science</v>
      </c>
    </row>
    <row r="74" spans="1:72" x14ac:dyDescent="0.15">
      <c r="A74" t="s">
        <v>72</v>
      </c>
      <c r="B74" t="s">
        <v>1614</v>
      </c>
      <c r="C74" t="s">
        <v>74</v>
      </c>
      <c r="D74" t="s">
        <v>74</v>
      </c>
      <c r="E74" t="s">
        <v>74</v>
      </c>
      <c r="F74" t="s">
        <v>1615</v>
      </c>
      <c r="G74" t="s">
        <v>74</v>
      </c>
      <c r="H74" t="s">
        <v>74</v>
      </c>
      <c r="I74" t="s">
        <v>1616</v>
      </c>
      <c r="J74" t="s">
        <v>1617</v>
      </c>
      <c r="K74" t="s">
        <v>74</v>
      </c>
      <c r="L74" t="s">
        <v>74</v>
      </c>
      <c r="M74" t="s">
        <v>78</v>
      </c>
      <c r="N74" t="s">
        <v>99</v>
      </c>
      <c r="O74" t="s">
        <v>74</v>
      </c>
      <c r="P74" t="s">
        <v>74</v>
      </c>
      <c r="Q74" t="s">
        <v>74</v>
      </c>
      <c r="R74" t="s">
        <v>74</v>
      </c>
      <c r="S74" t="s">
        <v>74</v>
      </c>
      <c r="T74" t="s">
        <v>1618</v>
      </c>
      <c r="U74" t="s">
        <v>1619</v>
      </c>
      <c r="V74" t="s">
        <v>1620</v>
      </c>
      <c r="W74" t="s">
        <v>1621</v>
      </c>
      <c r="X74" t="s">
        <v>1622</v>
      </c>
      <c r="Y74" t="s">
        <v>1623</v>
      </c>
      <c r="Z74" t="s">
        <v>1624</v>
      </c>
      <c r="AA74" t="s">
        <v>74</v>
      </c>
      <c r="AB74" t="s">
        <v>1625</v>
      </c>
      <c r="AC74" t="s">
        <v>74</v>
      </c>
      <c r="AD74" t="s">
        <v>74</v>
      </c>
      <c r="AE74" t="s">
        <v>74</v>
      </c>
      <c r="AF74" t="s">
        <v>74</v>
      </c>
      <c r="AG74">
        <v>44</v>
      </c>
      <c r="AH74">
        <v>0</v>
      </c>
      <c r="AI74">
        <v>0</v>
      </c>
      <c r="AJ74">
        <v>1</v>
      </c>
      <c r="AK74">
        <v>36</v>
      </c>
      <c r="AL74" t="s">
        <v>1061</v>
      </c>
      <c r="AM74" t="s">
        <v>1062</v>
      </c>
      <c r="AN74" t="s">
        <v>1063</v>
      </c>
      <c r="AO74" t="s">
        <v>1626</v>
      </c>
      <c r="AP74" t="s">
        <v>1627</v>
      </c>
      <c r="AQ74" t="s">
        <v>74</v>
      </c>
      <c r="AR74" t="s">
        <v>1628</v>
      </c>
      <c r="AS74" t="s">
        <v>1629</v>
      </c>
      <c r="AT74" t="s">
        <v>74</v>
      </c>
      <c r="AU74">
        <v>2015</v>
      </c>
      <c r="AV74">
        <v>37</v>
      </c>
      <c r="AW74">
        <v>1</v>
      </c>
      <c r="AX74" t="s">
        <v>74</v>
      </c>
      <c r="AY74" t="s">
        <v>74</v>
      </c>
      <c r="AZ74" t="s">
        <v>74</v>
      </c>
      <c r="BA74" t="s">
        <v>74</v>
      </c>
      <c r="BB74">
        <v>92</v>
      </c>
      <c r="BC74">
        <v>96</v>
      </c>
      <c r="BD74" t="s">
        <v>74</v>
      </c>
      <c r="BE74" t="s">
        <v>1630</v>
      </c>
      <c r="BF74" t="str">
        <f>HYPERLINK("http://dx.doi.org/10.1071/AM12029","http://dx.doi.org/10.1071/AM12029")</f>
        <v>http://dx.doi.org/10.1071/AM12029</v>
      </c>
      <c r="BG74" t="s">
        <v>74</v>
      </c>
      <c r="BH74" t="s">
        <v>74</v>
      </c>
      <c r="BI74">
        <v>5</v>
      </c>
      <c r="BJ74" t="s">
        <v>423</v>
      </c>
      <c r="BK74" t="s">
        <v>91</v>
      </c>
      <c r="BL74" t="s">
        <v>423</v>
      </c>
      <c r="BM74" t="s">
        <v>1631</v>
      </c>
      <c r="BN74" t="s">
        <v>74</v>
      </c>
      <c r="BO74" t="s">
        <v>74</v>
      </c>
      <c r="BP74" t="s">
        <v>74</v>
      </c>
      <c r="BQ74" t="s">
        <v>74</v>
      </c>
      <c r="BR74" t="s">
        <v>93</v>
      </c>
      <c r="BS74" t="s">
        <v>1632</v>
      </c>
      <c r="BT74" t="str">
        <f>HYPERLINK("https%3A%2F%2Fwww.webofscience.com%2Fwos%2Fwoscc%2Ffull-record%2FWOS:000351379200011","View Full Record in Web of Science")</f>
        <v>View Full Record in Web of Science</v>
      </c>
    </row>
    <row r="75" spans="1:72" x14ac:dyDescent="0.15">
      <c r="A75" t="s">
        <v>72</v>
      </c>
      <c r="B75" t="s">
        <v>1633</v>
      </c>
      <c r="C75" t="s">
        <v>74</v>
      </c>
      <c r="D75" t="s">
        <v>74</v>
      </c>
      <c r="E75" t="s">
        <v>74</v>
      </c>
      <c r="F75" t="s">
        <v>1634</v>
      </c>
      <c r="G75" t="s">
        <v>74</v>
      </c>
      <c r="H75" t="s">
        <v>74</v>
      </c>
      <c r="I75" t="s">
        <v>1635</v>
      </c>
      <c r="J75" t="s">
        <v>597</v>
      </c>
      <c r="K75" t="s">
        <v>74</v>
      </c>
      <c r="L75" t="s">
        <v>74</v>
      </c>
      <c r="M75" t="s">
        <v>78</v>
      </c>
      <c r="N75" t="s">
        <v>99</v>
      </c>
      <c r="O75" t="s">
        <v>74</v>
      </c>
      <c r="P75" t="s">
        <v>74</v>
      </c>
      <c r="Q75" t="s">
        <v>74</v>
      </c>
      <c r="R75" t="s">
        <v>74</v>
      </c>
      <c r="S75" t="s">
        <v>74</v>
      </c>
      <c r="T75" t="s">
        <v>74</v>
      </c>
      <c r="U75" t="s">
        <v>1636</v>
      </c>
      <c r="V75" t="s">
        <v>1637</v>
      </c>
      <c r="W75" t="s">
        <v>1638</v>
      </c>
      <c r="X75" t="s">
        <v>1639</v>
      </c>
      <c r="Y75" t="s">
        <v>1640</v>
      </c>
      <c r="Z75" t="s">
        <v>1641</v>
      </c>
      <c r="AA75" t="s">
        <v>1642</v>
      </c>
      <c r="AB75" t="s">
        <v>1643</v>
      </c>
      <c r="AC75" t="s">
        <v>1644</v>
      </c>
      <c r="AD75" t="s">
        <v>1645</v>
      </c>
      <c r="AE75" t="s">
        <v>1646</v>
      </c>
      <c r="AF75" t="s">
        <v>74</v>
      </c>
      <c r="AG75">
        <v>61</v>
      </c>
      <c r="AH75">
        <v>11</v>
      </c>
      <c r="AI75">
        <v>12</v>
      </c>
      <c r="AJ75">
        <v>0</v>
      </c>
      <c r="AK75">
        <v>47</v>
      </c>
      <c r="AL75" t="s">
        <v>244</v>
      </c>
      <c r="AM75" t="s">
        <v>245</v>
      </c>
      <c r="AN75" t="s">
        <v>246</v>
      </c>
      <c r="AO75" t="s">
        <v>609</v>
      </c>
      <c r="AP75" t="s">
        <v>610</v>
      </c>
      <c r="AQ75" t="s">
        <v>74</v>
      </c>
      <c r="AR75" t="s">
        <v>597</v>
      </c>
      <c r="AS75" t="s">
        <v>611</v>
      </c>
      <c r="AT75" t="s">
        <v>74</v>
      </c>
      <c r="AU75">
        <v>2015</v>
      </c>
      <c r="AV75">
        <v>12</v>
      </c>
      <c r="AW75">
        <v>5</v>
      </c>
      <c r="AX75" t="s">
        <v>74</v>
      </c>
      <c r="AY75" t="s">
        <v>74</v>
      </c>
      <c r="AZ75" t="s">
        <v>74</v>
      </c>
      <c r="BA75" t="s">
        <v>74</v>
      </c>
      <c r="BB75">
        <v>1459</v>
      </c>
      <c r="BC75">
        <v>1482</v>
      </c>
      <c r="BD75" t="s">
        <v>74</v>
      </c>
      <c r="BE75" t="s">
        <v>1647</v>
      </c>
      <c r="BF75" t="str">
        <f>HYPERLINK("http://dx.doi.org/10.5194/bg-12-1459-2015","http://dx.doi.org/10.5194/bg-12-1459-2015")</f>
        <v>http://dx.doi.org/10.5194/bg-12-1459-2015</v>
      </c>
      <c r="BG75" t="s">
        <v>74</v>
      </c>
      <c r="BH75" t="s">
        <v>74</v>
      </c>
      <c r="BI75">
        <v>24</v>
      </c>
      <c r="BJ75" t="s">
        <v>613</v>
      </c>
      <c r="BK75" t="s">
        <v>91</v>
      </c>
      <c r="BL75" t="s">
        <v>614</v>
      </c>
      <c r="BM75" t="s">
        <v>1648</v>
      </c>
      <c r="BN75" t="s">
        <v>74</v>
      </c>
      <c r="BO75" t="s">
        <v>1649</v>
      </c>
      <c r="BP75" t="s">
        <v>74</v>
      </c>
      <c r="BQ75" t="s">
        <v>74</v>
      </c>
      <c r="BR75" t="s">
        <v>93</v>
      </c>
      <c r="BS75" t="s">
        <v>1650</v>
      </c>
      <c r="BT75" t="str">
        <f>HYPERLINK("https%3A%2F%2Fwww.webofscience.com%2Fwos%2Fwoscc%2Ffull-record%2FWOS:000350987900012","View Full Record in Web of Science")</f>
        <v>View Full Record in Web of Science</v>
      </c>
    </row>
    <row r="76" spans="1:72" x14ac:dyDescent="0.15">
      <c r="A76" t="s">
        <v>1395</v>
      </c>
      <c r="B76" t="s">
        <v>1651</v>
      </c>
      <c r="C76" t="s">
        <v>1652</v>
      </c>
      <c r="D76" t="s">
        <v>74</v>
      </c>
      <c r="E76" t="s">
        <v>74</v>
      </c>
      <c r="F76" t="s">
        <v>1653</v>
      </c>
      <c r="G76" t="s">
        <v>1652</v>
      </c>
      <c r="H76" t="s">
        <v>74</v>
      </c>
      <c r="I76" t="s">
        <v>1654</v>
      </c>
      <c r="J76" t="s">
        <v>1655</v>
      </c>
      <c r="K76" t="s">
        <v>74</v>
      </c>
      <c r="L76" t="s">
        <v>74</v>
      </c>
      <c r="M76" t="s">
        <v>78</v>
      </c>
      <c r="N76" t="s">
        <v>918</v>
      </c>
      <c r="O76" t="s">
        <v>74</v>
      </c>
      <c r="P76" t="s">
        <v>74</v>
      </c>
      <c r="Q76" t="s">
        <v>74</v>
      </c>
      <c r="R76" t="s">
        <v>74</v>
      </c>
      <c r="S76" t="s">
        <v>74</v>
      </c>
      <c r="T76" t="s">
        <v>74</v>
      </c>
      <c r="U76" t="s">
        <v>1656</v>
      </c>
      <c r="V76" t="s">
        <v>74</v>
      </c>
      <c r="W76" t="s">
        <v>1657</v>
      </c>
      <c r="X76" t="s">
        <v>1658</v>
      </c>
      <c r="Y76" t="s">
        <v>1659</v>
      </c>
      <c r="Z76" t="s">
        <v>74</v>
      </c>
      <c r="AA76" t="s">
        <v>1660</v>
      </c>
      <c r="AB76" t="s">
        <v>1661</v>
      </c>
      <c r="AC76" t="s">
        <v>74</v>
      </c>
      <c r="AD76" t="s">
        <v>74</v>
      </c>
      <c r="AE76" t="s">
        <v>74</v>
      </c>
      <c r="AF76" t="s">
        <v>74</v>
      </c>
      <c r="AG76">
        <v>51</v>
      </c>
      <c r="AH76">
        <v>2</v>
      </c>
      <c r="AI76">
        <v>3</v>
      </c>
      <c r="AJ76">
        <v>0</v>
      </c>
      <c r="AK76">
        <v>4</v>
      </c>
      <c r="AL76" t="s">
        <v>1662</v>
      </c>
      <c r="AM76" t="s">
        <v>219</v>
      </c>
      <c r="AN76" t="s">
        <v>1663</v>
      </c>
      <c r="AO76" t="s">
        <v>74</v>
      </c>
      <c r="AP76" t="s">
        <v>74</v>
      </c>
      <c r="AQ76" t="s">
        <v>1664</v>
      </c>
      <c r="AR76" t="s">
        <v>74</v>
      </c>
      <c r="AS76" t="s">
        <v>74</v>
      </c>
      <c r="AT76" t="s">
        <v>74</v>
      </c>
      <c r="AU76">
        <v>2015</v>
      </c>
      <c r="AV76" t="s">
        <v>74</v>
      </c>
      <c r="AW76" t="s">
        <v>74</v>
      </c>
      <c r="AX76" t="s">
        <v>74</v>
      </c>
      <c r="AY76" t="s">
        <v>74</v>
      </c>
      <c r="AZ76" t="s">
        <v>74</v>
      </c>
      <c r="BA76" t="s">
        <v>74</v>
      </c>
      <c r="BB76">
        <v>21</v>
      </c>
      <c r="BC76">
        <v>41</v>
      </c>
      <c r="BD76" t="s">
        <v>74</v>
      </c>
      <c r="BE76" t="s">
        <v>1665</v>
      </c>
      <c r="BF76" t="str">
        <f>HYPERLINK("http://dx.doi.org/10.1016/B978-0-12-801506-3.00003-0","http://dx.doi.org/10.1016/B978-0-12-801506-3.00003-0")</f>
        <v>http://dx.doi.org/10.1016/B978-0-12-801506-3.00003-0</v>
      </c>
      <c r="BG76" t="s">
        <v>74</v>
      </c>
      <c r="BH76" t="s">
        <v>74</v>
      </c>
      <c r="BI76">
        <v>21</v>
      </c>
      <c r="BJ76" t="s">
        <v>1666</v>
      </c>
      <c r="BK76" t="s">
        <v>1667</v>
      </c>
      <c r="BL76" t="s">
        <v>1668</v>
      </c>
      <c r="BM76" t="s">
        <v>1669</v>
      </c>
      <c r="BN76" t="s">
        <v>74</v>
      </c>
      <c r="BO76" t="s">
        <v>574</v>
      </c>
      <c r="BP76" t="s">
        <v>74</v>
      </c>
      <c r="BQ76" t="s">
        <v>74</v>
      </c>
      <c r="BR76" t="s">
        <v>93</v>
      </c>
      <c r="BS76" t="s">
        <v>1670</v>
      </c>
      <c r="BT76" t="str">
        <f>HYPERLINK("https%3A%2F%2Fwww.webofscience.com%2Fwos%2Fwoscc%2Ffull-record%2FWOS:000351516100005","View Full Record in Web of Science")</f>
        <v>View Full Record in Web of Science</v>
      </c>
    </row>
    <row r="77" spans="1:72" x14ac:dyDescent="0.15">
      <c r="A77" t="s">
        <v>72</v>
      </c>
      <c r="B77" t="s">
        <v>1671</v>
      </c>
      <c r="C77" t="s">
        <v>74</v>
      </c>
      <c r="D77" t="s">
        <v>74</v>
      </c>
      <c r="E77" t="s">
        <v>74</v>
      </c>
      <c r="F77" t="s">
        <v>1672</v>
      </c>
      <c r="G77" t="s">
        <v>74</v>
      </c>
      <c r="H77" t="s">
        <v>74</v>
      </c>
      <c r="I77" t="s">
        <v>1673</v>
      </c>
      <c r="J77" t="s">
        <v>1674</v>
      </c>
      <c r="K77" t="s">
        <v>74</v>
      </c>
      <c r="L77" t="s">
        <v>74</v>
      </c>
      <c r="M77" t="s">
        <v>78</v>
      </c>
      <c r="N77" t="s">
        <v>99</v>
      </c>
      <c r="O77" t="s">
        <v>74</v>
      </c>
      <c r="P77" t="s">
        <v>74</v>
      </c>
      <c r="Q77" t="s">
        <v>74</v>
      </c>
      <c r="R77" t="s">
        <v>74</v>
      </c>
      <c r="S77" t="s">
        <v>74</v>
      </c>
      <c r="T77" t="s">
        <v>1675</v>
      </c>
      <c r="U77" t="s">
        <v>1676</v>
      </c>
      <c r="V77" t="s">
        <v>1677</v>
      </c>
      <c r="W77" t="s">
        <v>1678</v>
      </c>
      <c r="X77" t="s">
        <v>1679</v>
      </c>
      <c r="Y77" t="s">
        <v>1680</v>
      </c>
      <c r="Z77" t="s">
        <v>1681</v>
      </c>
      <c r="AA77" t="s">
        <v>1682</v>
      </c>
      <c r="AB77" t="s">
        <v>1683</v>
      </c>
      <c r="AC77" t="s">
        <v>1684</v>
      </c>
      <c r="AD77" t="s">
        <v>1685</v>
      </c>
      <c r="AE77" t="s">
        <v>1686</v>
      </c>
      <c r="AF77" t="s">
        <v>74</v>
      </c>
      <c r="AG77">
        <v>55</v>
      </c>
      <c r="AH77">
        <v>9</v>
      </c>
      <c r="AI77">
        <v>9</v>
      </c>
      <c r="AJ77">
        <v>1</v>
      </c>
      <c r="AK77">
        <v>24</v>
      </c>
      <c r="AL77" t="s">
        <v>1687</v>
      </c>
      <c r="AM77" t="s">
        <v>1688</v>
      </c>
      <c r="AN77" t="s">
        <v>1689</v>
      </c>
      <c r="AO77" t="s">
        <v>1690</v>
      </c>
      <c r="AP77" t="s">
        <v>1691</v>
      </c>
      <c r="AQ77" t="s">
        <v>74</v>
      </c>
      <c r="AR77" t="s">
        <v>1692</v>
      </c>
      <c r="AS77" t="s">
        <v>1693</v>
      </c>
      <c r="AT77" t="s">
        <v>74</v>
      </c>
      <c r="AU77">
        <v>2015</v>
      </c>
      <c r="AV77">
        <v>30</v>
      </c>
      <c r="AW77">
        <v>2</v>
      </c>
      <c r="AX77" t="s">
        <v>74</v>
      </c>
      <c r="AY77" t="s">
        <v>74</v>
      </c>
      <c r="AZ77" t="s">
        <v>74</v>
      </c>
      <c r="BA77" t="s">
        <v>74</v>
      </c>
      <c r="BB77">
        <v>179</v>
      </c>
      <c r="BC77">
        <v>192</v>
      </c>
      <c r="BD77" t="s">
        <v>74</v>
      </c>
      <c r="BE77" t="s">
        <v>1694</v>
      </c>
      <c r="BF77" t="str">
        <f>HYPERLINK("http://dx.doi.org/10.1086/679973","http://dx.doi.org/10.1086/679973")</f>
        <v>http://dx.doi.org/10.1086/679973</v>
      </c>
      <c r="BG77" t="s">
        <v>74</v>
      </c>
      <c r="BH77" t="s">
        <v>74</v>
      </c>
      <c r="BI77">
        <v>14</v>
      </c>
      <c r="BJ77" t="s">
        <v>1695</v>
      </c>
      <c r="BK77" t="s">
        <v>157</v>
      </c>
      <c r="BL77" t="s">
        <v>1696</v>
      </c>
      <c r="BM77" t="s">
        <v>1697</v>
      </c>
      <c r="BN77" t="s">
        <v>74</v>
      </c>
      <c r="BO77" t="s">
        <v>74</v>
      </c>
      <c r="BP77" t="s">
        <v>74</v>
      </c>
      <c r="BQ77" t="s">
        <v>74</v>
      </c>
      <c r="BR77" t="s">
        <v>93</v>
      </c>
      <c r="BS77" t="s">
        <v>1698</v>
      </c>
      <c r="BT77" t="str">
        <f>HYPERLINK("https%3A%2F%2Fwww.webofscience.com%2Fwos%2Fwoscc%2Ffull-record%2FWOS:000351116400004","View Full Record in Web of Science")</f>
        <v>View Full Record in Web of Science</v>
      </c>
    </row>
    <row r="78" spans="1:72" x14ac:dyDescent="0.15">
      <c r="A78" t="s">
        <v>72</v>
      </c>
      <c r="B78" t="s">
        <v>1699</v>
      </c>
      <c r="C78" t="s">
        <v>74</v>
      </c>
      <c r="D78" t="s">
        <v>74</v>
      </c>
      <c r="E78" t="s">
        <v>74</v>
      </c>
      <c r="F78" t="s">
        <v>1700</v>
      </c>
      <c r="G78" t="s">
        <v>74</v>
      </c>
      <c r="H78" t="s">
        <v>74</v>
      </c>
      <c r="I78" t="s">
        <v>1701</v>
      </c>
      <c r="J78" t="s">
        <v>749</v>
      </c>
      <c r="K78" t="s">
        <v>74</v>
      </c>
      <c r="L78" t="s">
        <v>74</v>
      </c>
      <c r="M78" t="s">
        <v>78</v>
      </c>
      <c r="N78" t="s">
        <v>99</v>
      </c>
      <c r="O78" t="s">
        <v>74</v>
      </c>
      <c r="P78" t="s">
        <v>74</v>
      </c>
      <c r="Q78" t="s">
        <v>74</v>
      </c>
      <c r="R78" t="s">
        <v>74</v>
      </c>
      <c r="S78" t="s">
        <v>74</v>
      </c>
      <c r="T78" t="s">
        <v>1702</v>
      </c>
      <c r="U78" t="s">
        <v>1703</v>
      </c>
      <c r="V78" t="s">
        <v>1704</v>
      </c>
      <c r="W78" t="s">
        <v>1705</v>
      </c>
      <c r="X78" t="s">
        <v>1706</v>
      </c>
      <c r="Y78" t="s">
        <v>1707</v>
      </c>
      <c r="Z78" t="s">
        <v>1708</v>
      </c>
      <c r="AA78" t="s">
        <v>1709</v>
      </c>
      <c r="AB78" t="s">
        <v>1710</v>
      </c>
      <c r="AC78" t="s">
        <v>1711</v>
      </c>
      <c r="AD78" t="s">
        <v>1712</v>
      </c>
      <c r="AE78" t="s">
        <v>1713</v>
      </c>
      <c r="AF78" t="s">
        <v>74</v>
      </c>
      <c r="AG78">
        <v>58</v>
      </c>
      <c r="AH78">
        <v>13</v>
      </c>
      <c r="AI78">
        <v>13</v>
      </c>
      <c r="AJ78">
        <v>0</v>
      </c>
      <c r="AK78">
        <v>7</v>
      </c>
      <c r="AL78" t="s">
        <v>1714</v>
      </c>
      <c r="AM78" t="s">
        <v>763</v>
      </c>
      <c r="AN78" t="s">
        <v>1715</v>
      </c>
      <c r="AO78" t="s">
        <v>765</v>
      </c>
      <c r="AP78" t="s">
        <v>766</v>
      </c>
      <c r="AQ78" t="s">
        <v>74</v>
      </c>
      <c r="AR78" t="s">
        <v>767</v>
      </c>
      <c r="AS78" t="s">
        <v>768</v>
      </c>
      <c r="AT78" t="s">
        <v>74</v>
      </c>
      <c r="AU78">
        <v>2015</v>
      </c>
      <c r="AV78">
        <v>36</v>
      </c>
      <c r="AW78">
        <v>1</v>
      </c>
      <c r="AX78" t="s">
        <v>74</v>
      </c>
      <c r="AY78" t="s">
        <v>74</v>
      </c>
      <c r="AZ78" t="s">
        <v>74</v>
      </c>
      <c r="BA78" t="s">
        <v>74</v>
      </c>
      <c r="BB78">
        <v>1</v>
      </c>
      <c r="BC78">
        <v>24</v>
      </c>
      <c r="BD78" t="s">
        <v>74</v>
      </c>
      <c r="BE78" t="s">
        <v>1716</v>
      </c>
      <c r="BF78" t="str">
        <f>HYPERLINK("http://dx.doi.org/10.1515/popore-2015-0002","http://dx.doi.org/10.1515/popore-2015-0002")</f>
        <v>http://dx.doi.org/10.1515/popore-2015-0002</v>
      </c>
      <c r="BG78" t="s">
        <v>74</v>
      </c>
      <c r="BH78" t="s">
        <v>74</v>
      </c>
      <c r="BI78">
        <v>24</v>
      </c>
      <c r="BJ78" t="s">
        <v>613</v>
      </c>
      <c r="BK78" t="s">
        <v>91</v>
      </c>
      <c r="BL78" t="s">
        <v>614</v>
      </c>
      <c r="BM78" t="s">
        <v>1717</v>
      </c>
      <c r="BN78" t="s">
        <v>74</v>
      </c>
      <c r="BO78" t="s">
        <v>574</v>
      </c>
      <c r="BP78" t="s">
        <v>74</v>
      </c>
      <c r="BQ78" t="s">
        <v>74</v>
      </c>
      <c r="BR78" t="s">
        <v>93</v>
      </c>
      <c r="BS78" t="s">
        <v>1718</v>
      </c>
      <c r="BT78" t="str">
        <f>HYPERLINK("https%3A%2F%2Fwww.webofscience.com%2Fwos%2Fwoscc%2Ffull-record%2FWOS:000351852600001","View Full Record in Web of Science")</f>
        <v>View Full Record in Web of Science</v>
      </c>
    </row>
    <row r="79" spans="1:72" x14ac:dyDescent="0.15">
      <c r="A79" t="s">
        <v>72</v>
      </c>
      <c r="B79" t="s">
        <v>1719</v>
      </c>
      <c r="C79" t="s">
        <v>74</v>
      </c>
      <c r="D79" t="s">
        <v>74</v>
      </c>
      <c r="E79" t="s">
        <v>74</v>
      </c>
      <c r="F79" t="s">
        <v>1720</v>
      </c>
      <c r="G79" t="s">
        <v>74</v>
      </c>
      <c r="H79" t="s">
        <v>74</v>
      </c>
      <c r="I79" t="s">
        <v>1721</v>
      </c>
      <c r="J79" t="s">
        <v>749</v>
      </c>
      <c r="K79" t="s">
        <v>74</v>
      </c>
      <c r="L79" t="s">
        <v>74</v>
      </c>
      <c r="M79" t="s">
        <v>78</v>
      </c>
      <c r="N79" t="s">
        <v>99</v>
      </c>
      <c r="O79" t="s">
        <v>74</v>
      </c>
      <c r="P79" t="s">
        <v>74</v>
      </c>
      <c r="Q79" t="s">
        <v>74</v>
      </c>
      <c r="R79" t="s">
        <v>74</v>
      </c>
      <c r="S79" t="s">
        <v>74</v>
      </c>
      <c r="T79" t="s">
        <v>1722</v>
      </c>
      <c r="U79" t="s">
        <v>1723</v>
      </c>
      <c r="V79" t="s">
        <v>1724</v>
      </c>
      <c r="W79" t="s">
        <v>1725</v>
      </c>
      <c r="X79" t="s">
        <v>1726</v>
      </c>
      <c r="Y79" t="s">
        <v>1727</v>
      </c>
      <c r="Z79" t="s">
        <v>1728</v>
      </c>
      <c r="AA79" t="s">
        <v>74</v>
      </c>
      <c r="AB79" t="s">
        <v>74</v>
      </c>
      <c r="AC79" t="s">
        <v>1729</v>
      </c>
      <c r="AD79" t="s">
        <v>1730</v>
      </c>
      <c r="AE79" t="s">
        <v>1731</v>
      </c>
      <c r="AF79" t="s">
        <v>74</v>
      </c>
      <c r="AG79">
        <v>66</v>
      </c>
      <c r="AH79">
        <v>3</v>
      </c>
      <c r="AI79">
        <v>4</v>
      </c>
      <c r="AJ79">
        <v>0</v>
      </c>
      <c r="AK79">
        <v>3</v>
      </c>
      <c r="AL79" t="s">
        <v>762</v>
      </c>
      <c r="AM79" t="s">
        <v>763</v>
      </c>
      <c r="AN79" t="s">
        <v>764</v>
      </c>
      <c r="AO79" t="s">
        <v>765</v>
      </c>
      <c r="AP79" t="s">
        <v>766</v>
      </c>
      <c r="AQ79" t="s">
        <v>74</v>
      </c>
      <c r="AR79" t="s">
        <v>767</v>
      </c>
      <c r="AS79" t="s">
        <v>768</v>
      </c>
      <c r="AT79" t="s">
        <v>74</v>
      </c>
      <c r="AU79">
        <v>2015</v>
      </c>
      <c r="AV79">
        <v>36</v>
      </c>
      <c r="AW79">
        <v>1</v>
      </c>
      <c r="AX79" t="s">
        <v>74</v>
      </c>
      <c r="AY79" t="s">
        <v>74</v>
      </c>
      <c r="AZ79" t="s">
        <v>74</v>
      </c>
      <c r="BA79" t="s">
        <v>74</v>
      </c>
      <c r="BB79">
        <v>25</v>
      </c>
      <c r="BC79">
        <v>49</v>
      </c>
      <c r="BD79" t="s">
        <v>74</v>
      </c>
      <c r="BE79" t="s">
        <v>1732</v>
      </c>
      <c r="BF79" t="str">
        <f>HYPERLINK("http://dx.doi.org/10.1515/popore-2015-0003","http://dx.doi.org/10.1515/popore-2015-0003")</f>
        <v>http://dx.doi.org/10.1515/popore-2015-0003</v>
      </c>
      <c r="BG79" t="s">
        <v>74</v>
      </c>
      <c r="BH79" t="s">
        <v>74</v>
      </c>
      <c r="BI79">
        <v>25</v>
      </c>
      <c r="BJ79" t="s">
        <v>613</v>
      </c>
      <c r="BK79" t="s">
        <v>91</v>
      </c>
      <c r="BL79" t="s">
        <v>614</v>
      </c>
      <c r="BM79" t="s">
        <v>1717</v>
      </c>
      <c r="BN79" t="s">
        <v>74</v>
      </c>
      <c r="BO79" t="s">
        <v>74</v>
      </c>
      <c r="BP79" t="s">
        <v>74</v>
      </c>
      <c r="BQ79" t="s">
        <v>74</v>
      </c>
      <c r="BR79" t="s">
        <v>93</v>
      </c>
      <c r="BS79" t="s">
        <v>1733</v>
      </c>
      <c r="BT79" t="str">
        <f>HYPERLINK("https%3A%2F%2Fwww.webofscience.com%2Fwos%2Fwoscc%2Ffull-record%2FWOS:000351852600002","View Full Record in Web of Science")</f>
        <v>View Full Record in Web of Science</v>
      </c>
    </row>
    <row r="80" spans="1:72" x14ac:dyDescent="0.15">
      <c r="A80" t="s">
        <v>72</v>
      </c>
      <c r="B80" t="s">
        <v>1734</v>
      </c>
      <c r="C80" t="s">
        <v>74</v>
      </c>
      <c r="D80" t="s">
        <v>74</v>
      </c>
      <c r="E80" t="s">
        <v>74</v>
      </c>
      <c r="F80" t="s">
        <v>1735</v>
      </c>
      <c r="G80" t="s">
        <v>74</v>
      </c>
      <c r="H80" t="s">
        <v>74</v>
      </c>
      <c r="I80" t="s">
        <v>1736</v>
      </c>
      <c r="J80" t="s">
        <v>749</v>
      </c>
      <c r="K80" t="s">
        <v>74</v>
      </c>
      <c r="L80" t="s">
        <v>74</v>
      </c>
      <c r="M80" t="s">
        <v>78</v>
      </c>
      <c r="N80" t="s">
        <v>99</v>
      </c>
      <c r="O80" t="s">
        <v>74</v>
      </c>
      <c r="P80" t="s">
        <v>74</v>
      </c>
      <c r="Q80" t="s">
        <v>74</v>
      </c>
      <c r="R80" t="s">
        <v>74</v>
      </c>
      <c r="S80" t="s">
        <v>74</v>
      </c>
      <c r="T80" t="s">
        <v>1737</v>
      </c>
      <c r="U80" t="s">
        <v>1738</v>
      </c>
      <c r="V80" t="s">
        <v>1739</v>
      </c>
      <c r="W80" t="s">
        <v>1740</v>
      </c>
      <c r="X80" t="s">
        <v>1741</v>
      </c>
      <c r="Y80" t="s">
        <v>1742</v>
      </c>
      <c r="Z80" t="s">
        <v>1743</v>
      </c>
      <c r="AA80" t="s">
        <v>1744</v>
      </c>
      <c r="AB80" t="s">
        <v>1745</v>
      </c>
      <c r="AC80" t="s">
        <v>1746</v>
      </c>
      <c r="AD80" t="s">
        <v>1747</v>
      </c>
      <c r="AE80" t="s">
        <v>1748</v>
      </c>
      <c r="AF80" t="s">
        <v>74</v>
      </c>
      <c r="AG80">
        <v>20</v>
      </c>
      <c r="AH80">
        <v>12</v>
      </c>
      <c r="AI80">
        <v>12</v>
      </c>
      <c r="AJ80">
        <v>2</v>
      </c>
      <c r="AK80">
        <v>33</v>
      </c>
      <c r="AL80" t="s">
        <v>762</v>
      </c>
      <c r="AM80" t="s">
        <v>763</v>
      </c>
      <c r="AN80" t="s">
        <v>764</v>
      </c>
      <c r="AO80" t="s">
        <v>765</v>
      </c>
      <c r="AP80" t="s">
        <v>766</v>
      </c>
      <c r="AQ80" t="s">
        <v>74</v>
      </c>
      <c r="AR80" t="s">
        <v>767</v>
      </c>
      <c r="AS80" t="s">
        <v>768</v>
      </c>
      <c r="AT80" t="s">
        <v>74</v>
      </c>
      <c r="AU80">
        <v>2015</v>
      </c>
      <c r="AV80">
        <v>36</v>
      </c>
      <c r="AW80">
        <v>1</v>
      </c>
      <c r="AX80" t="s">
        <v>74</v>
      </c>
      <c r="AY80" t="s">
        <v>74</v>
      </c>
      <c r="AZ80" t="s">
        <v>74</v>
      </c>
      <c r="BA80" t="s">
        <v>74</v>
      </c>
      <c r="BB80">
        <v>67</v>
      </c>
      <c r="BC80">
        <v>78</v>
      </c>
      <c r="BD80" t="s">
        <v>74</v>
      </c>
      <c r="BE80" t="s">
        <v>1749</v>
      </c>
      <c r="BF80" t="str">
        <f>HYPERLINK("http://dx.doi.org/10.1515/popore-2015-0001","http://dx.doi.org/10.1515/popore-2015-0001")</f>
        <v>http://dx.doi.org/10.1515/popore-2015-0001</v>
      </c>
      <c r="BG80" t="s">
        <v>74</v>
      </c>
      <c r="BH80" t="s">
        <v>74</v>
      </c>
      <c r="BI80">
        <v>12</v>
      </c>
      <c r="BJ80" t="s">
        <v>613</v>
      </c>
      <c r="BK80" t="s">
        <v>91</v>
      </c>
      <c r="BL80" t="s">
        <v>614</v>
      </c>
      <c r="BM80" t="s">
        <v>1717</v>
      </c>
      <c r="BN80" t="s">
        <v>74</v>
      </c>
      <c r="BO80" t="s">
        <v>74</v>
      </c>
      <c r="BP80" t="s">
        <v>74</v>
      </c>
      <c r="BQ80" t="s">
        <v>74</v>
      </c>
      <c r="BR80" t="s">
        <v>93</v>
      </c>
      <c r="BS80" t="s">
        <v>1750</v>
      </c>
      <c r="BT80" t="str">
        <f>HYPERLINK("https%3A%2F%2Fwww.webofscience.com%2Fwos%2Fwoscc%2Ffull-record%2FWOS:000351852600004","View Full Record in Web of Science")</f>
        <v>View Full Record in Web of Science</v>
      </c>
    </row>
    <row r="81" spans="1:72" x14ac:dyDescent="0.15">
      <c r="A81" t="s">
        <v>72</v>
      </c>
      <c r="B81" t="s">
        <v>1751</v>
      </c>
      <c r="C81" t="s">
        <v>74</v>
      </c>
      <c r="D81" t="s">
        <v>74</v>
      </c>
      <c r="E81" t="s">
        <v>74</v>
      </c>
      <c r="F81" t="s">
        <v>1752</v>
      </c>
      <c r="G81" t="s">
        <v>74</v>
      </c>
      <c r="H81" t="s">
        <v>74</v>
      </c>
      <c r="I81" t="s">
        <v>1753</v>
      </c>
      <c r="J81" t="s">
        <v>480</v>
      </c>
      <c r="K81" t="s">
        <v>74</v>
      </c>
      <c r="L81" t="s">
        <v>74</v>
      </c>
      <c r="M81" t="s">
        <v>78</v>
      </c>
      <c r="N81" t="s">
        <v>99</v>
      </c>
      <c r="O81" t="s">
        <v>74</v>
      </c>
      <c r="P81" t="s">
        <v>74</v>
      </c>
      <c r="Q81" t="s">
        <v>74</v>
      </c>
      <c r="R81" t="s">
        <v>74</v>
      </c>
      <c r="S81" t="s">
        <v>74</v>
      </c>
      <c r="T81" t="s">
        <v>74</v>
      </c>
      <c r="U81" t="s">
        <v>1754</v>
      </c>
      <c r="V81" t="s">
        <v>1755</v>
      </c>
      <c r="W81" t="s">
        <v>1756</v>
      </c>
      <c r="X81" t="s">
        <v>1757</v>
      </c>
      <c r="Y81" t="s">
        <v>1758</v>
      </c>
      <c r="Z81" t="s">
        <v>1759</v>
      </c>
      <c r="AA81" t="s">
        <v>1760</v>
      </c>
      <c r="AB81" t="s">
        <v>1761</v>
      </c>
      <c r="AC81" t="s">
        <v>1762</v>
      </c>
      <c r="AD81" t="s">
        <v>1763</v>
      </c>
      <c r="AE81" t="s">
        <v>1764</v>
      </c>
      <c r="AF81" t="s">
        <v>74</v>
      </c>
      <c r="AG81">
        <v>26</v>
      </c>
      <c r="AH81">
        <v>4</v>
      </c>
      <c r="AI81">
        <v>4</v>
      </c>
      <c r="AJ81">
        <v>0</v>
      </c>
      <c r="AK81">
        <v>12</v>
      </c>
      <c r="AL81" t="s">
        <v>244</v>
      </c>
      <c r="AM81" t="s">
        <v>245</v>
      </c>
      <c r="AN81" t="s">
        <v>246</v>
      </c>
      <c r="AO81" t="s">
        <v>492</v>
      </c>
      <c r="AP81" t="s">
        <v>493</v>
      </c>
      <c r="AQ81" t="s">
        <v>74</v>
      </c>
      <c r="AR81" t="s">
        <v>494</v>
      </c>
      <c r="AS81" t="s">
        <v>495</v>
      </c>
      <c r="AT81" t="s">
        <v>74</v>
      </c>
      <c r="AU81">
        <v>2015</v>
      </c>
      <c r="AV81">
        <v>15</v>
      </c>
      <c r="AW81">
        <v>5</v>
      </c>
      <c r="AX81" t="s">
        <v>74</v>
      </c>
      <c r="AY81" t="s">
        <v>74</v>
      </c>
      <c r="AZ81" t="s">
        <v>74</v>
      </c>
      <c r="BA81" t="s">
        <v>74</v>
      </c>
      <c r="BB81">
        <v>2463</v>
      </c>
      <c r="BC81">
        <v>2472</v>
      </c>
      <c r="BD81" t="s">
        <v>74</v>
      </c>
      <c r="BE81" t="s">
        <v>1765</v>
      </c>
      <c r="BF81" t="str">
        <f>HYPERLINK("http://dx.doi.org/10.5194/acp-15-2463-2015","http://dx.doi.org/10.5194/acp-15-2463-2015")</f>
        <v>http://dx.doi.org/10.5194/acp-15-2463-2015</v>
      </c>
      <c r="BG81" t="s">
        <v>74</v>
      </c>
      <c r="BH81" t="s">
        <v>74</v>
      </c>
      <c r="BI81">
        <v>10</v>
      </c>
      <c r="BJ81" t="s">
        <v>497</v>
      </c>
      <c r="BK81" t="s">
        <v>91</v>
      </c>
      <c r="BL81" t="s">
        <v>498</v>
      </c>
      <c r="BM81" t="s">
        <v>1766</v>
      </c>
      <c r="BN81" t="s">
        <v>74</v>
      </c>
      <c r="BO81" t="s">
        <v>1136</v>
      </c>
      <c r="BP81" t="s">
        <v>74</v>
      </c>
      <c r="BQ81" t="s">
        <v>74</v>
      </c>
      <c r="BR81" t="s">
        <v>93</v>
      </c>
      <c r="BS81" t="s">
        <v>1767</v>
      </c>
      <c r="BT81" t="str">
        <f>HYPERLINK("https%3A%2F%2Fwww.webofscience.com%2Fwos%2Fwoscc%2Ffull-record%2FWOS:000350559700013","View Full Record in Web of Science")</f>
        <v>View Full Record in Web of Science</v>
      </c>
    </row>
    <row r="82" spans="1:72" x14ac:dyDescent="0.15">
      <c r="A82" t="s">
        <v>72</v>
      </c>
      <c r="B82" t="s">
        <v>1768</v>
      </c>
      <c r="C82" t="s">
        <v>74</v>
      </c>
      <c r="D82" t="s">
        <v>74</v>
      </c>
      <c r="E82" t="s">
        <v>74</v>
      </c>
      <c r="F82" t="s">
        <v>1769</v>
      </c>
      <c r="G82" t="s">
        <v>74</v>
      </c>
      <c r="H82" t="s">
        <v>74</v>
      </c>
      <c r="I82" t="s">
        <v>1770</v>
      </c>
      <c r="J82" t="s">
        <v>1074</v>
      </c>
      <c r="K82" t="s">
        <v>74</v>
      </c>
      <c r="L82" t="s">
        <v>74</v>
      </c>
      <c r="M82" t="s">
        <v>78</v>
      </c>
      <c r="N82" t="s">
        <v>99</v>
      </c>
      <c r="O82" t="s">
        <v>74</v>
      </c>
      <c r="P82" t="s">
        <v>74</v>
      </c>
      <c r="Q82" t="s">
        <v>74</v>
      </c>
      <c r="R82" t="s">
        <v>74</v>
      </c>
      <c r="S82" t="s">
        <v>74</v>
      </c>
      <c r="T82" t="s">
        <v>74</v>
      </c>
      <c r="U82" t="s">
        <v>1771</v>
      </c>
      <c r="V82" t="s">
        <v>1772</v>
      </c>
      <c r="W82" t="s">
        <v>1773</v>
      </c>
      <c r="X82" t="s">
        <v>1774</v>
      </c>
      <c r="Y82" t="s">
        <v>1775</v>
      </c>
      <c r="Z82" t="s">
        <v>1776</v>
      </c>
      <c r="AA82" t="s">
        <v>1777</v>
      </c>
      <c r="AB82" t="s">
        <v>1778</v>
      </c>
      <c r="AC82" t="s">
        <v>1779</v>
      </c>
      <c r="AD82" t="s">
        <v>1780</v>
      </c>
      <c r="AE82" t="s">
        <v>1781</v>
      </c>
      <c r="AF82" t="s">
        <v>74</v>
      </c>
      <c r="AG82">
        <v>60</v>
      </c>
      <c r="AH82">
        <v>51</v>
      </c>
      <c r="AI82">
        <v>57</v>
      </c>
      <c r="AJ82">
        <v>3</v>
      </c>
      <c r="AK82">
        <v>19</v>
      </c>
      <c r="AL82" t="s">
        <v>244</v>
      </c>
      <c r="AM82" t="s">
        <v>245</v>
      </c>
      <c r="AN82" t="s">
        <v>246</v>
      </c>
      <c r="AO82" t="s">
        <v>1086</v>
      </c>
      <c r="AP82" t="s">
        <v>1087</v>
      </c>
      <c r="AQ82" t="s">
        <v>74</v>
      </c>
      <c r="AR82" t="s">
        <v>1074</v>
      </c>
      <c r="AS82" t="s">
        <v>1088</v>
      </c>
      <c r="AT82" t="s">
        <v>74</v>
      </c>
      <c r="AU82">
        <v>2015</v>
      </c>
      <c r="AV82">
        <v>9</v>
      </c>
      <c r="AW82">
        <v>1</v>
      </c>
      <c r="AX82" t="s">
        <v>74</v>
      </c>
      <c r="AY82" t="s">
        <v>74</v>
      </c>
      <c r="AZ82" t="s">
        <v>74</v>
      </c>
      <c r="BA82" t="s">
        <v>74</v>
      </c>
      <c r="BB82">
        <v>37</v>
      </c>
      <c r="BC82">
        <v>52</v>
      </c>
      <c r="BD82" t="s">
        <v>74</v>
      </c>
      <c r="BE82" t="s">
        <v>1782</v>
      </c>
      <c r="BF82" t="str">
        <f>HYPERLINK("http://dx.doi.org/10.5194/tc-9-37-2015","http://dx.doi.org/10.5194/tc-9-37-2015")</f>
        <v>http://dx.doi.org/10.5194/tc-9-37-2015</v>
      </c>
      <c r="BG82" t="s">
        <v>74</v>
      </c>
      <c r="BH82" t="s">
        <v>74</v>
      </c>
      <c r="BI82">
        <v>16</v>
      </c>
      <c r="BJ82" t="s">
        <v>372</v>
      </c>
      <c r="BK82" t="s">
        <v>91</v>
      </c>
      <c r="BL82" t="s">
        <v>373</v>
      </c>
      <c r="BM82" t="s">
        <v>1783</v>
      </c>
      <c r="BN82" t="s">
        <v>74</v>
      </c>
      <c r="BO82" t="s">
        <v>255</v>
      </c>
      <c r="BP82" t="s">
        <v>74</v>
      </c>
      <c r="BQ82" t="s">
        <v>74</v>
      </c>
      <c r="BR82" t="s">
        <v>93</v>
      </c>
      <c r="BS82" t="s">
        <v>1784</v>
      </c>
      <c r="BT82" t="str">
        <f>HYPERLINK("https%3A%2F%2Fwww.webofscience.com%2Fwos%2Fwoscc%2Ffull-record%2FWOS:000350555400004","View Full Record in Web of Science")</f>
        <v>View Full Record in Web of Science</v>
      </c>
    </row>
    <row r="83" spans="1:72" x14ac:dyDescent="0.15">
      <c r="A83" t="s">
        <v>72</v>
      </c>
      <c r="B83" t="s">
        <v>1785</v>
      </c>
      <c r="C83" t="s">
        <v>74</v>
      </c>
      <c r="D83" t="s">
        <v>74</v>
      </c>
      <c r="E83" t="s">
        <v>74</v>
      </c>
      <c r="F83" t="s">
        <v>1786</v>
      </c>
      <c r="G83" t="s">
        <v>74</v>
      </c>
      <c r="H83" t="s">
        <v>74</v>
      </c>
      <c r="I83" t="s">
        <v>1787</v>
      </c>
      <c r="J83" t="s">
        <v>1074</v>
      </c>
      <c r="K83" t="s">
        <v>74</v>
      </c>
      <c r="L83" t="s">
        <v>74</v>
      </c>
      <c r="M83" t="s">
        <v>78</v>
      </c>
      <c r="N83" t="s">
        <v>99</v>
      </c>
      <c r="O83" t="s">
        <v>74</v>
      </c>
      <c r="P83" t="s">
        <v>74</v>
      </c>
      <c r="Q83" t="s">
        <v>74</v>
      </c>
      <c r="R83" t="s">
        <v>74</v>
      </c>
      <c r="S83" t="s">
        <v>74</v>
      </c>
      <c r="T83" t="s">
        <v>74</v>
      </c>
      <c r="U83" t="s">
        <v>1788</v>
      </c>
      <c r="V83" t="s">
        <v>1789</v>
      </c>
      <c r="W83" t="s">
        <v>1790</v>
      </c>
      <c r="X83" t="s">
        <v>1791</v>
      </c>
      <c r="Y83" t="s">
        <v>1792</v>
      </c>
      <c r="Z83" t="s">
        <v>1793</v>
      </c>
      <c r="AA83" t="s">
        <v>1794</v>
      </c>
      <c r="AB83" t="s">
        <v>1795</v>
      </c>
      <c r="AC83" t="s">
        <v>1796</v>
      </c>
      <c r="AD83" t="s">
        <v>1797</v>
      </c>
      <c r="AE83" t="s">
        <v>1798</v>
      </c>
      <c r="AF83" t="s">
        <v>74</v>
      </c>
      <c r="AG83">
        <v>19</v>
      </c>
      <c r="AH83">
        <v>119</v>
      </c>
      <c r="AI83">
        <v>131</v>
      </c>
      <c r="AJ83">
        <v>0</v>
      </c>
      <c r="AK83">
        <v>45</v>
      </c>
      <c r="AL83" t="s">
        <v>244</v>
      </c>
      <c r="AM83" t="s">
        <v>245</v>
      </c>
      <c r="AN83" t="s">
        <v>246</v>
      </c>
      <c r="AO83" t="s">
        <v>1086</v>
      </c>
      <c r="AP83" t="s">
        <v>1087</v>
      </c>
      <c r="AQ83" t="s">
        <v>74</v>
      </c>
      <c r="AR83" t="s">
        <v>1074</v>
      </c>
      <c r="AS83" t="s">
        <v>1088</v>
      </c>
      <c r="AT83" t="s">
        <v>74</v>
      </c>
      <c r="AU83">
        <v>2015</v>
      </c>
      <c r="AV83">
        <v>9</v>
      </c>
      <c r="AW83">
        <v>1</v>
      </c>
      <c r="AX83" t="s">
        <v>74</v>
      </c>
      <c r="AY83" t="s">
        <v>74</v>
      </c>
      <c r="AZ83" t="s">
        <v>74</v>
      </c>
      <c r="BA83" t="s">
        <v>74</v>
      </c>
      <c r="BB83">
        <v>399</v>
      </c>
      <c r="BC83">
        <v>409</v>
      </c>
      <c r="BD83" t="s">
        <v>74</v>
      </c>
      <c r="BE83" t="s">
        <v>1799</v>
      </c>
      <c r="BF83" t="str">
        <f>HYPERLINK("http://dx.doi.org/10.5194/tc-9-399-2015","http://dx.doi.org/10.5194/tc-9-399-2015")</f>
        <v>http://dx.doi.org/10.5194/tc-9-399-2015</v>
      </c>
      <c r="BG83" t="s">
        <v>74</v>
      </c>
      <c r="BH83" t="s">
        <v>74</v>
      </c>
      <c r="BI83">
        <v>11</v>
      </c>
      <c r="BJ83" t="s">
        <v>372</v>
      </c>
      <c r="BK83" t="s">
        <v>91</v>
      </c>
      <c r="BL83" t="s">
        <v>373</v>
      </c>
      <c r="BM83" t="s">
        <v>1783</v>
      </c>
      <c r="BN83" t="s">
        <v>74</v>
      </c>
      <c r="BO83" t="s">
        <v>1136</v>
      </c>
      <c r="BP83" t="s">
        <v>74</v>
      </c>
      <c r="BQ83" t="s">
        <v>74</v>
      </c>
      <c r="BR83" t="s">
        <v>93</v>
      </c>
      <c r="BS83" t="s">
        <v>1800</v>
      </c>
      <c r="BT83" t="str">
        <f>HYPERLINK("https%3A%2F%2Fwww.webofscience.com%2Fwos%2Fwoscc%2Ffull-record%2FWOS:000350555400028","View Full Record in Web of Science")</f>
        <v>View Full Record in Web of Science</v>
      </c>
    </row>
    <row r="84" spans="1:72" x14ac:dyDescent="0.15">
      <c r="A84" t="s">
        <v>72</v>
      </c>
      <c r="B84" t="s">
        <v>1801</v>
      </c>
      <c r="C84" t="s">
        <v>74</v>
      </c>
      <c r="D84" t="s">
        <v>74</v>
      </c>
      <c r="E84" t="s">
        <v>74</v>
      </c>
      <c r="F84" t="s">
        <v>1802</v>
      </c>
      <c r="G84" t="s">
        <v>74</v>
      </c>
      <c r="H84" t="s">
        <v>74</v>
      </c>
      <c r="I84" t="s">
        <v>1803</v>
      </c>
      <c r="J84" t="s">
        <v>453</v>
      </c>
      <c r="K84" t="s">
        <v>74</v>
      </c>
      <c r="L84" t="s">
        <v>74</v>
      </c>
      <c r="M84" t="s">
        <v>78</v>
      </c>
      <c r="N84" t="s">
        <v>99</v>
      </c>
      <c r="O84" t="s">
        <v>74</v>
      </c>
      <c r="P84" t="s">
        <v>74</v>
      </c>
      <c r="Q84" t="s">
        <v>74</v>
      </c>
      <c r="R84" t="s">
        <v>74</v>
      </c>
      <c r="S84" t="s">
        <v>74</v>
      </c>
      <c r="T84" t="s">
        <v>1804</v>
      </c>
      <c r="U84" t="s">
        <v>74</v>
      </c>
      <c r="V84" t="s">
        <v>1805</v>
      </c>
      <c r="W84" t="s">
        <v>1806</v>
      </c>
      <c r="X84" t="s">
        <v>1807</v>
      </c>
      <c r="Y84" t="s">
        <v>1808</v>
      </c>
      <c r="Z84" t="s">
        <v>1809</v>
      </c>
      <c r="AA84" t="s">
        <v>1810</v>
      </c>
      <c r="AB84" t="s">
        <v>1811</v>
      </c>
      <c r="AC84" t="s">
        <v>74</v>
      </c>
      <c r="AD84" t="s">
        <v>74</v>
      </c>
      <c r="AE84" t="s">
        <v>74</v>
      </c>
      <c r="AF84" t="s">
        <v>74</v>
      </c>
      <c r="AG84">
        <v>15</v>
      </c>
      <c r="AH84">
        <v>4</v>
      </c>
      <c r="AI84">
        <v>4</v>
      </c>
      <c r="AJ84">
        <v>4</v>
      </c>
      <c r="AK84">
        <v>30</v>
      </c>
      <c r="AL84" t="s">
        <v>906</v>
      </c>
      <c r="AM84" t="s">
        <v>907</v>
      </c>
      <c r="AN84" t="s">
        <v>908</v>
      </c>
      <c r="AO84" t="s">
        <v>467</v>
      </c>
      <c r="AP84" t="s">
        <v>468</v>
      </c>
      <c r="AQ84" t="s">
        <v>74</v>
      </c>
      <c r="AR84" t="s">
        <v>1812</v>
      </c>
      <c r="AS84" t="s">
        <v>470</v>
      </c>
      <c r="AT84" t="s">
        <v>74</v>
      </c>
      <c r="AU84">
        <v>2015</v>
      </c>
      <c r="AV84">
        <v>34</v>
      </c>
      <c r="AW84" t="s">
        <v>74</v>
      </c>
      <c r="AX84" t="s">
        <v>74</v>
      </c>
      <c r="AY84" t="s">
        <v>74</v>
      </c>
      <c r="AZ84" t="s">
        <v>74</v>
      </c>
      <c r="BA84" t="s">
        <v>74</v>
      </c>
      <c r="BB84" t="s">
        <v>74</v>
      </c>
      <c r="BC84" t="s">
        <v>74</v>
      </c>
      <c r="BD84">
        <v>25356</v>
      </c>
      <c r="BE84" t="s">
        <v>1813</v>
      </c>
      <c r="BF84" t="str">
        <f>HYPERLINK("http://dx.doi.org/10.3402/polar.v34.25356","http://dx.doi.org/10.3402/polar.v34.25356")</f>
        <v>http://dx.doi.org/10.3402/polar.v34.25356</v>
      </c>
      <c r="BG84" t="s">
        <v>74</v>
      </c>
      <c r="BH84" t="s">
        <v>74</v>
      </c>
      <c r="BI84">
        <v>5</v>
      </c>
      <c r="BJ84" t="s">
        <v>472</v>
      </c>
      <c r="BK84" t="s">
        <v>91</v>
      </c>
      <c r="BL84" t="s">
        <v>473</v>
      </c>
      <c r="BM84" t="s">
        <v>1814</v>
      </c>
      <c r="BN84" t="s">
        <v>74</v>
      </c>
      <c r="BO84" t="s">
        <v>1393</v>
      </c>
      <c r="BP84" t="s">
        <v>74</v>
      </c>
      <c r="BQ84" t="s">
        <v>74</v>
      </c>
      <c r="BR84" t="s">
        <v>93</v>
      </c>
      <c r="BS84" t="s">
        <v>1815</v>
      </c>
      <c r="BT84" t="str">
        <f>HYPERLINK("https%3A%2F%2Fwww.webofscience.com%2Fwos%2Fwoscc%2Ffull-record%2FWOS:000350805500001","View Full Record in Web of Science")</f>
        <v>View Full Record in Web of Science</v>
      </c>
    </row>
    <row r="85" spans="1:72" x14ac:dyDescent="0.15">
      <c r="A85" t="s">
        <v>72</v>
      </c>
      <c r="B85" t="s">
        <v>1816</v>
      </c>
      <c r="C85" t="s">
        <v>74</v>
      </c>
      <c r="D85" t="s">
        <v>74</v>
      </c>
      <c r="E85" t="s">
        <v>74</v>
      </c>
      <c r="F85" t="s">
        <v>1817</v>
      </c>
      <c r="G85" t="s">
        <v>74</v>
      </c>
      <c r="H85" t="s">
        <v>74</v>
      </c>
      <c r="I85" t="s">
        <v>1818</v>
      </c>
      <c r="J85" t="s">
        <v>1819</v>
      </c>
      <c r="K85" t="s">
        <v>74</v>
      </c>
      <c r="L85" t="s">
        <v>74</v>
      </c>
      <c r="M85" t="s">
        <v>78</v>
      </c>
      <c r="N85" t="s">
        <v>99</v>
      </c>
      <c r="O85" t="s">
        <v>74</v>
      </c>
      <c r="P85" t="s">
        <v>74</v>
      </c>
      <c r="Q85" t="s">
        <v>74</v>
      </c>
      <c r="R85" t="s">
        <v>74</v>
      </c>
      <c r="S85" t="s">
        <v>74</v>
      </c>
      <c r="T85" t="s">
        <v>1820</v>
      </c>
      <c r="U85" t="s">
        <v>1821</v>
      </c>
      <c r="V85" t="s">
        <v>1822</v>
      </c>
      <c r="W85" t="s">
        <v>1823</v>
      </c>
      <c r="X85" t="s">
        <v>1824</v>
      </c>
      <c r="Y85" t="s">
        <v>1825</v>
      </c>
      <c r="Z85" t="s">
        <v>1826</v>
      </c>
      <c r="AA85" t="s">
        <v>1827</v>
      </c>
      <c r="AB85" t="s">
        <v>1828</v>
      </c>
      <c r="AC85" t="s">
        <v>1829</v>
      </c>
      <c r="AD85" t="s">
        <v>1830</v>
      </c>
      <c r="AE85" t="s">
        <v>1831</v>
      </c>
      <c r="AF85" t="s">
        <v>74</v>
      </c>
      <c r="AG85">
        <v>17</v>
      </c>
      <c r="AH85">
        <v>9</v>
      </c>
      <c r="AI85">
        <v>11</v>
      </c>
      <c r="AJ85">
        <v>0</v>
      </c>
      <c r="AK85">
        <v>7</v>
      </c>
      <c r="AL85" t="s">
        <v>1832</v>
      </c>
      <c r="AM85" t="s">
        <v>1833</v>
      </c>
      <c r="AN85" t="s">
        <v>1834</v>
      </c>
      <c r="AO85" t="s">
        <v>1835</v>
      </c>
      <c r="AP85" t="s">
        <v>1836</v>
      </c>
      <c r="AQ85" t="s">
        <v>74</v>
      </c>
      <c r="AR85" t="s">
        <v>1837</v>
      </c>
      <c r="AS85" t="s">
        <v>1838</v>
      </c>
      <c r="AT85" t="s">
        <v>74</v>
      </c>
      <c r="AU85">
        <v>2015</v>
      </c>
      <c r="AV85">
        <v>53</v>
      </c>
      <c r="AW85">
        <v>1</v>
      </c>
      <c r="AX85" t="s">
        <v>74</v>
      </c>
      <c r="AY85" t="s">
        <v>74</v>
      </c>
      <c r="AZ85" t="s">
        <v>74</v>
      </c>
      <c r="BA85" t="s">
        <v>74</v>
      </c>
      <c r="BB85">
        <v>14</v>
      </c>
      <c r="BC85">
        <v>18</v>
      </c>
      <c r="BD85" t="s">
        <v>74</v>
      </c>
      <c r="BE85" t="s">
        <v>1839</v>
      </c>
      <c r="BF85" t="str">
        <f>HYPERLINK("http://dx.doi.org/10.1080/07055900.2013.830078","http://dx.doi.org/10.1080/07055900.2013.830078")</f>
        <v>http://dx.doi.org/10.1080/07055900.2013.830078</v>
      </c>
      <c r="BG85" t="s">
        <v>74</v>
      </c>
      <c r="BH85" t="s">
        <v>74</v>
      </c>
      <c r="BI85">
        <v>5</v>
      </c>
      <c r="BJ85" t="s">
        <v>1537</v>
      </c>
      <c r="BK85" t="s">
        <v>91</v>
      </c>
      <c r="BL85" t="s">
        <v>1537</v>
      </c>
      <c r="BM85" t="s">
        <v>1840</v>
      </c>
      <c r="BN85" t="s">
        <v>74</v>
      </c>
      <c r="BO85" t="s">
        <v>375</v>
      </c>
      <c r="BP85" t="s">
        <v>74</v>
      </c>
      <c r="BQ85" t="s">
        <v>74</v>
      </c>
      <c r="BR85" t="s">
        <v>93</v>
      </c>
      <c r="BS85" t="s">
        <v>1841</v>
      </c>
      <c r="BT85" t="str">
        <f>HYPERLINK("https%3A%2F%2Fwww.webofscience.com%2Fwos%2Fwoscc%2Ffull-record%2FWOS:000350304200003","View Full Record in Web of Science")</f>
        <v>View Full Record in Web of Science</v>
      </c>
    </row>
    <row r="86" spans="1:72" x14ac:dyDescent="0.15">
      <c r="A86" t="s">
        <v>72</v>
      </c>
      <c r="B86" t="s">
        <v>1842</v>
      </c>
      <c r="C86" t="s">
        <v>74</v>
      </c>
      <c r="D86" t="s">
        <v>74</v>
      </c>
      <c r="E86" t="s">
        <v>74</v>
      </c>
      <c r="F86" t="s">
        <v>1843</v>
      </c>
      <c r="G86" t="s">
        <v>74</v>
      </c>
      <c r="H86" t="s">
        <v>74</v>
      </c>
      <c r="I86" t="s">
        <v>1844</v>
      </c>
      <c r="J86" t="s">
        <v>1819</v>
      </c>
      <c r="K86" t="s">
        <v>74</v>
      </c>
      <c r="L86" t="s">
        <v>74</v>
      </c>
      <c r="M86" t="s">
        <v>78</v>
      </c>
      <c r="N86" t="s">
        <v>1845</v>
      </c>
      <c r="O86" t="s">
        <v>1846</v>
      </c>
      <c r="P86" t="s">
        <v>1847</v>
      </c>
      <c r="Q86" t="s">
        <v>1848</v>
      </c>
      <c r="R86" t="s">
        <v>74</v>
      </c>
      <c r="S86" t="s">
        <v>74</v>
      </c>
      <c r="T86" t="s">
        <v>1849</v>
      </c>
      <c r="U86" t="s">
        <v>1850</v>
      </c>
      <c r="V86" t="s">
        <v>1851</v>
      </c>
      <c r="W86" t="s">
        <v>1852</v>
      </c>
      <c r="X86" t="s">
        <v>1853</v>
      </c>
      <c r="Y86" t="s">
        <v>1854</v>
      </c>
      <c r="Z86" t="s">
        <v>1855</v>
      </c>
      <c r="AA86" t="s">
        <v>1856</v>
      </c>
      <c r="AB86" t="s">
        <v>1857</v>
      </c>
      <c r="AC86" t="s">
        <v>1858</v>
      </c>
      <c r="AD86" t="s">
        <v>1859</v>
      </c>
      <c r="AE86" t="s">
        <v>1860</v>
      </c>
      <c r="AF86" t="s">
        <v>74</v>
      </c>
      <c r="AG86">
        <v>74</v>
      </c>
      <c r="AH86">
        <v>4</v>
      </c>
      <c r="AI86">
        <v>5</v>
      </c>
      <c r="AJ86">
        <v>0</v>
      </c>
      <c r="AK86">
        <v>9</v>
      </c>
      <c r="AL86" t="s">
        <v>1832</v>
      </c>
      <c r="AM86" t="s">
        <v>1833</v>
      </c>
      <c r="AN86" t="s">
        <v>1834</v>
      </c>
      <c r="AO86" t="s">
        <v>1835</v>
      </c>
      <c r="AP86" t="s">
        <v>1836</v>
      </c>
      <c r="AQ86" t="s">
        <v>74</v>
      </c>
      <c r="AR86" t="s">
        <v>1837</v>
      </c>
      <c r="AS86" t="s">
        <v>1838</v>
      </c>
      <c r="AT86" t="s">
        <v>74</v>
      </c>
      <c r="AU86">
        <v>2015</v>
      </c>
      <c r="AV86">
        <v>53</v>
      </c>
      <c r="AW86">
        <v>1</v>
      </c>
      <c r="AX86" t="s">
        <v>74</v>
      </c>
      <c r="AY86" t="s">
        <v>74</v>
      </c>
      <c r="AZ86" t="s">
        <v>74</v>
      </c>
      <c r="BA86" t="s">
        <v>74</v>
      </c>
      <c r="BB86">
        <v>58</v>
      </c>
      <c r="BC86">
        <v>65</v>
      </c>
      <c r="BD86" t="s">
        <v>74</v>
      </c>
      <c r="BE86" t="s">
        <v>1861</v>
      </c>
      <c r="BF86" t="str">
        <f>HYPERLINK("http://dx.doi.org/10.1080/07055900.2013.869192","http://dx.doi.org/10.1080/07055900.2013.869192")</f>
        <v>http://dx.doi.org/10.1080/07055900.2013.869192</v>
      </c>
      <c r="BG86" t="s">
        <v>74</v>
      </c>
      <c r="BH86" t="s">
        <v>74</v>
      </c>
      <c r="BI86">
        <v>8</v>
      </c>
      <c r="BJ86" t="s">
        <v>1537</v>
      </c>
      <c r="BK86" t="s">
        <v>1862</v>
      </c>
      <c r="BL86" t="s">
        <v>1537</v>
      </c>
      <c r="BM86" t="s">
        <v>1840</v>
      </c>
      <c r="BN86" t="s">
        <v>74</v>
      </c>
      <c r="BO86" t="s">
        <v>375</v>
      </c>
      <c r="BP86" t="s">
        <v>74</v>
      </c>
      <c r="BQ86" t="s">
        <v>74</v>
      </c>
      <c r="BR86" t="s">
        <v>93</v>
      </c>
      <c r="BS86" t="s">
        <v>1863</v>
      </c>
      <c r="BT86" t="str">
        <f>HYPERLINK("https%3A%2F%2Fwww.webofscience.com%2Fwos%2Fwoscc%2Ffull-record%2FWOS:000350304200008","View Full Record in Web of Science")</f>
        <v>View Full Record in Web of Science</v>
      </c>
    </row>
    <row r="87" spans="1:72" x14ac:dyDescent="0.15">
      <c r="A87" t="s">
        <v>72</v>
      </c>
      <c r="B87" t="s">
        <v>1864</v>
      </c>
      <c r="C87" t="s">
        <v>74</v>
      </c>
      <c r="D87" t="s">
        <v>74</v>
      </c>
      <c r="E87" t="s">
        <v>74</v>
      </c>
      <c r="F87" t="s">
        <v>1865</v>
      </c>
      <c r="G87" t="s">
        <v>74</v>
      </c>
      <c r="H87" t="s">
        <v>74</v>
      </c>
      <c r="I87" t="s">
        <v>1866</v>
      </c>
      <c r="J87" t="s">
        <v>702</v>
      </c>
      <c r="K87" t="s">
        <v>74</v>
      </c>
      <c r="L87" t="s">
        <v>74</v>
      </c>
      <c r="M87" t="s">
        <v>78</v>
      </c>
      <c r="N87" t="s">
        <v>99</v>
      </c>
      <c r="O87" t="s">
        <v>74</v>
      </c>
      <c r="P87" t="s">
        <v>74</v>
      </c>
      <c r="Q87" t="s">
        <v>74</v>
      </c>
      <c r="R87" t="s">
        <v>74</v>
      </c>
      <c r="S87" t="s">
        <v>74</v>
      </c>
      <c r="T87" t="s">
        <v>74</v>
      </c>
      <c r="U87" t="s">
        <v>1867</v>
      </c>
      <c r="V87" t="s">
        <v>1868</v>
      </c>
      <c r="W87" t="s">
        <v>1869</v>
      </c>
      <c r="X87" t="s">
        <v>1870</v>
      </c>
      <c r="Y87" t="s">
        <v>1871</v>
      </c>
      <c r="Z87" t="s">
        <v>1872</v>
      </c>
      <c r="AA87" t="s">
        <v>1873</v>
      </c>
      <c r="AB87" t="s">
        <v>1874</v>
      </c>
      <c r="AC87" t="s">
        <v>1875</v>
      </c>
      <c r="AD87" t="s">
        <v>1876</v>
      </c>
      <c r="AE87" t="s">
        <v>1877</v>
      </c>
      <c r="AF87" t="s">
        <v>74</v>
      </c>
      <c r="AG87">
        <v>97</v>
      </c>
      <c r="AH87">
        <v>10</v>
      </c>
      <c r="AI87">
        <v>10</v>
      </c>
      <c r="AJ87">
        <v>1</v>
      </c>
      <c r="AK87">
        <v>15</v>
      </c>
      <c r="AL87" t="s">
        <v>244</v>
      </c>
      <c r="AM87" t="s">
        <v>245</v>
      </c>
      <c r="AN87" t="s">
        <v>246</v>
      </c>
      <c r="AO87" t="s">
        <v>714</v>
      </c>
      <c r="AP87" t="s">
        <v>715</v>
      </c>
      <c r="AQ87" t="s">
        <v>74</v>
      </c>
      <c r="AR87" t="s">
        <v>716</v>
      </c>
      <c r="AS87" t="s">
        <v>717</v>
      </c>
      <c r="AT87" t="s">
        <v>74</v>
      </c>
      <c r="AU87">
        <v>2015</v>
      </c>
      <c r="AV87">
        <v>11</v>
      </c>
      <c r="AW87">
        <v>2</v>
      </c>
      <c r="AX87" t="s">
        <v>74</v>
      </c>
      <c r="AY87" t="s">
        <v>74</v>
      </c>
      <c r="AZ87" t="s">
        <v>74</v>
      </c>
      <c r="BA87" t="s">
        <v>74</v>
      </c>
      <c r="BB87">
        <v>115</v>
      </c>
      <c r="BC87">
        <v>133</v>
      </c>
      <c r="BD87" t="s">
        <v>74</v>
      </c>
      <c r="BE87" t="s">
        <v>1878</v>
      </c>
      <c r="BF87" t="str">
        <f>HYPERLINK("http://dx.doi.org/10.5194/cp-11-115-2015","http://dx.doi.org/10.5194/cp-11-115-2015")</f>
        <v>http://dx.doi.org/10.5194/cp-11-115-2015</v>
      </c>
      <c r="BG87" t="s">
        <v>74</v>
      </c>
      <c r="BH87" t="s">
        <v>74</v>
      </c>
      <c r="BI87">
        <v>19</v>
      </c>
      <c r="BJ87" t="s">
        <v>637</v>
      </c>
      <c r="BK87" t="s">
        <v>91</v>
      </c>
      <c r="BL87" t="s">
        <v>638</v>
      </c>
      <c r="BM87" t="s">
        <v>1879</v>
      </c>
      <c r="BN87" t="s">
        <v>74</v>
      </c>
      <c r="BO87" t="s">
        <v>1539</v>
      </c>
      <c r="BP87" t="s">
        <v>74</v>
      </c>
      <c r="BQ87" t="s">
        <v>74</v>
      </c>
      <c r="BR87" t="s">
        <v>93</v>
      </c>
      <c r="BS87" t="s">
        <v>1880</v>
      </c>
      <c r="BT87" t="str">
        <f>HYPERLINK("https%3A%2F%2Fwww.webofscience.com%2Fwos%2Fwoscc%2Ffull-record%2FWOS:000350560400001","View Full Record in Web of Science")</f>
        <v>View Full Record in Web of Science</v>
      </c>
    </row>
    <row r="88" spans="1:72" x14ac:dyDescent="0.15">
      <c r="A88" t="s">
        <v>72</v>
      </c>
      <c r="B88" t="s">
        <v>1881</v>
      </c>
      <c r="C88" t="s">
        <v>74</v>
      </c>
      <c r="D88" t="s">
        <v>74</v>
      </c>
      <c r="E88" t="s">
        <v>74</v>
      </c>
      <c r="F88" t="s">
        <v>1882</v>
      </c>
      <c r="G88" t="s">
        <v>74</v>
      </c>
      <c r="H88" t="s">
        <v>74</v>
      </c>
      <c r="I88" t="s">
        <v>1883</v>
      </c>
      <c r="J88" t="s">
        <v>1884</v>
      </c>
      <c r="K88" t="s">
        <v>74</v>
      </c>
      <c r="L88" t="s">
        <v>74</v>
      </c>
      <c r="M88" t="s">
        <v>78</v>
      </c>
      <c r="N88" t="s">
        <v>99</v>
      </c>
      <c r="O88" t="s">
        <v>74</v>
      </c>
      <c r="P88" t="s">
        <v>74</v>
      </c>
      <c r="Q88" t="s">
        <v>74</v>
      </c>
      <c r="R88" t="s">
        <v>74</v>
      </c>
      <c r="S88" t="s">
        <v>74</v>
      </c>
      <c r="T88" t="s">
        <v>1885</v>
      </c>
      <c r="U88" t="s">
        <v>1886</v>
      </c>
      <c r="V88" t="s">
        <v>1887</v>
      </c>
      <c r="W88" t="s">
        <v>1888</v>
      </c>
      <c r="X88" t="s">
        <v>1889</v>
      </c>
      <c r="Y88" t="s">
        <v>1890</v>
      </c>
      <c r="Z88" t="s">
        <v>1891</v>
      </c>
      <c r="AA88" t="s">
        <v>74</v>
      </c>
      <c r="AB88" t="s">
        <v>74</v>
      </c>
      <c r="AC88" t="s">
        <v>1892</v>
      </c>
      <c r="AD88" t="s">
        <v>1893</v>
      </c>
      <c r="AE88" t="s">
        <v>1894</v>
      </c>
      <c r="AF88" t="s">
        <v>74</v>
      </c>
      <c r="AG88">
        <v>65</v>
      </c>
      <c r="AH88">
        <v>50</v>
      </c>
      <c r="AI88">
        <v>54</v>
      </c>
      <c r="AJ88">
        <v>0</v>
      </c>
      <c r="AK88">
        <v>13</v>
      </c>
      <c r="AL88" t="s">
        <v>1895</v>
      </c>
      <c r="AM88" t="s">
        <v>1411</v>
      </c>
      <c r="AN88" t="s">
        <v>1896</v>
      </c>
      <c r="AO88" t="s">
        <v>1897</v>
      </c>
      <c r="AP88" t="s">
        <v>1898</v>
      </c>
      <c r="AQ88" t="s">
        <v>74</v>
      </c>
      <c r="AR88" t="s">
        <v>1899</v>
      </c>
      <c r="AS88" t="s">
        <v>1900</v>
      </c>
      <c r="AT88" t="s">
        <v>200</v>
      </c>
      <c r="AU88">
        <v>2015</v>
      </c>
      <c r="AV88">
        <v>200</v>
      </c>
      <c r="AW88">
        <v>1</v>
      </c>
      <c r="AX88" t="s">
        <v>74</v>
      </c>
      <c r="AY88" t="s">
        <v>74</v>
      </c>
      <c r="AZ88" t="s">
        <v>74</v>
      </c>
      <c r="BA88" t="s">
        <v>74</v>
      </c>
      <c r="BB88">
        <v>227</v>
      </c>
      <c r="BC88">
        <v>243</v>
      </c>
      <c r="BD88" t="s">
        <v>74</v>
      </c>
      <c r="BE88" t="s">
        <v>1901</v>
      </c>
      <c r="BF88" t="str">
        <f>HYPERLINK("http://dx.doi.org/10.1093/gji/ggu392","http://dx.doi.org/10.1093/gji/ggu392")</f>
        <v>http://dx.doi.org/10.1093/gji/ggu392</v>
      </c>
      <c r="BG88" t="s">
        <v>74</v>
      </c>
      <c r="BH88" t="s">
        <v>74</v>
      </c>
      <c r="BI88">
        <v>17</v>
      </c>
      <c r="BJ88" t="s">
        <v>1902</v>
      </c>
      <c r="BK88" t="s">
        <v>91</v>
      </c>
      <c r="BL88" t="s">
        <v>1902</v>
      </c>
      <c r="BM88" t="s">
        <v>1903</v>
      </c>
      <c r="BN88" t="s">
        <v>74</v>
      </c>
      <c r="BO88" t="s">
        <v>1904</v>
      </c>
      <c r="BP88" t="s">
        <v>74</v>
      </c>
      <c r="BQ88" t="s">
        <v>74</v>
      </c>
      <c r="BR88" t="s">
        <v>93</v>
      </c>
      <c r="BS88" t="s">
        <v>1905</v>
      </c>
      <c r="BT88" t="str">
        <f>HYPERLINK("https%3A%2F%2Fwww.webofscience.com%2Fwos%2Fwoscc%2Ffull-record%2FWOS:000350041600019","View Full Record in Web of Science")</f>
        <v>View Full Record in Web of Science</v>
      </c>
    </row>
    <row r="89" spans="1:72" x14ac:dyDescent="0.15">
      <c r="A89" t="s">
        <v>72</v>
      </c>
      <c r="B89" t="s">
        <v>1906</v>
      </c>
      <c r="C89" t="s">
        <v>74</v>
      </c>
      <c r="D89" t="s">
        <v>74</v>
      </c>
      <c r="E89" t="s">
        <v>74</v>
      </c>
      <c r="F89" t="s">
        <v>1907</v>
      </c>
      <c r="G89" t="s">
        <v>74</v>
      </c>
      <c r="H89" t="s">
        <v>74</v>
      </c>
      <c r="I89" t="s">
        <v>1908</v>
      </c>
      <c r="J89" t="s">
        <v>1909</v>
      </c>
      <c r="K89" t="s">
        <v>74</v>
      </c>
      <c r="L89" t="s">
        <v>74</v>
      </c>
      <c r="M89" t="s">
        <v>78</v>
      </c>
      <c r="N89" t="s">
        <v>454</v>
      </c>
      <c r="O89" t="s">
        <v>74</v>
      </c>
      <c r="P89" t="s">
        <v>74</v>
      </c>
      <c r="Q89" t="s">
        <v>74</v>
      </c>
      <c r="R89" t="s">
        <v>74</v>
      </c>
      <c r="S89" t="s">
        <v>74</v>
      </c>
      <c r="T89" t="s">
        <v>1910</v>
      </c>
      <c r="U89" t="s">
        <v>1911</v>
      </c>
      <c r="V89" t="s">
        <v>1912</v>
      </c>
      <c r="W89" t="s">
        <v>1913</v>
      </c>
      <c r="X89" t="s">
        <v>383</v>
      </c>
      <c r="Y89" t="s">
        <v>1914</v>
      </c>
      <c r="Z89" t="s">
        <v>1915</v>
      </c>
      <c r="AA89" t="s">
        <v>1916</v>
      </c>
      <c r="AB89" t="s">
        <v>1917</v>
      </c>
      <c r="AC89" t="s">
        <v>1918</v>
      </c>
      <c r="AD89" t="s">
        <v>1918</v>
      </c>
      <c r="AE89" t="s">
        <v>1919</v>
      </c>
      <c r="AF89" t="s">
        <v>74</v>
      </c>
      <c r="AG89">
        <v>120</v>
      </c>
      <c r="AH89">
        <v>28</v>
      </c>
      <c r="AI89">
        <v>31</v>
      </c>
      <c r="AJ89">
        <v>0</v>
      </c>
      <c r="AK89">
        <v>25</v>
      </c>
      <c r="AL89" t="s">
        <v>1895</v>
      </c>
      <c r="AM89" t="s">
        <v>1411</v>
      </c>
      <c r="AN89" t="s">
        <v>1896</v>
      </c>
      <c r="AO89" t="s">
        <v>1920</v>
      </c>
      <c r="AP89" t="s">
        <v>1921</v>
      </c>
      <c r="AQ89" t="s">
        <v>74</v>
      </c>
      <c r="AR89" t="s">
        <v>1922</v>
      </c>
      <c r="AS89" t="s">
        <v>1923</v>
      </c>
      <c r="AT89" t="s">
        <v>1924</v>
      </c>
      <c r="AU89">
        <v>2015</v>
      </c>
      <c r="AV89">
        <v>72</v>
      </c>
      <c r="AW89">
        <v>2</v>
      </c>
      <c r="AX89" t="s">
        <v>74</v>
      </c>
      <c r="AY89" t="s">
        <v>74</v>
      </c>
      <c r="AZ89" t="s">
        <v>74</v>
      </c>
      <c r="BA89" t="s">
        <v>74</v>
      </c>
      <c r="BB89">
        <v>316</v>
      </c>
      <c r="BC89">
        <v>327</v>
      </c>
      <c r="BD89" t="s">
        <v>74</v>
      </c>
      <c r="BE89" t="s">
        <v>1925</v>
      </c>
      <c r="BF89" t="str">
        <f>HYPERLINK("http://dx.doi.org/10.1093/icesjms/fsu164","http://dx.doi.org/10.1093/icesjms/fsu164")</f>
        <v>http://dx.doi.org/10.1093/icesjms/fsu164</v>
      </c>
      <c r="BG89" t="s">
        <v>74</v>
      </c>
      <c r="BH89" t="s">
        <v>74</v>
      </c>
      <c r="BI89">
        <v>12</v>
      </c>
      <c r="BJ89" t="s">
        <v>1926</v>
      </c>
      <c r="BK89" t="s">
        <v>91</v>
      </c>
      <c r="BL89" t="s">
        <v>1926</v>
      </c>
      <c r="BM89" t="s">
        <v>1927</v>
      </c>
      <c r="BN89" t="s">
        <v>74</v>
      </c>
      <c r="BO89" t="s">
        <v>74</v>
      </c>
      <c r="BP89" t="s">
        <v>74</v>
      </c>
      <c r="BQ89" t="s">
        <v>74</v>
      </c>
      <c r="BR89" t="s">
        <v>93</v>
      </c>
      <c r="BS89" t="s">
        <v>1928</v>
      </c>
      <c r="BT89" t="str">
        <f>HYPERLINK("https%3A%2F%2Fwww.webofscience.com%2Fwos%2Fwoscc%2Ffull-record%2FWOS:000350154300003","View Full Record in Web of Science")</f>
        <v>View Full Record in Web of Science</v>
      </c>
    </row>
    <row r="90" spans="1:72" x14ac:dyDescent="0.15">
      <c r="A90" t="s">
        <v>72</v>
      </c>
      <c r="B90" t="s">
        <v>1929</v>
      </c>
      <c r="C90" t="s">
        <v>74</v>
      </c>
      <c r="D90" t="s">
        <v>74</v>
      </c>
      <c r="E90" t="s">
        <v>74</v>
      </c>
      <c r="F90" t="s">
        <v>1930</v>
      </c>
      <c r="G90" t="s">
        <v>74</v>
      </c>
      <c r="H90" t="s">
        <v>74</v>
      </c>
      <c r="I90" t="s">
        <v>1931</v>
      </c>
      <c r="J90" t="s">
        <v>1932</v>
      </c>
      <c r="K90" t="s">
        <v>74</v>
      </c>
      <c r="L90" t="s">
        <v>74</v>
      </c>
      <c r="M90" t="s">
        <v>78</v>
      </c>
      <c r="N90" t="s">
        <v>99</v>
      </c>
      <c r="O90" t="s">
        <v>74</v>
      </c>
      <c r="P90" t="s">
        <v>74</v>
      </c>
      <c r="Q90" t="s">
        <v>74</v>
      </c>
      <c r="R90" t="s">
        <v>74</v>
      </c>
      <c r="S90" t="s">
        <v>74</v>
      </c>
      <c r="T90" t="s">
        <v>1933</v>
      </c>
      <c r="U90" t="s">
        <v>1934</v>
      </c>
      <c r="V90" t="s">
        <v>1935</v>
      </c>
      <c r="W90" t="s">
        <v>1936</v>
      </c>
      <c r="X90" t="s">
        <v>1937</v>
      </c>
      <c r="Y90" t="s">
        <v>1938</v>
      </c>
      <c r="Z90" t="s">
        <v>1939</v>
      </c>
      <c r="AA90" t="s">
        <v>1940</v>
      </c>
      <c r="AB90" t="s">
        <v>1941</v>
      </c>
      <c r="AC90" t="s">
        <v>1942</v>
      </c>
      <c r="AD90" t="s">
        <v>1943</v>
      </c>
      <c r="AE90" t="s">
        <v>1944</v>
      </c>
      <c r="AF90" t="s">
        <v>74</v>
      </c>
      <c r="AG90">
        <v>71</v>
      </c>
      <c r="AH90">
        <v>48</v>
      </c>
      <c r="AI90">
        <v>54</v>
      </c>
      <c r="AJ90">
        <v>1</v>
      </c>
      <c r="AK90">
        <v>24</v>
      </c>
      <c r="AL90" t="s">
        <v>1945</v>
      </c>
      <c r="AM90" t="s">
        <v>1946</v>
      </c>
      <c r="AN90" t="s">
        <v>1947</v>
      </c>
      <c r="AO90" t="s">
        <v>1948</v>
      </c>
      <c r="AP90" t="s">
        <v>1949</v>
      </c>
      <c r="AQ90" t="s">
        <v>74</v>
      </c>
      <c r="AR90" t="s">
        <v>1950</v>
      </c>
      <c r="AS90" t="s">
        <v>1951</v>
      </c>
      <c r="AT90" t="s">
        <v>200</v>
      </c>
      <c r="AU90">
        <v>2015</v>
      </c>
      <c r="AV90">
        <v>120</v>
      </c>
      <c r="AW90">
        <v>1</v>
      </c>
      <c r="AX90" t="s">
        <v>74</v>
      </c>
      <c r="AY90" t="s">
        <v>74</v>
      </c>
      <c r="AZ90" t="s">
        <v>74</v>
      </c>
      <c r="BA90" t="s">
        <v>74</v>
      </c>
      <c r="BB90">
        <v>120</v>
      </c>
      <c r="BC90">
        <v>136</v>
      </c>
      <c r="BD90" t="s">
        <v>74</v>
      </c>
      <c r="BE90" t="s">
        <v>1952</v>
      </c>
      <c r="BF90" t="str">
        <f>HYPERLINK("http://dx.doi.org/10.1002/2014JF003276","http://dx.doi.org/10.1002/2014JF003276")</f>
        <v>http://dx.doi.org/10.1002/2014JF003276</v>
      </c>
      <c r="BG90" t="s">
        <v>74</v>
      </c>
      <c r="BH90" t="s">
        <v>74</v>
      </c>
      <c r="BI90">
        <v>17</v>
      </c>
      <c r="BJ90" t="s">
        <v>1953</v>
      </c>
      <c r="BK90" t="s">
        <v>91</v>
      </c>
      <c r="BL90" t="s">
        <v>1954</v>
      </c>
      <c r="BM90" t="s">
        <v>1955</v>
      </c>
      <c r="BN90" t="s">
        <v>74</v>
      </c>
      <c r="BO90" t="s">
        <v>375</v>
      </c>
      <c r="BP90" t="s">
        <v>74</v>
      </c>
      <c r="BQ90" t="s">
        <v>74</v>
      </c>
      <c r="BR90" t="s">
        <v>93</v>
      </c>
      <c r="BS90" t="s">
        <v>1956</v>
      </c>
      <c r="BT90" t="str">
        <f>HYPERLINK("https%3A%2F%2Fwww.webofscience.com%2Fwos%2Fwoscc%2Ffull-record%2FWOS:000350108500006","View Full Record in Web of Science")</f>
        <v>View Full Record in Web of Science</v>
      </c>
    </row>
    <row r="91" spans="1:72" x14ac:dyDescent="0.15">
      <c r="A91" t="s">
        <v>72</v>
      </c>
      <c r="B91" t="s">
        <v>1957</v>
      </c>
      <c r="C91" t="s">
        <v>74</v>
      </c>
      <c r="D91" t="s">
        <v>74</v>
      </c>
      <c r="E91" t="s">
        <v>74</v>
      </c>
      <c r="F91" t="s">
        <v>1958</v>
      </c>
      <c r="G91" t="s">
        <v>74</v>
      </c>
      <c r="H91" t="s">
        <v>74</v>
      </c>
      <c r="I91" t="s">
        <v>1959</v>
      </c>
      <c r="J91" t="s">
        <v>644</v>
      </c>
      <c r="K91" t="s">
        <v>74</v>
      </c>
      <c r="L91" t="s">
        <v>74</v>
      </c>
      <c r="M91" t="s">
        <v>78</v>
      </c>
      <c r="N91" t="s">
        <v>99</v>
      </c>
      <c r="O91" t="s">
        <v>74</v>
      </c>
      <c r="P91" t="s">
        <v>74</v>
      </c>
      <c r="Q91" t="s">
        <v>74</v>
      </c>
      <c r="R91" t="s">
        <v>74</v>
      </c>
      <c r="S91" t="s">
        <v>74</v>
      </c>
      <c r="T91" t="s">
        <v>1960</v>
      </c>
      <c r="U91" t="s">
        <v>1961</v>
      </c>
      <c r="V91" t="s">
        <v>1962</v>
      </c>
      <c r="W91" t="s">
        <v>1963</v>
      </c>
      <c r="X91" t="s">
        <v>1964</v>
      </c>
      <c r="Y91" t="s">
        <v>1965</v>
      </c>
      <c r="Z91" t="s">
        <v>1966</v>
      </c>
      <c r="AA91" t="s">
        <v>1967</v>
      </c>
      <c r="AB91" t="s">
        <v>1968</v>
      </c>
      <c r="AC91" t="s">
        <v>74</v>
      </c>
      <c r="AD91" t="s">
        <v>74</v>
      </c>
      <c r="AE91" t="s">
        <v>74</v>
      </c>
      <c r="AF91" t="s">
        <v>74</v>
      </c>
      <c r="AG91">
        <v>64</v>
      </c>
      <c r="AH91">
        <v>25</v>
      </c>
      <c r="AI91">
        <v>26</v>
      </c>
      <c r="AJ91">
        <v>1</v>
      </c>
      <c r="AK91">
        <v>19</v>
      </c>
      <c r="AL91" t="s">
        <v>656</v>
      </c>
      <c r="AM91" t="s">
        <v>515</v>
      </c>
      <c r="AN91" t="s">
        <v>657</v>
      </c>
      <c r="AO91" t="s">
        <v>658</v>
      </c>
      <c r="AP91" t="s">
        <v>659</v>
      </c>
      <c r="AQ91" t="s">
        <v>74</v>
      </c>
      <c r="AR91" t="s">
        <v>644</v>
      </c>
      <c r="AS91" t="s">
        <v>660</v>
      </c>
      <c r="AT91" t="s">
        <v>74</v>
      </c>
      <c r="AU91">
        <v>2015</v>
      </c>
      <c r="AV91" t="s">
        <v>74</v>
      </c>
      <c r="AW91">
        <v>484</v>
      </c>
      <c r="AX91" t="s">
        <v>74</v>
      </c>
      <c r="AY91" t="s">
        <v>74</v>
      </c>
      <c r="AZ91" t="s">
        <v>74</v>
      </c>
      <c r="BA91" t="s">
        <v>74</v>
      </c>
      <c r="BB91">
        <v>25</v>
      </c>
      <c r="BC91">
        <v>52</v>
      </c>
      <c r="BD91" t="s">
        <v>74</v>
      </c>
      <c r="BE91" t="s">
        <v>1969</v>
      </c>
      <c r="BF91" t="str">
        <f>HYPERLINK("http://dx.doi.org/10.3897/zookeys.484.9132","http://dx.doi.org/10.3897/zookeys.484.9132")</f>
        <v>http://dx.doi.org/10.3897/zookeys.484.9132</v>
      </c>
      <c r="BG91" t="s">
        <v>74</v>
      </c>
      <c r="BH91" t="s">
        <v>74</v>
      </c>
      <c r="BI91">
        <v>28</v>
      </c>
      <c r="BJ91" t="s">
        <v>423</v>
      </c>
      <c r="BK91" t="s">
        <v>91</v>
      </c>
      <c r="BL91" t="s">
        <v>423</v>
      </c>
      <c r="BM91" t="s">
        <v>1970</v>
      </c>
      <c r="BN91">
        <v>25829840</v>
      </c>
      <c r="BO91" t="s">
        <v>1971</v>
      </c>
      <c r="BP91" t="s">
        <v>74</v>
      </c>
      <c r="BQ91" t="s">
        <v>74</v>
      </c>
      <c r="BR91" t="s">
        <v>93</v>
      </c>
      <c r="BS91" t="s">
        <v>1972</v>
      </c>
      <c r="BT91" t="str">
        <f>HYPERLINK("https%3A%2F%2Fwww.webofscience.com%2Fwos%2Fwoscc%2Ffull-record%2FWOS:000350341900003","View Full Record in Web of Science")</f>
        <v>View Full Record in Web of Science</v>
      </c>
    </row>
    <row r="92" spans="1:72" x14ac:dyDescent="0.15">
      <c r="A92" t="s">
        <v>72</v>
      </c>
      <c r="B92" t="s">
        <v>1973</v>
      </c>
      <c r="C92" t="s">
        <v>74</v>
      </c>
      <c r="D92" t="s">
        <v>74</v>
      </c>
      <c r="E92" t="s">
        <v>74</v>
      </c>
      <c r="F92" t="s">
        <v>1974</v>
      </c>
      <c r="G92" t="s">
        <v>74</v>
      </c>
      <c r="H92" t="s">
        <v>74</v>
      </c>
      <c r="I92" t="s">
        <v>1975</v>
      </c>
      <c r="J92" t="s">
        <v>597</v>
      </c>
      <c r="K92" t="s">
        <v>74</v>
      </c>
      <c r="L92" t="s">
        <v>74</v>
      </c>
      <c r="M92" t="s">
        <v>78</v>
      </c>
      <c r="N92" t="s">
        <v>99</v>
      </c>
      <c r="O92" t="s">
        <v>74</v>
      </c>
      <c r="P92" t="s">
        <v>74</v>
      </c>
      <c r="Q92" t="s">
        <v>74</v>
      </c>
      <c r="R92" t="s">
        <v>74</v>
      </c>
      <c r="S92" t="s">
        <v>74</v>
      </c>
      <c r="T92" t="s">
        <v>74</v>
      </c>
      <c r="U92" t="s">
        <v>1976</v>
      </c>
      <c r="V92" t="s">
        <v>1977</v>
      </c>
      <c r="W92" t="s">
        <v>1978</v>
      </c>
      <c r="X92" t="s">
        <v>1979</v>
      </c>
      <c r="Y92" t="s">
        <v>1980</v>
      </c>
      <c r="Z92" t="s">
        <v>1981</v>
      </c>
      <c r="AA92" t="s">
        <v>1982</v>
      </c>
      <c r="AB92" t="s">
        <v>1983</v>
      </c>
      <c r="AC92" t="s">
        <v>1984</v>
      </c>
      <c r="AD92" t="s">
        <v>1985</v>
      </c>
      <c r="AE92" t="s">
        <v>1986</v>
      </c>
      <c r="AF92" t="s">
        <v>74</v>
      </c>
      <c r="AG92">
        <v>55</v>
      </c>
      <c r="AH92">
        <v>38</v>
      </c>
      <c r="AI92">
        <v>38</v>
      </c>
      <c r="AJ92">
        <v>0</v>
      </c>
      <c r="AK92">
        <v>26</v>
      </c>
      <c r="AL92" t="s">
        <v>244</v>
      </c>
      <c r="AM92" t="s">
        <v>245</v>
      </c>
      <c r="AN92" t="s">
        <v>246</v>
      </c>
      <c r="AO92" t="s">
        <v>609</v>
      </c>
      <c r="AP92" t="s">
        <v>610</v>
      </c>
      <c r="AQ92" t="s">
        <v>74</v>
      </c>
      <c r="AR92" t="s">
        <v>597</v>
      </c>
      <c r="AS92" t="s">
        <v>611</v>
      </c>
      <c r="AT92" t="s">
        <v>74</v>
      </c>
      <c r="AU92">
        <v>2015</v>
      </c>
      <c r="AV92">
        <v>12</v>
      </c>
      <c r="AW92">
        <v>3</v>
      </c>
      <c r="AX92" t="s">
        <v>74</v>
      </c>
      <c r="AY92" t="s">
        <v>74</v>
      </c>
      <c r="AZ92" t="s">
        <v>74</v>
      </c>
      <c r="BA92" t="s">
        <v>74</v>
      </c>
      <c r="BB92">
        <v>739</v>
      </c>
      <c r="BC92">
        <v>755</v>
      </c>
      <c r="BD92" t="s">
        <v>74</v>
      </c>
      <c r="BE92" t="s">
        <v>1987</v>
      </c>
      <c r="BF92" t="str">
        <f>HYPERLINK("http://dx.doi.org/10.5194/bg-12-739-2015","http://dx.doi.org/10.5194/bg-12-739-2015")</f>
        <v>http://dx.doi.org/10.5194/bg-12-739-2015</v>
      </c>
      <c r="BG92" t="s">
        <v>74</v>
      </c>
      <c r="BH92" t="s">
        <v>74</v>
      </c>
      <c r="BI92">
        <v>17</v>
      </c>
      <c r="BJ92" t="s">
        <v>613</v>
      </c>
      <c r="BK92" t="s">
        <v>91</v>
      </c>
      <c r="BL92" t="s">
        <v>614</v>
      </c>
      <c r="BM92" t="s">
        <v>1988</v>
      </c>
      <c r="BN92" t="s">
        <v>74</v>
      </c>
      <c r="BO92" t="s">
        <v>1989</v>
      </c>
      <c r="BP92" t="s">
        <v>74</v>
      </c>
      <c r="BQ92" t="s">
        <v>74</v>
      </c>
      <c r="BR92" t="s">
        <v>93</v>
      </c>
      <c r="BS92" t="s">
        <v>1990</v>
      </c>
      <c r="BT92" t="str">
        <f>HYPERLINK("https%3A%2F%2Fwww.webofscience.com%2Fwos%2Fwoscc%2Ffull-record%2FWOS:000349793100007","View Full Record in Web of Science")</f>
        <v>View Full Record in Web of Science</v>
      </c>
    </row>
    <row r="93" spans="1:72" x14ac:dyDescent="0.15">
      <c r="A93" t="s">
        <v>72</v>
      </c>
      <c r="B93" t="s">
        <v>1991</v>
      </c>
      <c r="C93" t="s">
        <v>74</v>
      </c>
      <c r="D93" t="s">
        <v>74</v>
      </c>
      <c r="E93" t="s">
        <v>74</v>
      </c>
      <c r="F93" t="s">
        <v>1992</v>
      </c>
      <c r="G93" t="s">
        <v>74</v>
      </c>
      <c r="H93" t="s">
        <v>74</v>
      </c>
      <c r="I93" t="s">
        <v>1993</v>
      </c>
      <c r="J93" t="s">
        <v>1994</v>
      </c>
      <c r="K93" t="s">
        <v>74</v>
      </c>
      <c r="L93" t="s">
        <v>74</v>
      </c>
      <c r="M93" t="s">
        <v>78</v>
      </c>
      <c r="N93" t="s">
        <v>99</v>
      </c>
      <c r="O93" t="s">
        <v>74</v>
      </c>
      <c r="P93" t="s">
        <v>74</v>
      </c>
      <c r="Q93" t="s">
        <v>74</v>
      </c>
      <c r="R93" t="s">
        <v>74</v>
      </c>
      <c r="S93" t="s">
        <v>74</v>
      </c>
      <c r="T93" t="s">
        <v>74</v>
      </c>
      <c r="U93" t="s">
        <v>1995</v>
      </c>
      <c r="V93" t="s">
        <v>1996</v>
      </c>
      <c r="W93" t="s">
        <v>1997</v>
      </c>
      <c r="X93" t="s">
        <v>1998</v>
      </c>
      <c r="Y93" t="s">
        <v>1999</v>
      </c>
      <c r="Z93" t="s">
        <v>2000</v>
      </c>
      <c r="AA93" t="s">
        <v>2001</v>
      </c>
      <c r="AB93" t="s">
        <v>2002</v>
      </c>
      <c r="AC93" t="s">
        <v>2003</v>
      </c>
      <c r="AD93" t="s">
        <v>2004</v>
      </c>
      <c r="AE93" t="s">
        <v>2005</v>
      </c>
      <c r="AF93" t="s">
        <v>74</v>
      </c>
      <c r="AG93">
        <v>75</v>
      </c>
      <c r="AH93">
        <v>33</v>
      </c>
      <c r="AI93">
        <v>38</v>
      </c>
      <c r="AJ93">
        <v>1</v>
      </c>
      <c r="AK93">
        <v>34</v>
      </c>
      <c r="AL93" t="s">
        <v>2006</v>
      </c>
      <c r="AM93" t="s">
        <v>2007</v>
      </c>
      <c r="AN93" t="s">
        <v>2008</v>
      </c>
      <c r="AO93" t="s">
        <v>2009</v>
      </c>
      <c r="AP93" t="s">
        <v>2010</v>
      </c>
      <c r="AQ93" t="s">
        <v>74</v>
      </c>
      <c r="AR93" t="s">
        <v>1994</v>
      </c>
      <c r="AS93" t="s">
        <v>2011</v>
      </c>
      <c r="AT93" t="s">
        <v>200</v>
      </c>
      <c r="AU93">
        <v>2015</v>
      </c>
      <c r="AV93">
        <v>13</v>
      </c>
      <c r="AW93">
        <v>1</v>
      </c>
      <c r="AX93" t="s">
        <v>74</v>
      </c>
      <c r="AY93" t="s">
        <v>74</v>
      </c>
      <c r="AZ93" t="s">
        <v>74</v>
      </c>
      <c r="BA93" t="s">
        <v>74</v>
      </c>
      <c r="BB93">
        <v>15</v>
      </c>
      <c r="BC93">
        <v>32</v>
      </c>
      <c r="BD93" t="s">
        <v>74</v>
      </c>
      <c r="BE93" t="s">
        <v>2012</v>
      </c>
      <c r="BF93" t="str">
        <f>HYPERLINK("http://dx.doi.org/10.1111/gbi.12114","http://dx.doi.org/10.1111/gbi.12114")</f>
        <v>http://dx.doi.org/10.1111/gbi.12114</v>
      </c>
      <c r="BG93" t="s">
        <v>74</v>
      </c>
      <c r="BH93" t="s">
        <v>74</v>
      </c>
      <c r="BI93">
        <v>18</v>
      </c>
      <c r="BJ93" t="s">
        <v>2013</v>
      </c>
      <c r="BK93" t="s">
        <v>91</v>
      </c>
      <c r="BL93" t="s">
        <v>2014</v>
      </c>
      <c r="BM93" t="s">
        <v>2015</v>
      </c>
      <c r="BN93">
        <v>25354129</v>
      </c>
      <c r="BO93" t="s">
        <v>74</v>
      </c>
      <c r="BP93" t="s">
        <v>74</v>
      </c>
      <c r="BQ93" t="s">
        <v>74</v>
      </c>
      <c r="BR93" t="s">
        <v>93</v>
      </c>
      <c r="BS93" t="s">
        <v>2016</v>
      </c>
      <c r="BT93" t="str">
        <f>HYPERLINK("https%3A%2F%2Fwww.webofscience.com%2Fwos%2Fwoscc%2Ffull-record%2FWOS:000350053000002","View Full Record in Web of Science")</f>
        <v>View Full Record in Web of Science</v>
      </c>
    </row>
    <row r="94" spans="1:72" x14ac:dyDescent="0.15">
      <c r="A94" t="s">
        <v>72</v>
      </c>
      <c r="B94" t="s">
        <v>2017</v>
      </c>
      <c r="C94" t="s">
        <v>74</v>
      </c>
      <c r="D94" t="s">
        <v>74</v>
      </c>
      <c r="E94" t="s">
        <v>74</v>
      </c>
      <c r="F94" t="s">
        <v>2018</v>
      </c>
      <c r="G94" t="s">
        <v>74</v>
      </c>
      <c r="H94" t="s">
        <v>74</v>
      </c>
      <c r="I94" t="s">
        <v>2019</v>
      </c>
      <c r="J94" t="s">
        <v>1994</v>
      </c>
      <c r="K94" t="s">
        <v>74</v>
      </c>
      <c r="L94" t="s">
        <v>74</v>
      </c>
      <c r="M94" t="s">
        <v>78</v>
      </c>
      <c r="N94" t="s">
        <v>99</v>
      </c>
      <c r="O94" t="s">
        <v>74</v>
      </c>
      <c r="P94" t="s">
        <v>74</v>
      </c>
      <c r="Q94" t="s">
        <v>74</v>
      </c>
      <c r="R94" t="s">
        <v>74</v>
      </c>
      <c r="S94" t="s">
        <v>74</v>
      </c>
      <c r="T94" t="s">
        <v>74</v>
      </c>
      <c r="U94" t="s">
        <v>2020</v>
      </c>
      <c r="V94" t="s">
        <v>2021</v>
      </c>
      <c r="W94" t="s">
        <v>2022</v>
      </c>
      <c r="X94" t="s">
        <v>2023</v>
      </c>
      <c r="Y94" t="s">
        <v>2024</v>
      </c>
      <c r="Z94" t="s">
        <v>2025</v>
      </c>
      <c r="AA94" t="s">
        <v>2026</v>
      </c>
      <c r="AB94" t="s">
        <v>2027</v>
      </c>
      <c r="AC94" t="s">
        <v>2028</v>
      </c>
      <c r="AD94" t="s">
        <v>2029</v>
      </c>
      <c r="AE94" t="s">
        <v>2030</v>
      </c>
      <c r="AF94" t="s">
        <v>74</v>
      </c>
      <c r="AG94">
        <v>45</v>
      </c>
      <c r="AH94">
        <v>10</v>
      </c>
      <c r="AI94">
        <v>12</v>
      </c>
      <c r="AJ94">
        <v>0</v>
      </c>
      <c r="AK94">
        <v>19</v>
      </c>
      <c r="AL94" t="s">
        <v>2006</v>
      </c>
      <c r="AM94" t="s">
        <v>2007</v>
      </c>
      <c r="AN94" t="s">
        <v>2008</v>
      </c>
      <c r="AO94" t="s">
        <v>2009</v>
      </c>
      <c r="AP94" t="s">
        <v>2010</v>
      </c>
      <c r="AQ94" t="s">
        <v>74</v>
      </c>
      <c r="AR94" t="s">
        <v>1994</v>
      </c>
      <c r="AS94" t="s">
        <v>2011</v>
      </c>
      <c r="AT94" t="s">
        <v>200</v>
      </c>
      <c r="AU94">
        <v>2015</v>
      </c>
      <c r="AV94">
        <v>13</v>
      </c>
      <c r="AW94">
        <v>1</v>
      </c>
      <c r="AX94" t="s">
        <v>74</v>
      </c>
      <c r="AY94" t="s">
        <v>74</v>
      </c>
      <c r="AZ94" t="s">
        <v>74</v>
      </c>
      <c r="BA94" t="s">
        <v>74</v>
      </c>
      <c r="BB94">
        <v>44</v>
      </c>
      <c r="BC94">
        <v>52</v>
      </c>
      <c r="BD94" t="s">
        <v>74</v>
      </c>
      <c r="BE94" t="s">
        <v>2031</v>
      </c>
      <c r="BF94" t="str">
        <f>HYPERLINK("http://dx.doi.org/10.1111/gbi.12118","http://dx.doi.org/10.1111/gbi.12118")</f>
        <v>http://dx.doi.org/10.1111/gbi.12118</v>
      </c>
      <c r="BG94" t="s">
        <v>74</v>
      </c>
      <c r="BH94" t="s">
        <v>74</v>
      </c>
      <c r="BI94">
        <v>9</v>
      </c>
      <c r="BJ94" t="s">
        <v>2013</v>
      </c>
      <c r="BK94" t="s">
        <v>91</v>
      </c>
      <c r="BL94" t="s">
        <v>2014</v>
      </c>
      <c r="BM94" t="s">
        <v>2015</v>
      </c>
      <c r="BN94">
        <v>25407814</v>
      </c>
      <c r="BO94" t="s">
        <v>74</v>
      </c>
      <c r="BP94" t="s">
        <v>74</v>
      </c>
      <c r="BQ94" t="s">
        <v>74</v>
      </c>
      <c r="BR94" t="s">
        <v>93</v>
      </c>
      <c r="BS94" t="s">
        <v>2032</v>
      </c>
      <c r="BT94" t="str">
        <f>HYPERLINK("https%3A%2F%2Fwww.webofscience.com%2Fwos%2Fwoscc%2Ffull-record%2FWOS:000350053000004","View Full Record in Web of Science")</f>
        <v>View Full Record in Web of Science</v>
      </c>
    </row>
    <row r="95" spans="1:72" x14ac:dyDescent="0.15">
      <c r="A95" t="s">
        <v>72</v>
      </c>
      <c r="B95" t="s">
        <v>2033</v>
      </c>
      <c r="C95" t="s">
        <v>74</v>
      </c>
      <c r="D95" t="s">
        <v>74</v>
      </c>
      <c r="E95" t="s">
        <v>74</v>
      </c>
      <c r="F95" t="s">
        <v>2034</v>
      </c>
      <c r="G95" t="s">
        <v>74</v>
      </c>
      <c r="H95" t="s">
        <v>74</v>
      </c>
      <c r="I95" t="s">
        <v>2035</v>
      </c>
      <c r="J95" t="s">
        <v>2036</v>
      </c>
      <c r="K95" t="s">
        <v>74</v>
      </c>
      <c r="L95" t="s">
        <v>74</v>
      </c>
      <c r="M95" t="s">
        <v>78</v>
      </c>
      <c r="N95" t="s">
        <v>99</v>
      </c>
      <c r="O95" t="s">
        <v>74</v>
      </c>
      <c r="P95" t="s">
        <v>74</v>
      </c>
      <c r="Q95" t="s">
        <v>74</v>
      </c>
      <c r="R95" t="s">
        <v>74</v>
      </c>
      <c r="S95" t="s">
        <v>74</v>
      </c>
      <c r="T95" t="s">
        <v>2037</v>
      </c>
      <c r="U95" t="s">
        <v>2038</v>
      </c>
      <c r="V95" t="s">
        <v>2039</v>
      </c>
      <c r="W95" t="s">
        <v>2040</v>
      </c>
      <c r="X95" t="s">
        <v>2041</v>
      </c>
      <c r="Y95" t="s">
        <v>2042</v>
      </c>
      <c r="Z95" t="s">
        <v>2043</v>
      </c>
      <c r="AA95" t="s">
        <v>2044</v>
      </c>
      <c r="AB95" t="s">
        <v>2045</v>
      </c>
      <c r="AC95" t="s">
        <v>2046</v>
      </c>
      <c r="AD95" t="s">
        <v>2047</v>
      </c>
      <c r="AE95" t="s">
        <v>2048</v>
      </c>
      <c r="AF95" t="s">
        <v>74</v>
      </c>
      <c r="AG95">
        <v>82</v>
      </c>
      <c r="AH95">
        <v>55</v>
      </c>
      <c r="AI95">
        <v>61</v>
      </c>
      <c r="AJ95">
        <v>4</v>
      </c>
      <c r="AK95">
        <v>56</v>
      </c>
      <c r="AL95" t="s">
        <v>1945</v>
      </c>
      <c r="AM95" t="s">
        <v>1946</v>
      </c>
      <c r="AN95" t="s">
        <v>1947</v>
      </c>
      <c r="AO95" t="s">
        <v>2049</v>
      </c>
      <c r="AP95" t="s">
        <v>2050</v>
      </c>
      <c r="AQ95" t="s">
        <v>74</v>
      </c>
      <c r="AR95" t="s">
        <v>2051</v>
      </c>
      <c r="AS95" t="s">
        <v>2052</v>
      </c>
      <c r="AT95" t="s">
        <v>200</v>
      </c>
      <c r="AU95">
        <v>2015</v>
      </c>
      <c r="AV95">
        <v>120</v>
      </c>
      <c r="AW95">
        <v>1</v>
      </c>
      <c r="AX95" t="s">
        <v>74</v>
      </c>
      <c r="AY95" t="s">
        <v>74</v>
      </c>
      <c r="AZ95" t="s">
        <v>74</v>
      </c>
      <c r="BA95" t="s">
        <v>74</v>
      </c>
      <c r="BB95">
        <v>384</v>
      </c>
      <c r="BC95">
        <v>404</v>
      </c>
      <c r="BD95" t="s">
        <v>74</v>
      </c>
      <c r="BE95" t="s">
        <v>2053</v>
      </c>
      <c r="BF95" t="str">
        <f>HYPERLINK("http://dx.doi.org/10.1002/2014JC010463","http://dx.doi.org/10.1002/2014JC010463")</f>
        <v>http://dx.doi.org/10.1002/2014JC010463</v>
      </c>
      <c r="BG95" t="s">
        <v>74</v>
      </c>
      <c r="BH95" t="s">
        <v>74</v>
      </c>
      <c r="BI95">
        <v>21</v>
      </c>
      <c r="BJ95" t="s">
        <v>2054</v>
      </c>
      <c r="BK95" t="s">
        <v>91</v>
      </c>
      <c r="BL95" t="s">
        <v>2054</v>
      </c>
      <c r="BM95" t="s">
        <v>2055</v>
      </c>
      <c r="BN95" t="s">
        <v>74</v>
      </c>
      <c r="BO95" t="s">
        <v>2056</v>
      </c>
      <c r="BP95" t="s">
        <v>74</v>
      </c>
      <c r="BQ95" t="s">
        <v>74</v>
      </c>
      <c r="BR95" t="s">
        <v>93</v>
      </c>
      <c r="BS95" t="s">
        <v>2057</v>
      </c>
      <c r="BT95" t="str">
        <f>HYPERLINK("https%3A%2F%2Fwww.webofscience.com%2Fwos%2Fwoscc%2Ffull-record%2FWOS:000349890000023","View Full Record in Web of Science")</f>
        <v>View Full Record in Web of Science</v>
      </c>
    </row>
    <row r="96" spans="1:72" x14ac:dyDescent="0.15">
      <c r="A96" t="s">
        <v>72</v>
      </c>
      <c r="B96" t="s">
        <v>2058</v>
      </c>
      <c r="C96" t="s">
        <v>74</v>
      </c>
      <c r="D96" t="s">
        <v>74</v>
      </c>
      <c r="E96" t="s">
        <v>74</v>
      </c>
      <c r="F96" t="s">
        <v>2059</v>
      </c>
      <c r="G96" t="s">
        <v>74</v>
      </c>
      <c r="H96" t="s">
        <v>74</v>
      </c>
      <c r="I96" t="s">
        <v>2060</v>
      </c>
      <c r="J96" t="s">
        <v>2061</v>
      </c>
      <c r="K96" t="s">
        <v>74</v>
      </c>
      <c r="L96" t="s">
        <v>74</v>
      </c>
      <c r="M96" t="s">
        <v>78</v>
      </c>
      <c r="N96" t="s">
        <v>99</v>
      </c>
      <c r="O96" t="s">
        <v>74</v>
      </c>
      <c r="P96" t="s">
        <v>74</v>
      </c>
      <c r="Q96" t="s">
        <v>74</v>
      </c>
      <c r="R96" t="s">
        <v>74</v>
      </c>
      <c r="S96" t="s">
        <v>74</v>
      </c>
      <c r="T96" t="s">
        <v>2062</v>
      </c>
      <c r="U96" t="s">
        <v>2063</v>
      </c>
      <c r="V96" t="s">
        <v>2064</v>
      </c>
      <c r="W96" t="s">
        <v>2065</v>
      </c>
      <c r="X96" t="s">
        <v>2066</v>
      </c>
      <c r="Y96" t="s">
        <v>2067</v>
      </c>
      <c r="Z96" t="s">
        <v>2068</v>
      </c>
      <c r="AA96" t="s">
        <v>2069</v>
      </c>
      <c r="AB96" t="s">
        <v>2070</v>
      </c>
      <c r="AC96" t="s">
        <v>2071</v>
      </c>
      <c r="AD96" t="s">
        <v>2072</v>
      </c>
      <c r="AE96" t="s">
        <v>2073</v>
      </c>
      <c r="AF96" t="s">
        <v>74</v>
      </c>
      <c r="AG96">
        <v>81</v>
      </c>
      <c r="AH96">
        <v>23</v>
      </c>
      <c r="AI96">
        <v>24</v>
      </c>
      <c r="AJ96">
        <v>1</v>
      </c>
      <c r="AK96">
        <v>15</v>
      </c>
      <c r="AL96" t="s">
        <v>1945</v>
      </c>
      <c r="AM96" t="s">
        <v>1946</v>
      </c>
      <c r="AN96" t="s">
        <v>1947</v>
      </c>
      <c r="AO96" t="s">
        <v>2074</v>
      </c>
      <c r="AP96" t="s">
        <v>2075</v>
      </c>
      <c r="AQ96" t="s">
        <v>74</v>
      </c>
      <c r="AR96" t="s">
        <v>2076</v>
      </c>
      <c r="AS96" t="s">
        <v>2077</v>
      </c>
      <c r="AT96" t="s">
        <v>200</v>
      </c>
      <c r="AU96">
        <v>2015</v>
      </c>
      <c r="AV96">
        <v>120</v>
      </c>
      <c r="AW96">
        <v>1</v>
      </c>
      <c r="AX96" t="s">
        <v>74</v>
      </c>
      <c r="AY96" t="s">
        <v>74</v>
      </c>
      <c r="AZ96" t="s">
        <v>74</v>
      </c>
      <c r="BA96" t="s">
        <v>74</v>
      </c>
      <c r="BB96">
        <v>697</v>
      </c>
      <c r="BC96">
        <v>714</v>
      </c>
      <c r="BD96" t="s">
        <v>74</v>
      </c>
      <c r="BE96" t="s">
        <v>2078</v>
      </c>
      <c r="BF96" t="str">
        <f>HYPERLINK("http://dx.doi.org/10.1002/2014JA020710","http://dx.doi.org/10.1002/2014JA020710")</f>
        <v>http://dx.doi.org/10.1002/2014JA020710</v>
      </c>
      <c r="BG96" t="s">
        <v>74</v>
      </c>
      <c r="BH96" t="s">
        <v>74</v>
      </c>
      <c r="BI96">
        <v>18</v>
      </c>
      <c r="BJ96" t="s">
        <v>2079</v>
      </c>
      <c r="BK96" t="s">
        <v>91</v>
      </c>
      <c r="BL96" t="s">
        <v>2079</v>
      </c>
      <c r="BM96" t="s">
        <v>2080</v>
      </c>
      <c r="BN96" t="s">
        <v>74</v>
      </c>
      <c r="BO96" t="s">
        <v>2081</v>
      </c>
      <c r="BP96" t="s">
        <v>74</v>
      </c>
      <c r="BQ96" t="s">
        <v>74</v>
      </c>
      <c r="BR96" t="s">
        <v>93</v>
      </c>
      <c r="BS96" t="s">
        <v>2082</v>
      </c>
      <c r="BT96" t="str">
        <f>HYPERLINK("https%3A%2F%2Fwww.webofscience.com%2Fwos%2Fwoscc%2Ffull-record%2FWOS:000349891300045","View Full Record in Web of Science")</f>
        <v>View Full Record in Web of Science</v>
      </c>
    </row>
    <row r="97" spans="1:72" x14ac:dyDescent="0.15">
      <c r="A97" t="s">
        <v>72</v>
      </c>
      <c r="B97" t="s">
        <v>2083</v>
      </c>
      <c r="C97" t="s">
        <v>74</v>
      </c>
      <c r="D97" t="s">
        <v>74</v>
      </c>
      <c r="E97" t="s">
        <v>74</v>
      </c>
      <c r="F97" t="s">
        <v>2084</v>
      </c>
      <c r="G97" t="s">
        <v>74</v>
      </c>
      <c r="H97" t="s">
        <v>74</v>
      </c>
      <c r="I97" t="s">
        <v>2085</v>
      </c>
      <c r="J97" t="s">
        <v>597</v>
      </c>
      <c r="K97" t="s">
        <v>74</v>
      </c>
      <c r="L97" t="s">
        <v>74</v>
      </c>
      <c r="M97" t="s">
        <v>78</v>
      </c>
      <c r="N97" t="s">
        <v>99</v>
      </c>
      <c r="O97" t="s">
        <v>74</v>
      </c>
      <c r="P97" t="s">
        <v>74</v>
      </c>
      <c r="Q97" t="s">
        <v>74</v>
      </c>
      <c r="R97" t="s">
        <v>74</v>
      </c>
      <c r="S97" t="s">
        <v>74</v>
      </c>
      <c r="T97" t="s">
        <v>74</v>
      </c>
      <c r="U97" t="s">
        <v>2086</v>
      </c>
      <c r="V97" t="s">
        <v>2087</v>
      </c>
      <c r="W97" t="s">
        <v>2088</v>
      </c>
      <c r="X97" t="s">
        <v>2089</v>
      </c>
      <c r="Y97" t="s">
        <v>2090</v>
      </c>
      <c r="Z97" t="s">
        <v>2091</v>
      </c>
      <c r="AA97" t="s">
        <v>2092</v>
      </c>
      <c r="AB97" t="s">
        <v>2093</v>
      </c>
      <c r="AC97" t="s">
        <v>2094</v>
      </c>
      <c r="AD97" t="s">
        <v>2095</v>
      </c>
      <c r="AE97" t="s">
        <v>2096</v>
      </c>
      <c r="AF97" t="s">
        <v>74</v>
      </c>
      <c r="AG97">
        <v>86</v>
      </c>
      <c r="AH97">
        <v>27</v>
      </c>
      <c r="AI97">
        <v>29</v>
      </c>
      <c r="AJ97">
        <v>0</v>
      </c>
      <c r="AK97">
        <v>24</v>
      </c>
      <c r="AL97" t="s">
        <v>244</v>
      </c>
      <c r="AM97" t="s">
        <v>245</v>
      </c>
      <c r="AN97" t="s">
        <v>246</v>
      </c>
      <c r="AO97" t="s">
        <v>609</v>
      </c>
      <c r="AP97" t="s">
        <v>610</v>
      </c>
      <c r="AQ97" t="s">
        <v>74</v>
      </c>
      <c r="AR97" t="s">
        <v>597</v>
      </c>
      <c r="AS97" t="s">
        <v>611</v>
      </c>
      <c r="AT97" t="s">
        <v>74</v>
      </c>
      <c r="AU97">
        <v>2015</v>
      </c>
      <c r="AV97">
        <v>12</v>
      </c>
      <c r="AW97">
        <v>4</v>
      </c>
      <c r="AX97" t="s">
        <v>74</v>
      </c>
      <c r="AY97" t="s">
        <v>74</v>
      </c>
      <c r="AZ97" t="s">
        <v>74</v>
      </c>
      <c r="BA97" t="s">
        <v>74</v>
      </c>
      <c r="BB97">
        <v>1029</v>
      </c>
      <c r="BC97">
        <v>1056</v>
      </c>
      <c r="BD97" t="s">
        <v>74</v>
      </c>
      <c r="BE97" t="s">
        <v>2097</v>
      </c>
      <c r="BF97" t="str">
        <f>HYPERLINK("http://dx.doi.org/10.5194/bg-12-1029-2015","http://dx.doi.org/10.5194/bg-12-1029-2015")</f>
        <v>http://dx.doi.org/10.5194/bg-12-1029-2015</v>
      </c>
      <c r="BG97" t="s">
        <v>74</v>
      </c>
      <c r="BH97" t="s">
        <v>74</v>
      </c>
      <c r="BI97">
        <v>28</v>
      </c>
      <c r="BJ97" t="s">
        <v>613</v>
      </c>
      <c r="BK97" t="s">
        <v>91</v>
      </c>
      <c r="BL97" t="s">
        <v>614</v>
      </c>
      <c r="BM97" t="s">
        <v>2098</v>
      </c>
      <c r="BN97" t="s">
        <v>74</v>
      </c>
      <c r="BO97" t="s">
        <v>2099</v>
      </c>
      <c r="BP97" t="s">
        <v>74</v>
      </c>
      <c r="BQ97" t="s">
        <v>74</v>
      </c>
      <c r="BR97" t="s">
        <v>93</v>
      </c>
      <c r="BS97" t="s">
        <v>2100</v>
      </c>
      <c r="BT97" t="str">
        <f>HYPERLINK("https%3A%2F%2Fwww.webofscience.com%2Fwos%2Fwoscc%2Ffull-record%2FWOS:000349794900009","View Full Record in Web of Science")</f>
        <v>View Full Record in Web of Science</v>
      </c>
    </row>
    <row r="98" spans="1:72" x14ac:dyDescent="0.15">
      <c r="A98" t="s">
        <v>72</v>
      </c>
      <c r="B98" t="s">
        <v>2101</v>
      </c>
      <c r="C98" t="s">
        <v>74</v>
      </c>
      <c r="D98" t="s">
        <v>74</v>
      </c>
      <c r="E98" t="s">
        <v>74</v>
      </c>
      <c r="F98" t="s">
        <v>2102</v>
      </c>
      <c r="G98" t="s">
        <v>74</v>
      </c>
      <c r="H98" t="s">
        <v>74</v>
      </c>
      <c r="I98" t="s">
        <v>2103</v>
      </c>
      <c r="J98" t="s">
        <v>2104</v>
      </c>
      <c r="K98" t="s">
        <v>74</v>
      </c>
      <c r="L98" t="s">
        <v>74</v>
      </c>
      <c r="M98" t="s">
        <v>2105</v>
      </c>
      <c r="N98" t="s">
        <v>99</v>
      </c>
      <c r="O98" t="s">
        <v>74</v>
      </c>
      <c r="P98" t="s">
        <v>74</v>
      </c>
      <c r="Q98" t="s">
        <v>74</v>
      </c>
      <c r="R98" t="s">
        <v>74</v>
      </c>
      <c r="S98" t="s">
        <v>74</v>
      </c>
      <c r="T98" t="s">
        <v>2106</v>
      </c>
      <c r="U98" t="s">
        <v>2107</v>
      </c>
      <c r="V98" t="s">
        <v>2108</v>
      </c>
      <c r="W98" t="s">
        <v>2109</v>
      </c>
      <c r="X98" t="s">
        <v>2110</v>
      </c>
      <c r="Y98" t="s">
        <v>2111</v>
      </c>
      <c r="Z98" t="s">
        <v>2112</v>
      </c>
      <c r="AA98" t="s">
        <v>2113</v>
      </c>
      <c r="AB98" t="s">
        <v>74</v>
      </c>
      <c r="AC98" t="s">
        <v>74</v>
      </c>
      <c r="AD98" t="s">
        <v>74</v>
      </c>
      <c r="AE98" t="s">
        <v>74</v>
      </c>
      <c r="AF98" t="s">
        <v>74</v>
      </c>
      <c r="AG98">
        <v>63</v>
      </c>
      <c r="AH98">
        <v>4</v>
      </c>
      <c r="AI98">
        <v>7</v>
      </c>
      <c r="AJ98">
        <v>0</v>
      </c>
      <c r="AK98">
        <v>7</v>
      </c>
      <c r="AL98" t="s">
        <v>2114</v>
      </c>
      <c r="AM98" t="s">
        <v>2115</v>
      </c>
      <c r="AN98" t="s">
        <v>2116</v>
      </c>
      <c r="AO98" t="s">
        <v>2117</v>
      </c>
      <c r="AP98" t="s">
        <v>74</v>
      </c>
      <c r="AQ98" t="s">
        <v>74</v>
      </c>
      <c r="AR98" t="s">
        <v>2118</v>
      </c>
      <c r="AS98" t="s">
        <v>2119</v>
      </c>
      <c r="AT98" t="s">
        <v>200</v>
      </c>
      <c r="AU98">
        <v>2015</v>
      </c>
      <c r="AV98">
        <v>31</v>
      </c>
      <c r="AW98">
        <v>1</v>
      </c>
      <c r="AX98" t="s">
        <v>74</v>
      </c>
      <c r="AY98" t="s">
        <v>74</v>
      </c>
      <c r="AZ98" t="s">
        <v>74</v>
      </c>
      <c r="BA98" t="s">
        <v>74</v>
      </c>
      <c r="BB98">
        <v>273</v>
      </c>
      <c r="BC98">
        <v>283</v>
      </c>
      <c r="BD98" t="s">
        <v>74</v>
      </c>
      <c r="BE98" t="s">
        <v>74</v>
      </c>
      <c r="BF98" t="s">
        <v>74</v>
      </c>
      <c r="BG98" t="s">
        <v>74</v>
      </c>
      <c r="BH98" t="s">
        <v>74</v>
      </c>
      <c r="BI98">
        <v>11</v>
      </c>
      <c r="BJ98" t="s">
        <v>1954</v>
      </c>
      <c r="BK98" t="s">
        <v>91</v>
      </c>
      <c r="BL98" t="s">
        <v>1954</v>
      </c>
      <c r="BM98" t="s">
        <v>2120</v>
      </c>
      <c r="BN98" t="s">
        <v>74</v>
      </c>
      <c r="BO98" t="s">
        <v>74</v>
      </c>
      <c r="BP98" t="s">
        <v>74</v>
      </c>
      <c r="BQ98" t="s">
        <v>74</v>
      </c>
      <c r="BR98" t="s">
        <v>93</v>
      </c>
      <c r="BS98" t="s">
        <v>2121</v>
      </c>
      <c r="BT98" t="str">
        <f>HYPERLINK("https%3A%2F%2Fwww.webofscience.com%2Fwos%2Fwoscc%2Ffull-record%2FWOS:000349509300020","View Full Record in Web of Science")</f>
        <v>View Full Record in Web of Science</v>
      </c>
    </row>
    <row r="99" spans="1:72" x14ac:dyDescent="0.15">
      <c r="A99" t="s">
        <v>72</v>
      </c>
      <c r="B99" t="s">
        <v>2122</v>
      </c>
      <c r="C99" t="s">
        <v>74</v>
      </c>
      <c r="D99" t="s">
        <v>74</v>
      </c>
      <c r="E99" t="s">
        <v>74</v>
      </c>
      <c r="F99" t="s">
        <v>2123</v>
      </c>
      <c r="G99" t="s">
        <v>74</v>
      </c>
      <c r="H99" t="s">
        <v>74</v>
      </c>
      <c r="I99" t="s">
        <v>2124</v>
      </c>
      <c r="J99" t="s">
        <v>2125</v>
      </c>
      <c r="K99" t="s">
        <v>74</v>
      </c>
      <c r="L99" t="s">
        <v>74</v>
      </c>
      <c r="M99" t="s">
        <v>78</v>
      </c>
      <c r="N99" t="s">
        <v>99</v>
      </c>
      <c r="O99" t="s">
        <v>74</v>
      </c>
      <c r="P99" t="s">
        <v>74</v>
      </c>
      <c r="Q99" t="s">
        <v>74</v>
      </c>
      <c r="R99" t="s">
        <v>74</v>
      </c>
      <c r="S99" t="s">
        <v>74</v>
      </c>
      <c r="T99" t="s">
        <v>74</v>
      </c>
      <c r="U99" t="s">
        <v>2126</v>
      </c>
      <c r="V99" t="s">
        <v>74</v>
      </c>
      <c r="W99" t="s">
        <v>2127</v>
      </c>
      <c r="X99" t="s">
        <v>2128</v>
      </c>
      <c r="Y99" t="s">
        <v>2129</v>
      </c>
      <c r="Z99" t="s">
        <v>2130</v>
      </c>
      <c r="AA99" t="s">
        <v>2131</v>
      </c>
      <c r="AB99" t="s">
        <v>74</v>
      </c>
      <c r="AC99" t="s">
        <v>74</v>
      </c>
      <c r="AD99" t="s">
        <v>74</v>
      </c>
      <c r="AE99" t="s">
        <v>74</v>
      </c>
      <c r="AF99" t="s">
        <v>74</v>
      </c>
      <c r="AG99">
        <v>15</v>
      </c>
      <c r="AH99">
        <v>0</v>
      </c>
      <c r="AI99">
        <v>0</v>
      </c>
      <c r="AJ99">
        <v>0</v>
      </c>
      <c r="AK99">
        <v>3</v>
      </c>
      <c r="AL99" t="s">
        <v>2132</v>
      </c>
      <c r="AM99" t="s">
        <v>342</v>
      </c>
      <c r="AN99" t="s">
        <v>2133</v>
      </c>
      <c r="AO99" t="s">
        <v>2134</v>
      </c>
      <c r="AP99" t="s">
        <v>2135</v>
      </c>
      <c r="AQ99" t="s">
        <v>74</v>
      </c>
      <c r="AR99" t="s">
        <v>2136</v>
      </c>
      <c r="AS99" t="s">
        <v>2137</v>
      </c>
      <c r="AT99" t="s">
        <v>200</v>
      </c>
      <c r="AU99">
        <v>2015</v>
      </c>
      <c r="AV99">
        <v>460</v>
      </c>
      <c r="AW99">
        <v>1</v>
      </c>
      <c r="AX99" t="s">
        <v>74</v>
      </c>
      <c r="AY99" t="s">
        <v>74</v>
      </c>
      <c r="AZ99" t="s">
        <v>74</v>
      </c>
      <c r="BA99" t="s">
        <v>74</v>
      </c>
      <c r="BB99">
        <v>50</v>
      </c>
      <c r="BC99">
        <v>52</v>
      </c>
      <c r="BD99" t="s">
        <v>74</v>
      </c>
      <c r="BE99" t="s">
        <v>2138</v>
      </c>
      <c r="BF99" t="str">
        <f>HYPERLINK("http://dx.doi.org/10.1134/S1028334X15010031","http://dx.doi.org/10.1134/S1028334X15010031")</f>
        <v>http://dx.doi.org/10.1134/S1028334X15010031</v>
      </c>
      <c r="BG99" t="s">
        <v>74</v>
      </c>
      <c r="BH99" t="s">
        <v>74</v>
      </c>
      <c r="BI99">
        <v>3</v>
      </c>
      <c r="BJ99" t="s">
        <v>1953</v>
      </c>
      <c r="BK99" t="s">
        <v>91</v>
      </c>
      <c r="BL99" t="s">
        <v>1954</v>
      </c>
      <c r="BM99" t="s">
        <v>2139</v>
      </c>
      <c r="BN99" t="s">
        <v>74</v>
      </c>
      <c r="BO99" t="s">
        <v>74</v>
      </c>
      <c r="BP99" t="s">
        <v>74</v>
      </c>
      <c r="BQ99" t="s">
        <v>74</v>
      </c>
      <c r="BR99" t="s">
        <v>93</v>
      </c>
      <c r="BS99" t="s">
        <v>2140</v>
      </c>
      <c r="BT99" t="str">
        <f>HYPERLINK("https%3A%2F%2Fwww.webofscience.com%2Fwos%2Fwoscc%2Ffull-record%2FWOS:000349413800011","View Full Record in Web of Science")</f>
        <v>View Full Record in Web of Science</v>
      </c>
    </row>
    <row r="100" spans="1:72" x14ac:dyDescent="0.15">
      <c r="A100" t="s">
        <v>72</v>
      </c>
      <c r="B100" t="s">
        <v>2141</v>
      </c>
      <c r="C100" t="s">
        <v>74</v>
      </c>
      <c r="D100" t="s">
        <v>74</v>
      </c>
      <c r="E100" t="s">
        <v>74</v>
      </c>
      <c r="F100" t="s">
        <v>2142</v>
      </c>
      <c r="G100" t="s">
        <v>74</v>
      </c>
      <c r="H100" t="s">
        <v>74</v>
      </c>
      <c r="I100" t="s">
        <v>2143</v>
      </c>
      <c r="J100" t="s">
        <v>419</v>
      </c>
      <c r="K100" t="s">
        <v>74</v>
      </c>
      <c r="L100" t="s">
        <v>74</v>
      </c>
      <c r="M100" t="s">
        <v>78</v>
      </c>
      <c r="N100" t="s">
        <v>99</v>
      </c>
      <c r="O100" t="s">
        <v>74</v>
      </c>
      <c r="P100" t="s">
        <v>74</v>
      </c>
      <c r="Q100" t="s">
        <v>74</v>
      </c>
      <c r="R100" t="s">
        <v>74</v>
      </c>
      <c r="S100" t="s">
        <v>74</v>
      </c>
      <c r="T100" t="s">
        <v>2144</v>
      </c>
      <c r="U100" t="s">
        <v>2145</v>
      </c>
      <c r="V100" t="s">
        <v>2146</v>
      </c>
      <c r="W100" t="s">
        <v>2147</v>
      </c>
      <c r="X100" t="s">
        <v>383</v>
      </c>
      <c r="Y100" t="s">
        <v>2148</v>
      </c>
      <c r="Z100" t="s">
        <v>2149</v>
      </c>
      <c r="AA100" t="s">
        <v>2150</v>
      </c>
      <c r="AB100" t="s">
        <v>2151</v>
      </c>
      <c r="AC100" t="s">
        <v>74</v>
      </c>
      <c r="AD100" t="s">
        <v>74</v>
      </c>
      <c r="AE100" t="s">
        <v>74</v>
      </c>
      <c r="AF100" t="s">
        <v>74</v>
      </c>
      <c r="AG100">
        <v>46</v>
      </c>
      <c r="AH100">
        <v>24</v>
      </c>
      <c r="AI100">
        <v>27</v>
      </c>
      <c r="AJ100">
        <v>1</v>
      </c>
      <c r="AK100">
        <v>103</v>
      </c>
      <c r="AL100" t="s">
        <v>1061</v>
      </c>
      <c r="AM100" t="s">
        <v>1062</v>
      </c>
      <c r="AN100" t="s">
        <v>1063</v>
      </c>
      <c r="AO100" t="s">
        <v>417</v>
      </c>
      <c r="AP100" t="s">
        <v>418</v>
      </c>
      <c r="AQ100" t="s">
        <v>74</v>
      </c>
      <c r="AR100" t="s">
        <v>419</v>
      </c>
      <c r="AS100" t="s">
        <v>420</v>
      </c>
      <c r="AT100" t="s">
        <v>74</v>
      </c>
      <c r="AU100">
        <v>2015</v>
      </c>
      <c r="AV100">
        <v>115</v>
      </c>
      <c r="AW100">
        <v>1</v>
      </c>
      <c r="AX100" t="s">
        <v>74</v>
      </c>
      <c r="AY100" t="s">
        <v>74</v>
      </c>
      <c r="AZ100" t="s">
        <v>74</v>
      </c>
      <c r="BA100" t="s">
        <v>74</v>
      </c>
      <c r="BB100">
        <v>6</v>
      </c>
      <c r="BC100">
        <v>11</v>
      </c>
      <c r="BD100" t="s">
        <v>74</v>
      </c>
      <c r="BE100" t="s">
        <v>2152</v>
      </c>
      <c r="BF100" t="str">
        <f>HYPERLINK("http://dx.doi.org/10.1071/MU13086","http://dx.doi.org/10.1071/MU13086")</f>
        <v>http://dx.doi.org/10.1071/MU13086</v>
      </c>
      <c r="BG100" t="s">
        <v>74</v>
      </c>
      <c r="BH100" t="s">
        <v>74</v>
      </c>
      <c r="BI100">
        <v>6</v>
      </c>
      <c r="BJ100" t="s">
        <v>422</v>
      </c>
      <c r="BK100" t="s">
        <v>91</v>
      </c>
      <c r="BL100" t="s">
        <v>423</v>
      </c>
      <c r="BM100" t="s">
        <v>2153</v>
      </c>
      <c r="BN100" t="s">
        <v>74</v>
      </c>
      <c r="BO100" t="s">
        <v>74</v>
      </c>
      <c r="BP100" t="s">
        <v>74</v>
      </c>
      <c r="BQ100" t="s">
        <v>74</v>
      </c>
      <c r="BR100" t="s">
        <v>93</v>
      </c>
      <c r="BS100" t="s">
        <v>2154</v>
      </c>
      <c r="BT100" t="str">
        <f>HYPERLINK("https%3A%2F%2Fwww.webofscience.com%2Fwos%2Fwoscc%2Ffull-record%2FWOS:000349618100002","View Full Record in Web of Science")</f>
        <v>View Full Record in Web of Science</v>
      </c>
    </row>
    <row r="101" spans="1:72" x14ac:dyDescent="0.15">
      <c r="A101" t="s">
        <v>72</v>
      </c>
      <c r="B101" t="s">
        <v>2155</v>
      </c>
      <c r="C101" t="s">
        <v>74</v>
      </c>
      <c r="D101" t="s">
        <v>74</v>
      </c>
      <c r="E101" t="s">
        <v>74</v>
      </c>
      <c r="F101" t="s">
        <v>2156</v>
      </c>
      <c r="G101" t="s">
        <v>74</v>
      </c>
      <c r="H101" t="s">
        <v>74</v>
      </c>
      <c r="I101" t="s">
        <v>2157</v>
      </c>
      <c r="J101" t="s">
        <v>2158</v>
      </c>
      <c r="K101" t="s">
        <v>74</v>
      </c>
      <c r="L101" t="s">
        <v>74</v>
      </c>
      <c r="M101" t="s">
        <v>78</v>
      </c>
      <c r="N101" t="s">
        <v>99</v>
      </c>
      <c r="O101" t="s">
        <v>74</v>
      </c>
      <c r="P101" t="s">
        <v>74</v>
      </c>
      <c r="Q101" t="s">
        <v>74</v>
      </c>
      <c r="R101" t="s">
        <v>74</v>
      </c>
      <c r="S101" t="s">
        <v>74</v>
      </c>
      <c r="T101" t="s">
        <v>2159</v>
      </c>
      <c r="U101" t="s">
        <v>2160</v>
      </c>
      <c r="V101" t="s">
        <v>2161</v>
      </c>
      <c r="W101" t="s">
        <v>2162</v>
      </c>
      <c r="X101" t="s">
        <v>2163</v>
      </c>
      <c r="Y101" t="s">
        <v>2164</v>
      </c>
      <c r="Z101" t="s">
        <v>2165</v>
      </c>
      <c r="AA101" t="s">
        <v>74</v>
      </c>
      <c r="AB101" t="s">
        <v>2166</v>
      </c>
      <c r="AC101" t="s">
        <v>2167</v>
      </c>
      <c r="AD101" t="s">
        <v>2168</v>
      </c>
      <c r="AE101" t="s">
        <v>2169</v>
      </c>
      <c r="AF101" t="s">
        <v>74</v>
      </c>
      <c r="AG101">
        <v>31</v>
      </c>
      <c r="AH101">
        <v>8</v>
      </c>
      <c r="AI101">
        <v>9</v>
      </c>
      <c r="AJ101">
        <v>0</v>
      </c>
      <c r="AK101">
        <v>25</v>
      </c>
      <c r="AL101" t="s">
        <v>2170</v>
      </c>
      <c r="AM101" t="s">
        <v>2171</v>
      </c>
      <c r="AN101" t="s">
        <v>2172</v>
      </c>
      <c r="AO101" t="s">
        <v>2173</v>
      </c>
      <c r="AP101" t="s">
        <v>74</v>
      </c>
      <c r="AQ101" t="s">
        <v>74</v>
      </c>
      <c r="AR101" t="s">
        <v>2174</v>
      </c>
      <c r="AS101" t="s">
        <v>2175</v>
      </c>
      <c r="AT101" t="s">
        <v>200</v>
      </c>
      <c r="AU101">
        <v>2015</v>
      </c>
      <c r="AV101">
        <v>14</v>
      </c>
      <c r="AW101">
        <v>1</v>
      </c>
      <c r="AX101" t="s">
        <v>74</v>
      </c>
      <c r="AY101" t="s">
        <v>74</v>
      </c>
      <c r="AZ101" t="s">
        <v>74</v>
      </c>
      <c r="BA101" t="s">
        <v>74</v>
      </c>
      <c r="BB101">
        <v>13</v>
      </c>
      <c r="BC101">
        <v>20</v>
      </c>
      <c r="BD101" t="s">
        <v>74</v>
      </c>
      <c r="BE101" t="s">
        <v>2176</v>
      </c>
      <c r="BF101" t="str">
        <f>HYPERLINK("http://dx.doi.org/10.2326/osj.14.13","http://dx.doi.org/10.2326/osj.14.13")</f>
        <v>http://dx.doi.org/10.2326/osj.14.13</v>
      </c>
      <c r="BG101" t="s">
        <v>74</v>
      </c>
      <c r="BH101" t="s">
        <v>74</v>
      </c>
      <c r="BI101">
        <v>8</v>
      </c>
      <c r="BJ101" t="s">
        <v>422</v>
      </c>
      <c r="BK101" t="s">
        <v>91</v>
      </c>
      <c r="BL101" t="s">
        <v>423</v>
      </c>
      <c r="BM101" t="s">
        <v>2177</v>
      </c>
      <c r="BN101" t="s">
        <v>74</v>
      </c>
      <c r="BO101" t="s">
        <v>74</v>
      </c>
      <c r="BP101" t="s">
        <v>74</v>
      </c>
      <c r="BQ101" t="s">
        <v>74</v>
      </c>
      <c r="BR101" t="s">
        <v>93</v>
      </c>
      <c r="BS101" t="s">
        <v>2178</v>
      </c>
      <c r="BT101" t="str">
        <f>HYPERLINK("https%3A%2F%2Fwww.webofscience.com%2Fwos%2Fwoscc%2Ffull-record%2FWOS:000349459700003","View Full Record in Web of Science")</f>
        <v>View Full Record in Web of Science</v>
      </c>
    </row>
    <row r="102" spans="1:72" x14ac:dyDescent="0.15">
      <c r="A102" t="s">
        <v>72</v>
      </c>
      <c r="B102" t="s">
        <v>2179</v>
      </c>
      <c r="C102" t="s">
        <v>74</v>
      </c>
      <c r="D102" t="s">
        <v>74</v>
      </c>
      <c r="E102" t="s">
        <v>74</v>
      </c>
      <c r="F102" t="s">
        <v>2180</v>
      </c>
      <c r="G102" t="s">
        <v>74</v>
      </c>
      <c r="H102" t="s">
        <v>74</v>
      </c>
      <c r="I102" t="s">
        <v>2181</v>
      </c>
      <c r="J102" t="s">
        <v>2182</v>
      </c>
      <c r="K102" t="s">
        <v>74</v>
      </c>
      <c r="L102" t="s">
        <v>74</v>
      </c>
      <c r="M102" t="s">
        <v>78</v>
      </c>
      <c r="N102" t="s">
        <v>99</v>
      </c>
      <c r="O102" t="s">
        <v>74</v>
      </c>
      <c r="P102" t="s">
        <v>74</v>
      </c>
      <c r="Q102" t="s">
        <v>74</v>
      </c>
      <c r="R102" t="s">
        <v>74</v>
      </c>
      <c r="S102" t="s">
        <v>74</v>
      </c>
      <c r="T102" t="s">
        <v>2183</v>
      </c>
      <c r="U102" t="s">
        <v>74</v>
      </c>
      <c r="V102" t="s">
        <v>2184</v>
      </c>
      <c r="W102" t="s">
        <v>2185</v>
      </c>
      <c r="X102" t="s">
        <v>2186</v>
      </c>
      <c r="Y102" t="s">
        <v>2187</v>
      </c>
      <c r="Z102" t="s">
        <v>2188</v>
      </c>
      <c r="AA102" t="s">
        <v>2189</v>
      </c>
      <c r="AB102" t="s">
        <v>2190</v>
      </c>
      <c r="AC102" t="s">
        <v>2191</v>
      </c>
      <c r="AD102" t="s">
        <v>2191</v>
      </c>
      <c r="AE102" t="s">
        <v>2192</v>
      </c>
      <c r="AF102" t="s">
        <v>74</v>
      </c>
      <c r="AG102">
        <v>25</v>
      </c>
      <c r="AH102">
        <v>3</v>
      </c>
      <c r="AI102">
        <v>3</v>
      </c>
      <c r="AJ102">
        <v>1</v>
      </c>
      <c r="AK102">
        <v>9</v>
      </c>
      <c r="AL102" t="s">
        <v>2193</v>
      </c>
      <c r="AM102" t="s">
        <v>2194</v>
      </c>
      <c r="AN102" t="s">
        <v>2195</v>
      </c>
      <c r="AO102" t="s">
        <v>2196</v>
      </c>
      <c r="AP102" t="s">
        <v>2197</v>
      </c>
      <c r="AQ102" t="s">
        <v>74</v>
      </c>
      <c r="AR102" t="s">
        <v>2198</v>
      </c>
      <c r="AS102" t="s">
        <v>2199</v>
      </c>
      <c r="AT102" t="s">
        <v>200</v>
      </c>
      <c r="AU102">
        <v>2015</v>
      </c>
      <c r="AV102">
        <v>40</v>
      </c>
      <c r="AW102">
        <v>1</v>
      </c>
      <c r="AX102" t="s">
        <v>74</v>
      </c>
      <c r="AY102" t="s">
        <v>74</v>
      </c>
      <c r="AZ102" t="s">
        <v>74</v>
      </c>
      <c r="BA102" t="s">
        <v>74</v>
      </c>
      <c r="BB102">
        <v>46</v>
      </c>
      <c r="BC102">
        <v>59</v>
      </c>
      <c r="BD102" t="s">
        <v>74</v>
      </c>
      <c r="BE102" t="s">
        <v>2200</v>
      </c>
      <c r="BF102" t="str">
        <f>HYPERLINK("http://dx.doi.org/10.3103/S1068373915010070","http://dx.doi.org/10.3103/S1068373915010070")</f>
        <v>http://dx.doi.org/10.3103/S1068373915010070</v>
      </c>
      <c r="BG102" t="s">
        <v>74</v>
      </c>
      <c r="BH102" t="s">
        <v>74</v>
      </c>
      <c r="BI102">
        <v>14</v>
      </c>
      <c r="BJ102" t="s">
        <v>226</v>
      </c>
      <c r="BK102" t="s">
        <v>91</v>
      </c>
      <c r="BL102" t="s">
        <v>226</v>
      </c>
      <c r="BM102" t="s">
        <v>2201</v>
      </c>
      <c r="BN102" t="s">
        <v>74</v>
      </c>
      <c r="BO102" t="s">
        <v>74</v>
      </c>
      <c r="BP102" t="s">
        <v>74</v>
      </c>
      <c r="BQ102" t="s">
        <v>74</v>
      </c>
      <c r="BR102" t="s">
        <v>93</v>
      </c>
      <c r="BS102" t="s">
        <v>2202</v>
      </c>
      <c r="BT102" t="str">
        <f>HYPERLINK("https%3A%2F%2Fwww.webofscience.com%2Fwos%2Fwoscc%2Ffull-record%2FWOS:000349420600007","View Full Record in Web of Science")</f>
        <v>View Full Record in Web of Science</v>
      </c>
    </row>
    <row r="103" spans="1:72" x14ac:dyDescent="0.15">
      <c r="A103" t="s">
        <v>72</v>
      </c>
      <c r="B103" t="s">
        <v>2203</v>
      </c>
      <c r="C103" t="s">
        <v>74</v>
      </c>
      <c r="D103" t="s">
        <v>74</v>
      </c>
      <c r="E103" t="s">
        <v>74</v>
      </c>
      <c r="F103" t="s">
        <v>2204</v>
      </c>
      <c r="G103" t="s">
        <v>74</v>
      </c>
      <c r="H103" t="s">
        <v>74</v>
      </c>
      <c r="I103" t="s">
        <v>2205</v>
      </c>
      <c r="J103" t="s">
        <v>2206</v>
      </c>
      <c r="K103" t="s">
        <v>74</v>
      </c>
      <c r="L103" t="s">
        <v>74</v>
      </c>
      <c r="M103" t="s">
        <v>78</v>
      </c>
      <c r="N103" t="s">
        <v>99</v>
      </c>
      <c r="O103" t="s">
        <v>74</v>
      </c>
      <c r="P103" t="s">
        <v>74</v>
      </c>
      <c r="Q103" t="s">
        <v>74</v>
      </c>
      <c r="R103" t="s">
        <v>74</v>
      </c>
      <c r="S103" t="s">
        <v>74</v>
      </c>
      <c r="T103" t="s">
        <v>2207</v>
      </c>
      <c r="U103" t="s">
        <v>2208</v>
      </c>
      <c r="V103" t="s">
        <v>2209</v>
      </c>
      <c r="W103" t="s">
        <v>2210</v>
      </c>
      <c r="X103" t="s">
        <v>2211</v>
      </c>
      <c r="Y103" t="s">
        <v>2212</v>
      </c>
      <c r="Z103" t="s">
        <v>2213</v>
      </c>
      <c r="AA103" t="s">
        <v>2214</v>
      </c>
      <c r="AB103" t="s">
        <v>2215</v>
      </c>
      <c r="AC103" t="s">
        <v>2216</v>
      </c>
      <c r="AD103" t="s">
        <v>2217</v>
      </c>
      <c r="AE103" t="s">
        <v>2218</v>
      </c>
      <c r="AF103" t="s">
        <v>74</v>
      </c>
      <c r="AG103">
        <v>58</v>
      </c>
      <c r="AH103">
        <v>6</v>
      </c>
      <c r="AI103">
        <v>6</v>
      </c>
      <c r="AJ103">
        <v>0</v>
      </c>
      <c r="AK103">
        <v>37</v>
      </c>
      <c r="AL103" t="s">
        <v>82</v>
      </c>
      <c r="AM103" t="s">
        <v>83</v>
      </c>
      <c r="AN103" t="s">
        <v>150</v>
      </c>
      <c r="AO103" t="s">
        <v>74</v>
      </c>
      <c r="AP103" t="s">
        <v>2219</v>
      </c>
      <c r="AQ103" t="s">
        <v>74</v>
      </c>
      <c r="AR103" t="s">
        <v>2220</v>
      </c>
      <c r="AS103" t="s">
        <v>2221</v>
      </c>
      <c r="AT103" t="s">
        <v>74</v>
      </c>
      <c r="AU103">
        <v>2015</v>
      </c>
      <c r="AV103">
        <v>67</v>
      </c>
      <c r="AW103" t="s">
        <v>74</v>
      </c>
      <c r="AX103" t="s">
        <v>74</v>
      </c>
      <c r="AY103" t="s">
        <v>74</v>
      </c>
      <c r="AZ103" t="s">
        <v>74</v>
      </c>
      <c r="BA103" t="s">
        <v>74</v>
      </c>
      <c r="BB103" t="s">
        <v>74</v>
      </c>
      <c r="BC103" t="s">
        <v>74</v>
      </c>
      <c r="BD103">
        <v>24617</v>
      </c>
      <c r="BE103" t="s">
        <v>2222</v>
      </c>
      <c r="BF103" t="str">
        <f>HYPERLINK("http://dx.doi.org/10.3402/tellusa.v67.24617","http://dx.doi.org/10.3402/tellusa.v67.24617")</f>
        <v>http://dx.doi.org/10.3402/tellusa.v67.24617</v>
      </c>
      <c r="BG103" t="s">
        <v>74</v>
      </c>
      <c r="BH103" t="s">
        <v>74</v>
      </c>
      <c r="BI103">
        <v>24</v>
      </c>
      <c r="BJ103" t="s">
        <v>1537</v>
      </c>
      <c r="BK103" t="s">
        <v>91</v>
      </c>
      <c r="BL103" t="s">
        <v>1537</v>
      </c>
      <c r="BM103" t="s">
        <v>2223</v>
      </c>
      <c r="BN103" t="s">
        <v>74</v>
      </c>
      <c r="BO103" t="s">
        <v>1393</v>
      </c>
      <c r="BP103" t="s">
        <v>74</v>
      </c>
      <c r="BQ103" t="s">
        <v>74</v>
      </c>
      <c r="BR103" t="s">
        <v>93</v>
      </c>
      <c r="BS103" t="s">
        <v>2224</v>
      </c>
      <c r="BT103" t="str">
        <f>HYPERLINK("https%3A%2F%2Fwww.webofscience.com%2Fwos%2Fwoscc%2Ffull-record%2FWOS:000349409600001","View Full Record in Web of Science")</f>
        <v>View Full Record in Web of Science</v>
      </c>
    </row>
    <row r="104" spans="1:72" x14ac:dyDescent="0.15">
      <c r="A104" t="s">
        <v>72</v>
      </c>
      <c r="B104" t="s">
        <v>2225</v>
      </c>
      <c r="C104" t="s">
        <v>74</v>
      </c>
      <c r="D104" t="s">
        <v>74</v>
      </c>
      <c r="E104" t="s">
        <v>74</v>
      </c>
      <c r="F104" t="s">
        <v>2226</v>
      </c>
      <c r="G104" t="s">
        <v>74</v>
      </c>
      <c r="H104" t="s">
        <v>74</v>
      </c>
      <c r="I104" t="s">
        <v>2227</v>
      </c>
      <c r="J104" t="s">
        <v>597</v>
      </c>
      <c r="K104" t="s">
        <v>74</v>
      </c>
      <c r="L104" t="s">
        <v>74</v>
      </c>
      <c r="M104" t="s">
        <v>78</v>
      </c>
      <c r="N104" t="s">
        <v>99</v>
      </c>
      <c r="O104" t="s">
        <v>74</v>
      </c>
      <c r="P104" t="s">
        <v>74</v>
      </c>
      <c r="Q104" t="s">
        <v>74</v>
      </c>
      <c r="R104" t="s">
        <v>74</v>
      </c>
      <c r="S104" t="s">
        <v>74</v>
      </c>
      <c r="T104" t="s">
        <v>74</v>
      </c>
      <c r="U104" t="s">
        <v>74</v>
      </c>
      <c r="V104" t="s">
        <v>2228</v>
      </c>
      <c r="W104" t="s">
        <v>2229</v>
      </c>
      <c r="X104" t="s">
        <v>2230</v>
      </c>
      <c r="Y104" t="s">
        <v>2231</v>
      </c>
      <c r="Z104" t="s">
        <v>2232</v>
      </c>
      <c r="AA104" t="s">
        <v>2233</v>
      </c>
      <c r="AB104" t="s">
        <v>74</v>
      </c>
      <c r="AC104" t="s">
        <v>2234</v>
      </c>
      <c r="AD104" t="s">
        <v>2235</v>
      </c>
      <c r="AE104" t="s">
        <v>2236</v>
      </c>
      <c r="AF104" t="s">
        <v>74</v>
      </c>
      <c r="AG104">
        <v>31</v>
      </c>
      <c r="AH104">
        <v>20</v>
      </c>
      <c r="AI104">
        <v>22</v>
      </c>
      <c r="AJ104">
        <v>0</v>
      </c>
      <c r="AK104">
        <v>16</v>
      </c>
      <c r="AL104" t="s">
        <v>244</v>
      </c>
      <c r="AM104" t="s">
        <v>245</v>
      </c>
      <c r="AN104" t="s">
        <v>246</v>
      </c>
      <c r="AO104" t="s">
        <v>609</v>
      </c>
      <c r="AP104" t="s">
        <v>610</v>
      </c>
      <c r="AQ104" t="s">
        <v>74</v>
      </c>
      <c r="AR104" t="s">
        <v>597</v>
      </c>
      <c r="AS104" t="s">
        <v>611</v>
      </c>
      <c r="AT104" t="s">
        <v>74</v>
      </c>
      <c r="AU104">
        <v>2015</v>
      </c>
      <c r="AV104">
        <v>12</v>
      </c>
      <c r="AW104">
        <v>2</v>
      </c>
      <c r="AX104" t="s">
        <v>74</v>
      </c>
      <c r="AY104" t="s">
        <v>74</v>
      </c>
      <c r="AZ104" t="s">
        <v>74</v>
      </c>
      <c r="BA104" t="s">
        <v>74</v>
      </c>
      <c r="BB104">
        <v>579</v>
      </c>
      <c r="BC104">
        <v>593</v>
      </c>
      <c r="BD104" t="s">
        <v>74</v>
      </c>
      <c r="BE104" t="s">
        <v>2237</v>
      </c>
      <c r="BF104" t="str">
        <f>HYPERLINK("http://dx.doi.org/10.5194/bg-12-579-2015","http://dx.doi.org/10.5194/bg-12-579-2015")</f>
        <v>http://dx.doi.org/10.5194/bg-12-579-2015</v>
      </c>
      <c r="BG104" t="s">
        <v>74</v>
      </c>
      <c r="BH104" t="s">
        <v>74</v>
      </c>
      <c r="BI104">
        <v>15</v>
      </c>
      <c r="BJ104" t="s">
        <v>613</v>
      </c>
      <c r="BK104" t="s">
        <v>91</v>
      </c>
      <c r="BL104" t="s">
        <v>614</v>
      </c>
      <c r="BM104" t="s">
        <v>2238</v>
      </c>
      <c r="BN104" t="s">
        <v>74</v>
      </c>
      <c r="BO104" t="s">
        <v>255</v>
      </c>
      <c r="BP104" t="s">
        <v>74</v>
      </c>
      <c r="BQ104" t="s">
        <v>74</v>
      </c>
      <c r="BR104" t="s">
        <v>93</v>
      </c>
      <c r="BS104" t="s">
        <v>2239</v>
      </c>
      <c r="BT104" t="str">
        <f>HYPERLINK("https%3A%2F%2Fwww.webofscience.com%2Fwos%2Fwoscc%2Ffull-record%2FWOS:000348982200021","View Full Record in Web of Science")</f>
        <v>View Full Record in Web of Science</v>
      </c>
    </row>
    <row r="105" spans="1:72" x14ac:dyDescent="0.15">
      <c r="A105" t="s">
        <v>72</v>
      </c>
      <c r="B105" t="s">
        <v>2240</v>
      </c>
      <c r="C105" t="s">
        <v>74</v>
      </c>
      <c r="D105" t="s">
        <v>74</v>
      </c>
      <c r="E105" t="s">
        <v>74</v>
      </c>
      <c r="F105" t="s">
        <v>2241</v>
      </c>
      <c r="G105" t="s">
        <v>74</v>
      </c>
      <c r="H105" t="s">
        <v>74</v>
      </c>
      <c r="I105" t="s">
        <v>2242</v>
      </c>
      <c r="J105" t="s">
        <v>702</v>
      </c>
      <c r="K105" t="s">
        <v>74</v>
      </c>
      <c r="L105" t="s">
        <v>74</v>
      </c>
      <c r="M105" t="s">
        <v>78</v>
      </c>
      <c r="N105" t="s">
        <v>99</v>
      </c>
      <c r="O105" t="s">
        <v>74</v>
      </c>
      <c r="P105" t="s">
        <v>74</v>
      </c>
      <c r="Q105" t="s">
        <v>74</v>
      </c>
      <c r="R105" t="s">
        <v>74</v>
      </c>
      <c r="S105" t="s">
        <v>74</v>
      </c>
      <c r="T105" t="s">
        <v>74</v>
      </c>
      <c r="U105" t="s">
        <v>2243</v>
      </c>
      <c r="V105" t="s">
        <v>2244</v>
      </c>
      <c r="W105" t="s">
        <v>2245</v>
      </c>
      <c r="X105" t="s">
        <v>2246</v>
      </c>
      <c r="Y105" t="s">
        <v>2247</v>
      </c>
      <c r="Z105" t="s">
        <v>2248</v>
      </c>
      <c r="AA105" t="s">
        <v>2249</v>
      </c>
      <c r="AB105" t="s">
        <v>2250</v>
      </c>
      <c r="AC105" t="s">
        <v>74</v>
      </c>
      <c r="AD105" t="s">
        <v>74</v>
      </c>
      <c r="AE105" t="s">
        <v>74</v>
      </c>
      <c r="AF105" t="s">
        <v>74</v>
      </c>
      <c r="AG105">
        <v>45</v>
      </c>
      <c r="AH105">
        <v>42</v>
      </c>
      <c r="AI105">
        <v>43</v>
      </c>
      <c r="AJ105">
        <v>0</v>
      </c>
      <c r="AK105">
        <v>33</v>
      </c>
      <c r="AL105" t="s">
        <v>244</v>
      </c>
      <c r="AM105" t="s">
        <v>245</v>
      </c>
      <c r="AN105" t="s">
        <v>246</v>
      </c>
      <c r="AO105" t="s">
        <v>714</v>
      </c>
      <c r="AP105" t="s">
        <v>715</v>
      </c>
      <c r="AQ105" t="s">
        <v>74</v>
      </c>
      <c r="AR105" t="s">
        <v>716</v>
      </c>
      <c r="AS105" t="s">
        <v>717</v>
      </c>
      <c r="AT105" t="s">
        <v>74</v>
      </c>
      <c r="AU105">
        <v>2015</v>
      </c>
      <c r="AV105">
        <v>11</v>
      </c>
      <c r="AW105">
        <v>1</v>
      </c>
      <c r="AX105" t="s">
        <v>74</v>
      </c>
      <c r="AY105" t="s">
        <v>74</v>
      </c>
      <c r="AZ105" t="s">
        <v>74</v>
      </c>
      <c r="BA105" t="s">
        <v>74</v>
      </c>
      <c r="BB105">
        <v>105</v>
      </c>
      <c r="BC105">
        <v>114</v>
      </c>
      <c r="BD105" t="s">
        <v>74</v>
      </c>
      <c r="BE105" t="s">
        <v>2251</v>
      </c>
      <c r="BF105" t="str">
        <f>HYPERLINK("http://dx.doi.org/10.5194/cp-11-105-2015","http://dx.doi.org/10.5194/cp-11-105-2015")</f>
        <v>http://dx.doi.org/10.5194/cp-11-105-2015</v>
      </c>
      <c r="BG105" t="s">
        <v>74</v>
      </c>
      <c r="BH105" t="s">
        <v>74</v>
      </c>
      <c r="BI105">
        <v>10</v>
      </c>
      <c r="BJ105" t="s">
        <v>637</v>
      </c>
      <c r="BK105" t="s">
        <v>91</v>
      </c>
      <c r="BL105" t="s">
        <v>638</v>
      </c>
      <c r="BM105" t="s">
        <v>2252</v>
      </c>
      <c r="BN105" t="s">
        <v>74</v>
      </c>
      <c r="BO105" t="s">
        <v>255</v>
      </c>
      <c r="BP105" t="s">
        <v>74</v>
      </c>
      <c r="BQ105" t="s">
        <v>74</v>
      </c>
      <c r="BR105" t="s">
        <v>93</v>
      </c>
      <c r="BS105" t="s">
        <v>2253</v>
      </c>
      <c r="BT105" t="str">
        <f>HYPERLINK("https%3A%2F%2Fwww.webofscience.com%2Fwos%2Fwoscc%2Ffull-record%2FWOS:000348928700008","View Full Record in Web of Science")</f>
        <v>View Full Record in Web of Science</v>
      </c>
    </row>
    <row r="106" spans="1:72" x14ac:dyDescent="0.15">
      <c r="A106" t="s">
        <v>72</v>
      </c>
      <c r="B106" t="s">
        <v>2254</v>
      </c>
      <c r="C106" t="s">
        <v>74</v>
      </c>
      <c r="D106" t="s">
        <v>74</v>
      </c>
      <c r="E106" t="s">
        <v>74</v>
      </c>
      <c r="F106" t="s">
        <v>2255</v>
      </c>
      <c r="G106" t="s">
        <v>74</v>
      </c>
      <c r="H106" t="s">
        <v>74</v>
      </c>
      <c r="I106" t="s">
        <v>2256</v>
      </c>
      <c r="J106" t="s">
        <v>2257</v>
      </c>
      <c r="K106" t="s">
        <v>74</v>
      </c>
      <c r="L106" t="s">
        <v>74</v>
      </c>
      <c r="M106" t="s">
        <v>78</v>
      </c>
      <c r="N106" t="s">
        <v>99</v>
      </c>
      <c r="O106" t="s">
        <v>74</v>
      </c>
      <c r="P106" t="s">
        <v>74</v>
      </c>
      <c r="Q106" t="s">
        <v>74</v>
      </c>
      <c r="R106" t="s">
        <v>74</v>
      </c>
      <c r="S106" t="s">
        <v>74</v>
      </c>
      <c r="T106" t="s">
        <v>2258</v>
      </c>
      <c r="U106" t="s">
        <v>2259</v>
      </c>
      <c r="V106" t="s">
        <v>2260</v>
      </c>
      <c r="W106" t="s">
        <v>2261</v>
      </c>
      <c r="X106" t="s">
        <v>2262</v>
      </c>
      <c r="Y106" t="s">
        <v>2263</v>
      </c>
      <c r="Z106" t="s">
        <v>2264</v>
      </c>
      <c r="AA106" t="s">
        <v>2265</v>
      </c>
      <c r="AB106" t="s">
        <v>2266</v>
      </c>
      <c r="AC106" t="s">
        <v>2267</v>
      </c>
      <c r="AD106" t="s">
        <v>2267</v>
      </c>
      <c r="AE106" t="s">
        <v>2268</v>
      </c>
      <c r="AF106" t="s">
        <v>74</v>
      </c>
      <c r="AG106">
        <v>70</v>
      </c>
      <c r="AH106">
        <v>35</v>
      </c>
      <c r="AI106">
        <v>41</v>
      </c>
      <c r="AJ106">
        <v>3</v>
      </c>
      <c r="AK106">
        <v>72</v>
      </c>
      <c r="AL106" t="s">
        <v>2006</v>
      </c>
      <c r="AM106" t="s">
        <v>2007</v>
      </c>
      <c r="AN106" t="s">
        <v>2008</v>
      </c>
      <c r="AO106" t="s">
        <v>2269</v>
      </c>
      <c r="AP106" t="s">
        <v>74</v>
      </c>
      <c r="AQ106" t="s">
        <v>74</v>
      </c>
      <c r="AR106" t="s">
        <v>2270</v>
      </c>
      <c r="AS106" t="s">
        <v>2271</v>
      </c>
      <c r="AT106" t="s">
        <v>200</v>
      </c>
      <c r="AU106">
        <v>2015</v>
      </c>
      <c r="AV106">
        <v>5</v>
      </c>
      <c r="AW106">
        <v>2</v>
      </c>
      <c r="AX106" t="s">
        <v>74</v>
      </c>
      <c r="AY106" t="s">
        <v>74</v>
      </c>
      <c r="AZ106" t="s">
        <v>74</v>
      </c>
      <c r="BA106" t="s">
        <v>74</v>
      </c>
      <c r="BB106">
        <v>314</v>
      </c>
      <c r="BC106">
        <v>325</v>
      </c>
      <c r="BD106" t="s">
        <v>74</v>
      </c>
      <c r="BE106" t="s">
        <v>2272</v>
      </c>
      <c r="BF106" t="str">
        <f>HYPERLINK("http://dx.doi.org/10.1002/ece3.1357","http://dx.doi.org/10.1002/ece3.1357")</f>
        <v>http://dx.doi.org/10.1002/ece3.1357</v>
      </c>
      <c r="BG106" t="s">
        <v>74</v>
      </c>
      <c r="BH106" t="s">
        <v>74</v>
      </c>
      <c r="BI106">
        <v>12</v>
      </c>
      <c r="BJ106" t="s">
        <v>2273</v>
      </c>
      <c r="BK106" t="s">
        <v>91</v>
      </c>
      <c r="BL106" t="s">
        <v>2274</v>
      </c>
      <c r="BM106" t="s">
        <v>2275</v>
      </c>
      <c r="BN106">
        <v>25691959</v>
      </c>
      <c r="BO106" t="s">
        <v>1971</v>
      </c>
      <c r="BP106" t="s">
        <v>74</v>
      </c>
      <c r="BQ106" t="s">
        <v>74</v>
      </c>
      <c r="BR106" t="s">
        <v>93</v>
      </c>
      <c r="BS106" t="s">
        <v>2276</v>
      </c>
      <c r="BT106" t="str">
        <f>HYPERLINK("https%3A%2F%2Fwww.webofscience.com%2Fwos%2Fwoscc%2Ffull-record%2FWOS:000348853300007","View Full Record in Web of Science")</f>
        <v>View Full Record in Web of Science</v>
      </c>
    </row>
    <row r="107" spans="1:72" x14ac:dyDescent="0.15">
      <c r="A107" t="s">
        <v>72</v>
      </c>
      <c r="B107" t="s">
        <v>2277</v>
      </c>
      <c r="C107" t="s">
        <v>74</v>
      </c>
      <c r="D107" t="s">
        <v>74</v>
      </c>
      <c r="E107" t="s">
        <v>74</v>
      </c>
      <c r="F107" t="s">
        <v>2278</v>
      </c>
      <c r="G107" t="s">
        <v>74</v>
      </c>
      <c r="H107" t="s">
        <v>74</v>
      </c>
      <c r="I107" t="s">
        <v>2279</v>
      </c>
      <c r="J107" t="s">
        <v>2280</v>
      </c>
      <c r="K107" t="s">
        <v>74</v>
      </c>
      <c r="L107" t="s">
        <v>74</v>
      </c>
      <c r="M107" t="s">
        <v>78</v>
      </c>
      <c r="N107" t="s">
        <v>99</v>
      </c>
      <c r="O107" t="s">
        <v>74</v>
      </c>
      <c r="P107" t="s">
        <v>74</v>
      </c>
      <c r="Q107" t="s">
        <v>74</v>
      </c>
      <c r="R107" t="s">
        <v>74</v>
      </c>
      <c r="S107" t="s">
        <v>74</v>
      </c>
      <c r="T107" t="s">
        <v>74</v>
      </c>
      <c r="U107" t="s">
        <v>2281</v>
      </c>
      <c r="V107" t="s">
        <v>2282</v>
      </c>
      <c r="W107" t="s">
        <v>2283</v>
      </c>
      <c r="X107" t="s">
        <v>74</v>
      </c>
      <c r="Y107" t="s">
        <v>2284</v>
      </c>
      <c r="Z107" t="s">
        <v>2285</v>
      </c>
      <c r="AA107" t="s">
        <v>2286</v>
      </c>
      <c r="AB107" t="s">
        <v>2287</v>
      </c>
      <c r="AC107" t="s">
        <v>2288</v>
      </c>
      <c r="AD107" t="s">
        <v>2289</v>
      </c>
      <c r="AE107" t="s">
        <v>2290</v>
      </c>
      <c r="AF107" t="s">
        <v>74</v>
      </c>
      <c r="AG107">
        <v>42</v>
      </c>
      <c r="AH107">
        <v>14</v>
      </c>
      <c r="AI107">
        <v>14</v>
      </c>
      <c r="AJ107">
        <v>0</v>
      </c>
      <c r="AK107">
        <v>11</v>
      </c>
      <c r="AL107" t="s">
        <v>2132</v>
      </c>
      <c r="AM107" t="s">
        <v>342</v>
      </c>
      <c r="AN107" t="s">
        <v>2133</v>
      </c>
      <c r="AO107" t="s">
        <v>2291</v>
      </c>
      <c r="AP107" t="s">
        <v>2292</v>
      </c>
      <c r="AQ107" t="s">
        <v>74</v>
      </c>
      <c r="AR107" t="s">
        <v>2293</v>
      </c>
      <c r="AS107" t="s">
        <v>2294</v>
      </c>
      <c r="AT107" t="s">
        <v>200</v>
      </c>
      <c r="AU107">
        <v>2015</v>
      </c>
      <c r="AV107">
        <v>55</v>
      </c>
      <c r="AW107">
        <v>1</v>
      </c>
      <c r="AX107" t="s">
        <v>74</v>
      </c>
      <c r="AY107" t="s">
        <v>74</v>
      </c>
      <c r="AZ107" t="s">
        <v>74</v>
      </c>
      <c r="BA107" t="s">
        <v>74</v>
      </c>
      <c r="BB107">
        <v>59</v>
      </c>
      <c r="BC107">
        <v>88</v>
      </c>
      <c r="BD107" t="s">
        <v>74</v>
      </c>
      <c r="BE107" t="s">
        <v>2295</v>
      </c>
      <c r="BF107" t="str">
        <f>HYPERLINK("http://dx.doi.org/10.1134/S0016793215010077","http://dx.doi.org/10.1134/S0016793215010077")</f>
        <v>http://dx.doi.org/10.1134/S0016793215010077</v>
      </c>
      <c r="BG107" t="s">
        <v>74</v>
      </c>
      <c r="BH107" t="s">
        <v>74</v>
      </c>
      <c r="BI107">
        <v>30</v>
      </c>
      <c r="BJ107" t="s">
        <v>1902</v>
      </c>
      <c r="BK107" t="s">
        <v>91</v>
      </c>
      <c r="BL107" t="s">
        <v>1902</v>
      </c>
      <c r="BM107" t="s">
        <v>2296</v>
      </c>
      <c r="BN107" t="s">
        <v>74</v>
      </c>
      <c r="BO107" t="s">
        <v>74</v>
      </c>
      <c r="BP107" t="s">
        <v>74</v>
      </c>
      <c r="BQ107" t="s">
        <v>74</v>
      </c>
      <c r="BR107" t="s">
        <v>93</v>
      </c>
      <c r="BS107" t="s">
        <v>2297</v>
      </c>
      <c r="BT107" t="str">
        <f>HYPERLINK("https%3A%2F%2Fwww.webofscience.com%2Fwos%2Fwoscc%2Ffull-record%2FWOS:000349003000007","View Full Record in Web of Science")</f>
        <v>View Full Record in Web of Science</v>
      </c>
    </row>
    <row r="108" spans="1:72" x14ac:dyDescent="0.15">
      <c r="A108" t="s">
        <v>72</v>
      </c>
      <c r="B108" t="s">
        <v>2298</v>
      </c>
      <c r="C108" t="s">
        <v>74</v>
      </c>
      <c r="D108" t="s">
        <v>74</v>
      </c>
      <c r="E108" t="s">
        <v>74</v>
      </c>
      <c r="F108" t="s">
        <v>2299</v>
      </c>
      <c r="G108" t="s">
        <v>74</v>
      </c>
      <c r="H108" t="s">
        <v>74</v>
      </c>
      <c r="I108" t="s">
        <v>2300</v>
      </c>
      <c r="J108" t="s">
        <v>2301</v>
      </c>
      <c r="K108" t="s">
        <v>74</v>
      </c>
      <c r="L108" t="s">
        <v>74</v>
      </c>
      <c r="M108" t="s">
        <v>78</v>
      </c>
      <c r="N108" t="s">
        <v>99</v>
      </c>
      <c r="O108" t="s">
        <v>74</v>
      </c>
      <c r="P108" t="s">
        <v>74</v>
      </c>
      <c r="Q108" t="s">
        <v>74</v>
      </c>
      <c r="R108" t="s">
        <v>74</v>
      </c>
      <c r="S108" t="s">
        <v>74</v>
      </c>
      <c r="T108" t="s">
        <v>2302</v>
      </c>
      <c r="U108" t="s">
        <v>2303</v>
      </c>
      <c r="V108" t="s">
        <v>2304</v>
      </c>
      <c r="W108" t="s">
        <v>2305</v>
      </c>
      <c r="X108" t="s">
        <v>2306</v>
      </c>
      <c r="Y108" t="s">
        <v>2307</v>
      </c>
      <c r="Z108" t="s">
        <v>2308</v>
      </c>
      <c r="AA108" t="s">
        <v>2309</v>
      </c>
      <c r="AB108" t="s">
        <v>2310</v>
      </c>
      <c r="AC108" t="s">
        <v>2311</v>
      </c>
      <c r="AD108" t="s">
        <v>2312</v>
      </c>
      <c r="AE108" t="s">
        <v>2313</v>
      </c>
      <c r="AF108" t="s">
        <v>74</v>
      </c>
      <c r="AG108">
        <v>48</v>
      </c>
      <c r="AH108">
        <v>18</v>
      </c>
      <c r="AI108">
        <v>19</v>
      </c>
      <c r="AJ108">
        <v>1</v>
      </c>
      <c r="AK108">
        <v>37</v>
      </c>
      <c r="AL108" t="s">
        <v>365</v>
      </c>
      <c r="AM108" t="s">
        <v>342</v>
      </c>
      <c r="AN108" t="s">
        <v>2314</v>
      </c>
      <c r="AO108" t="s">
        <v>2315</v>
      </c>
      <c r="AP108" t="s">
        <v>2316</v>
      </c>
      <c r="AQ108" t="s">
        <v>74</v>
      </c>
      <c r="AR108" t="s">
        <v>2317</v>
      </c>
      <c r="AS108" t="s">
        <v>2318</v>
      </c>
      <c r="AT108" t="s">
        <v>200</v>
      </c>
      <c r="AU108">
        <v>2015</v>
      </c>
      <c r="AV108">
        <v>14</v>
      </c>
      <c r="AW108">
        <v>1</v>
      </c>
      <c r="AX108" t="s">
        <v>74</v>
      </c>
      <c r="AY108" t="s">
        <v>74</v>
      </c>
      <c r="AZ108" t="s">
        <v>1437</v>
      </c>
      <c r="BA108" t="s">
        <v>74</v>
      </c>
      <c r="BB108">
        <v>89</v>
      </c>
      <c r="BC108">
        <v>97</v>
      </c>
      <c r="BD108" t="s">
        <v>74</v>
      </c>
      <c r="BE108" t="s">
        <v>2319</v>
      </c>
      <c r="BF108" t="str">
        <f>HYPERLINK("http://dx.doi.org/10.1017/S1473550414000354","http://dx.doi.org/10.1017/S1473550414000354")</f>
        <v>http://dx.doi.org/10.1017/S1473550414000354</v>
      </c>
      <c r="BG108" t="s">
        <v>74</v>
      </c>
      <c r="BH108" t="s">
        <v>74</v>
      </c>
      <c r="BI108">
        <v>9</v>
      </c>
      <c r="BJ108" t="s">
        <v>2320</v>
      </c>
      <c r="BK108" t="s">
        <v>91</v>
      </c>
      <c r="BL108" t="s">
        <v>2321</v>
      </c>
      <c r="BM108" t="s">
        <v>2322</v>
      </c>
      <c r="BN108" t="s">
        <v>74</v>
      </c>
      <c r="BO108" t="s">
        <v>74</v>
      </c>
      <c r="BP108" t="s">
        <v>74</v>
      </c>
      <c r="BQ108" t="s">
        <v>74</v>
      </c>
      <c r="BR108" t="s">
        <v>93</v>
      </c>
      <c r="BS108" t="s">
        <v>2323</v>
      </c>
      <c r="BT108" t="str">
        <f>HYPERLINK("https%3A%2F%2Fwww.webofscience.com%2Fwos%2Fwoscc%2Ffull-record%2FWOS:000348641500010","View Full Record in Web of Science")</f>
        <v>View Full Record in Web of Science</v>
      </c>
    </row>
    <row r="109" spans="1:72" x14ac:dyDescent="0.15">
      <c r="A109" t="s">
        <v>72</v>
      </c>
      <c r="B109" t="s">
        <v>2324</v>
      </c>
      <c r="C109" t="s">
        <v>74</v>
      </c>
      <c r="D109" t="s">
        <v>74</v>
      </c>
      <c r="E109" t="s">
        <v>74</v>
      </c>
      <c r="F109" t="s">
        <v>2325</v>
      </c>
      <c r="G109" t="s">
        <v>74</v>
      </c>
      <c r="H109" t="s">
        <v>74</v>
      </c>
      <c r="I109" t="s">
        <v>2326</v>
      </c>
      <c r="J109" t="s">
        <v>2327</v>
      </c>
      <c r="K109" t="s">
        <v>74</v>
      </c>
      <c r="L109" t="s">
        <v>74</v>
      </c>
      <c r="M109" t="s">
        <v>78</v>
      </c>
      <c r="N109" t="s">
        <v>99</v>
      </c>
      <c r="O109" t="s">
        <v>74</v>
      </c>
      <c r="P109" t="s">
        <v>74</v>
      </c>
      <c r="Q109" t="s">
        <v>74</v>
      </c>
      <c r="R109" t="s">
        <v>74</v>
      </c>
      <c r="S109" t="s">
        <v>74</v>
      </c>
      <c r="T109" t="s">
        <v>2328</v>
      </c>
      <c r="U109" t="s">
        <v>74</v>
      </c>
      <c r="V109" t="s">
        <v>2329</v>
      </c>
      <c r="W109" t="s">
        <v>2330</v>
      </c>
      <c r="X109" t="s">
        <v>2331</v>
      </c>
      <c r="Y109" t="s">
        <v>2332</v>
      </c>
      <c r="Z109" t="s">
        <v>2333</v>
      </c>
      <c r="AA109" t="s">
        <v>2334</v>
      </c>
      <c r="AB109" t="s">
        <v>2335</v>
      </c>
      <c r="AC109" t="s">
        <v>2336</v>
      </c>
      <c r="AD109" t="s">
        <v>2337</v>
      </c>
      <c r="AE109" t="s">
        <v>2338</v>
      </c>
      <c r="AF109" t="s">
        <v>74</v>
      </c>
      <c r="AG109">
        <v>22</v>
      </c>
      <c r="AH109">
        <v>2</v>
      </c>
      <c r="AI109">
        <v>4</v>
      </c>
      <c r="AJ109">
        <v>1</v>
      </c>
      <c r="AK109">
        <v>3</v>
      </c>
      <c r="AL109" t="s">
        <v>1895</v>
      </c>
      <c r="AM109" t="s">
        <v>1411</v>
      </c>
      <c r="AN109" t="s">
        <v>1896</v>
      </c>
      <c r="AO109" t="s">
        <v>2339</v>
      </c>
      <c r="AP109" t="s">
        <v>2340</v>
      </c>
      <c r="AQ109" t="s">
        <v>74</v>
      </c>
      <c r="AR109" t="s">
        <v>2341</v>
      </c>
      <c r="AS109" t="s">
        <v>2342</v>
      </c>
      <c r="AT109" t="s">
        <v>200</v>
      </c>
      <c r="AU109">
        <v>2015</v>
      </c>
      <c r="AV109">
        <v>35</v>
      </c>
      <c r="AW109">
        <v>1</v>
      </c>
      <c r="AX109" t="s">
        <v>74</v>
      </c>
      <c r="AY109" t="s">
        <v>74</v>
      </c>
      <c r="AZ109" t="s">
        <v>74</v>
      </c>
      <c r="BA109" t="s">
        <v>74</v>
      </c>
      <c r="BB109">
        <v>97</v>
      </c>
      <c r="BC109">
        <v>104</v>
      </c>
      <c r="BD109" t="s">
        <v>74</v>
      </c>
      <c r="BE109" t="s">
        <v>2343</v>
      </c>
      <c r="BF109" t="str">
        <f>HYPERLINK("http://dx.doi.org/10.1163/1937240X-00002290","http://dx.doi.org/10.1163/1937240X-00002290")</f>
        <v>http://dx.doi.org/10.1163/1937240X-00002290</v>
      </c>
      <c r="BG109" t="s">
        <v>74</v>
      </c>
      <c r="BH109" t="s">
        <v>74</v>
      </c>
      <c r="BI109">
        <v>8</v>
      </c>
      <c r="BJ109" t="s">
        <v>2344</v>
      </c>
      <c r="BK109" t="s">
        <v>91</v>
      </c>
      <c r="BL109" t="s">
        <v>2344</v>
      </c>
      <c r="BM109" t="s">
        <v>2345</v>
      </c>
      <c r="BN109" t="s">
        <v>74</v>
      </c>
      <c r="BO109" t="s">
        <v>375</v>
      </c>
      <c r="BP109" t="s">
        <v>74</v>
      </c>
      <c r="BQ109" t="s">
        <v>74</v>
      </c>
      <c r="BR109" t="s">
        <v>93</v>
      </c>
      <c r="BS109" t="s">
        <v>2346</v>
      </c>
      <c r="BT109" t="str">
        <f>HYPERLINK("https%3A%2F%2Fwww.webofscience.com%2Fwos%2Fwoscc%2Ffull-record%2FWOS:000349135000013","View Full Record in Web of Science")</f>
        <v>View Full Record in Web of Science</v>
      </c>
    </row>
    <row r="110" spans="1:72" x14ac:dyDescent="0.15">
      <c r="A110" t="s">
        <v>72</v>
      </c>
      <c r="B110" t="s">
        <v>2347</v>
      </c>
      <c r="C110" t="s">
        <v>74</v>
      </c>
      <c r="D110" t="s">
        <v>74</v>
      </c>
      <c r="E110" t="s">
        <v>74</v>
      </c>
      <c r="F110" t="s">
        <v>2348</v>
      </c>
      <c r="G110" t="s">
        <v>74</v>
      </c>
      <c r="H110" t="s">
        <v>74</v>
      </c>
      <c r="I110" t="s">
        <v>2349</v>
      </c>
      <c r="J110" t="s">
        <v>2350</v>
      </c>
      <c r="K110" t="s">
        <v>74</v>
      </c>
      <c r="L110" t="s">
        <v>74</v>
      </c>
      <c r="M110" t="s">
        <v>78</v>
      </c>
      <c r="N110" t="s">
        <v>99</v>
      </c>
      <c r="O110" t="s">
        <v>74</v>
      </c>
      <c r="P110" t="s">
        <v>74</v>
      </c>
      <c r="Q110" t="s">
        <v>74</v>
      </c>
      <c r="R110" t="s">
        <v>74</v>
      </c>
      <c r="S110" t="s">
        <v>74</v>
      </c>
      <c r="T110" t="s">
        <v>2351</v>
      </c>
      <c r="U110" t="s">
        <v>2352</v>
      </c>
      <c r="V110" t="s">
        <v>2353</v>
      </c>
      <c r="W110" t="s">
        <v>2354</v>
      </c>
      <c r="X110" t="s">
        <v>2355</v>
      </c>
      <c r="Y110" t="s">
        <v>2356</v>
      </c>
      <c r="Z110" t="s">
        <v>2357</v>
      </c>
      <c r="AA110" t="s">
        <v>2358</v>
      </c>
      <c r="AB110" t="s">
        <v>2359</v>
      </c>
      <c r="AC110" t="s">
        <v>2360</v>
      </c>
      <c r="AD110" t="s">
        <v>2361</v>
      </c>
      <c r="AE110" t="s">
        <v>2362</v>
      </c>
      <c r="AF110" t="s">
        <v>74</v>
      </c>
      <c r="AG110">
        <v>25</v>
      </c>
      <c r="AH110">
        <v>11</v>
      </c>
      <c r="AI110">
        <v>14</v>
      </c>
      <c r="AJ110">
        <v>0</v>
      </c>
      <c r="AK110">
        <v>19</v>
      </c>
      <c r="AL110" t="s">
        <v>2006</v>
      </c>
      <c r="AM110" t="s">
        <v>2007</v>
      </c>
      <c r="AN110" t="s">
        <v>2008</v>
      </c>
      <c r="AO110" t="s">
        <v>2363</v>
      </c>
      <c r="AP110" t="s">
        <v>2364</v>
      </c>
      <c r="AQ110" t="s">
        <v>74</v>
      </c>
      <c r="AR110" t="s">
        <v>2365</v>
      </c>
      <c r="AS110" t="s">
        <v>2366</v>
      </c>
      <c r="AT110" t="s">
        <v>200</v>
      </c>
      <c r="AU110">
        <v>2015</v>
      </c>
      <c r="AV110">
        <v>50</v>
      </c>
      <c r="AW110">
        <v>1</v>
      </c>
      <c r="AX110" t="s">
        <v>74</v>
      </c>
      <c r="AY110" t="s">
        <v>74</v>
      </c>
      <c r="AZ110" t="s">
        <v>74</v>
      </c>
      <c r="BA110" t="s">
        <v>74</v>
      </c>
      <c r="BB110">
        <v>103</v>
      </c>
      <c r="BC110">
        <v>111</v>
      </c>
      <c r="BD110" t="s">
        <v>74</v>
      </c>
      <c r="BE110" t="s">
        <v>2367</v>
      </c>
      <c r="BF110" t="str">
        <f>HYPERLINK("http://dx.doi.org/10.1002/jms.3502","http://dx.doi.org/10.1002/jms.3502")</f>
        <v>http://dx.doi.org/10.1002/jms.3502</v>
      </c>
      <c r="BG110" t="s">
        <v>74</v>
      </c>
      <c r="BH110" t="s">
        <v>74</v>
      </c>
      <c r="BI110">
        <v>9</v>
      </c>
      <c r="BJ110" t="s">
        <v>2368</v>
      </c>
      <c r="BK110" t="s">
        <v>91</v>
      </c>
      <c r="BL110" t="s">
        <v>2369</v>
      </c>
      <c r="BM110" t="s">
        <v>2370</v>
      </c>
      <c r="BN110">
        <v>25601681</v>
      </c>
      <c r="BO110" t="s">
        <v>74</v>
      </c>
      <c r="BP110" t="s">
        <v>74</v>
      </c>
      <c r="BQ110" t="s">
        <v>74</v>
      </c>
      <c r="BR110" t="s">
        <v>93</v>
      </c>
      <c r="BS110" t="s">
        <v>2371</v>
      </c>
      <c r="BT110" t="str">
        <f>HYPERLINK("https%3A%2F%2Fwww.webofscience.com%2Fwos%2Fwoscc%2Ffull-record%2FWOS:000348721800015","View Full Record in Web of Science")</f>
        <v>View Full Record in Web of Science</v>
      </c>
    </row>
    <row r="111" spans="1:72" x14ac:dyDescent="0.15">
      <c r="A111" t="s">
        <v>72</v>
      </c>
      <c r="B111" t="s">
        <v>2372</v>
      </c>
      <c r="C111" t="s">
        <v>74</v>
      </c>
      <c r="D111" t="s">
        <v>74</v>
      </c>
      <c r="E111" t="s">
        <v>74</v>
      </c>
      <c r="F111" t="s">
        <v>2373</v>
      </c>
      <c r="G111" t="s">
        <v>74</v>
      </c>
      <c r="H111" t="s">
        <v>74</v>
      </c>
      <c r="I111" t="s">
        <v>2374</v>
      </c>
      <c r="J111" t="s">
        <v>2375</v>
      </c>
      <c r="K111" t="s">
        <v>74</v>
      </c>
      <c r="L111" t="s">
        <v>74</v>
      </c>
      <c r="M111" t="s">
        <v>78</v>
      </c>
      <c r="N111" t="s">
        <v>99</v>
      </c>
      <c r="O111" t="s">
        <v>74</v>
      </c>
      <c r="P111" t="s">
        <v>74</v>
      </c>
      <c r="Q111" t="s">
        <v>74</v>
      </c>
      <c r="R111" t="s">
        <v>74</v>
      </c>
      <c r="S111" t="s">
        <v>74</v>
      </c>
      <c r="T111" t="s">
        <v>74</v>
      </c>
      <c r="U111" t="s">
        <v>2376</v>
      </c>
      <c r="V111" t="s">
        <v>2377</v>
      </c>
      <c r="W111" t="s">
        <v>2378</v>
      </c>
      <c r="X111" t="s">
        <v>2379</v>
      </c>
      <c r="Y111" t="s">
        <v>2380</v>
      </c>
      <c r="Z111" t="s">
        <v>2381</v>
      </c>
      <c r="AA111" t="s">
        <v>2382</v>
      </c>
      <c r="AB111" t="s">
        <v>2383</v>
      </c>
      <c r="AC111" t="s">
        <v>2384</v>
      </c>
      <c r="AD111" t="s">
        <v>2385</v>
      </c>
      <c r="AE111" t="s">
        <v>2386</v>
      </c>
      <c r="AF111" t="s">
        <v>74</v>
      </c>
      <c r="AG111">
        <v>49</v>
      </c>
      <c r="AH111">
        <v>60</v>
      </c>
      <c r="AI111">
        <v>67</v>
      </c>
      <c r="AJ111">
        <v>4</v>
      </c>
      <c r="AK111">
        <v>59</v>
      </c>
      <c r="AL111" t="s">
        <v>2006</v>
      </c>
      <c r="AM111" t="s">
        <v>2007</v>
      </c>
      <c r="AN111" t="s">
        <v>2008</v>
      </c>
      <c r="AO111" t="s">
        <v>2387</v>
      </c>
      <c r="AP111" t="s">
        <v>2388</v>
      </c>
      <c r="AQ111" t="s">
        <v>74</v>
      </c>
      <c r="AR111" t="s">
        <v>2389</v>
      </c>
      <c r="AS111" t="s">
        <v>2390</v>
      </c>
      <c r="AT111" t="s">
        <v>200</v>
      </c>
      <c r="AU111">
        <v>2015</v>
      </c>
      <c r="AV111">
        <v>60</v>
      </c>
      <c r="AW111">
        <v>1</v>
      </c>
      <c r="AX111" t="s">
        <v>74</v>
      </c>
      <c r="AY111" t="s">
        <v>74</v>
      </c>
      <c r="AZ111" t="s">
        <v>74</v>
      </c>
      <c r="BA111" t="s">
        <v>74</v>
      </c>
      <c r="BB111">
        <v>215</v>
      </c>
      <c r="BC111">
        <v>228</v>
      </c>
      <c r="BD111" t="s">
        <v>74</v>
      </c>
      <c r="BE111" t="s">
        <v>2391</v>
      </c>
      <c r="BF111" t="str">
        <f>HYPERLINK("http://dx.doi.org/10.1002/lno.10009","http://dx.doi.org/10.1002/lno.10009")</f>
        <v>http://dx.doi.org/10.1002/lno.10009</v>
      </c>
      <c r="BG111" t="s">
        <v>74</v>
      </c>
      <c r="BH111" t="s">
        <v>74</v>
      </c>
      <c r="BI111">
        <v>14</v>
      </c>
      <c r="BJ111" t="s">
        <v>2392</v>
      </c>
      <c r="BK111" t="s">
        <v>91</v>
      </c>
      <c r="BL111" t="s">
        <v>2393</v>
      </c>
      <c r="BM111" t="s">
        <v>2394</v>
      </c>
      <c r="BN111" t="s">
        <v>74</v>
      </c>
      <c r="BO111" t="s">
        <v>134</v>
      </c>
      <c r="BP111" t="s">
        <v>74</v>
      </c>
      <c r="BQ111" t="s">
        <v>74</v>
      </c>
      <c r="BR111" t="s">
        <v>93</v>
      </c>
      <c r="BS111" t="s">
        <v>2395</v>
      </c>
      <c r="BT111" t="str">
        <f>HYPERLINK("https%3A%2F%2Fwww.webofscience.com%2Fwos%2Fwoscc%2Ffull-record%2FWOS:000349082600018","View Full Record in Web of Science")</f>
        <v>View Full Record in Web of Science</v>
      </c>
    </row>
    <row r="112" spans="1:72" x14ac:dyDescent="0.15">
      <c r="A112" t="s">
        <v>72</v>
      </c>
      <c r="B112" t="s">
        <v>2396</v>
      </c>
      <c r="C112" t="s">
        <v>74</v>
      </c>
      <c r="D112" t="s">
        <v>74</v>
      </c>
      <c r="E112" t="s">
        <v>74</v>
      </c>
      <c r="F112" t="s">
        <v>2397</v>
      </c>
      <c r="G112" t="s">
        <v>74</v>
      </c>
      <c r="H112" t="s">
        <v>74</v>
      </c>
      <c r="I112" t="s">
        <v>2398</v>
      </c>
      <c r="J112" t="s">
        <v>2399</v>
      </c>
      <c r="K112" t="s">
        <v>74</v>
      </c>
      <c r="L112" t="s">
        <v>74</v>
      </c>
      <c r="M112" t="s">
        <v>78</v>
      </c>
      <c r="N112" t="s">
        <v>99</v>
      </c>
      <c r="O112" t="s">
        <v>74</v>
      </c>
      <c r="P112" t="s">
        <v>74</v>
      </c>
      <c r="Q112" t="s">
        <v>74</v>
      </c>
      <c r="R112" t="s">
        <v>74</v>
      </c>
      <c r="S112" t="s">
        <v>74</v>
      </c>
      <c r="T112" t="s">
        <v>2400</v>
      </c>
      <c r="U112" t="s">
        <v>2401</v>
      </c>
      <c r="V112" t="s">
        <v>2402</v>
      </c>
      <c r="W112" t="s">
        <v>2403</v>
      </c>
      <c r="X112" t="s">
        <v>2404</v>
      </c>
      <c r="Y112" t="s">
        <v>2405</v>
      </c>
      <c r="Z112" t="s">
        <v>2406</v>
      </c>
      <c r="AA112" t="s">
        <v>2407</v>
      </c>
      <c r="AB112" t="s">
        <v>2408</v>
      </c>
      <c r="AC112" t="s">
        <v>2409</v>
      </c>
      <c r="AD112" t="s">
        <v>2410</v>
      </c>
      <c r="AE112" t="s">
        <v>2411</v>
      </c>
      <c r="AF112" t="s">
        <v>74</v>
      </c>
      <c r="AG112">
        <v>20</v>
      </c>
      <c r="AH112">
        <v>11</v>
      </c>
      <c r="AI112">
        <v>11</v>
      </c>
      <c r="AJ112">
        <v>0</v>
      </c>
      <c r="AK112">
        <v>16</v>
      </c>
      <c r="AL112" t="s">
        <v>2412</v>
      </c>
      <c r="AM112" t="s">
        <v>2413</v>
      </c>
      <c r="AN112" t="s">
        <v>2414</v>
      </c>
      <c r="AO112" t="s">
        <v>2415</v>
      </c>
      <c r="AP112" t="s">
        <v>2416</v>
      </c>
      <c r="AQ112" t="s">
        <v>74</v>
      </c>
      <c r="AR112" t="s">
        <v>2417</v>
      </c>
      <c r="AS112" t="s">
        <v>2418</v>
      </c>
      <c r="AT112" t="s">
        <v>2419</v>
      </c>
      <c r="AU112">
        <v>2015</v>
      </c>
      <c r="AV112">
        <v>11</v>
      </c>
      <c r="AW112">
        <v>41</v>
      </c>
      <c r="AX112" t="s">
        <v>74</v>
      </c>
      <c r="AY112" t="s">
        <v>74</v>
      </c>
      <c r="AZ112" t="s">
        <v>74</v>
      </c>
      <c r="BA112" t="s">
        <v>74</v>
      </c>
      <c r="BB112">
        <v>38</v>
      </c>
      <c r="BC112">
        <v>43</v>
      </c>
      <c r="BD112" t="s">
        <v>74</v>
      </c>
      <c r="BE112" t="s">
        <v>2420</v>
      </c>
      <c r="BF112" t="str">
        <f>HYPERLINK("http://dx.doi.org/10.4103/0973-1296.149701","http://dx.doi.org/10.4103/0973-1296.149701")</f>
        <v>http://dx.doi.org/10.4103/0973-1296.149701</v>
      </c>
      <c r="BG112" t="s">
        <v>74</v>
      </c>
      <c r="BH112" t="s">
        <v>74</v>
      </c>
      <c r="BI112">
        <v>6</v>
      </c>
      <c r="BJ112" t="s">
        <v>2421</v>
      </c>
      <c r="BK112" t="s">
        <v>91</v>
      </c>
      <c r="BL112" t="s">
        <v>2422</v>
      </c>
      <c r="BM112" t="s">
        <v>2423</v>
      </c>
      <c r="BN112">
        <v>25709208</v>
      </c>
      <c r="BO112" t="s">
        <v>2056</v>
      </c>
      <c r="BP112" t="s">
        <v>74</v>
      </c>
      <c r="BQ112" t="s">
        <v>74</v>
      </c>
      <c r="BR112" t="s">
        <v>93</v>
      </c>
      <c r="BS112" t="s">
        <v>2424</v>
      </c>
      <c r="BT112" t="str">
        <f>HYPERLINK("https%3A%2F%2Fwww.webofscience.com%2Fwos%2Fwoscc%2Ffull-record%2FWOS:000348610800006","View Full Record in Web of Science")</f>
        <v>View Full Record in Web of Science</v>
      </c>
    </row>
    <row r="113" spans="1:72" x14ac:dyDescent="0.15">
      <c r="A113" t="s">
        <v>72</v>
      </c>
      <c r="B113" t="s">
        <v>2425</v>
      </c>
      <c r="C113" t="s">
        <v>74</v>
      </c>
      <c r="D113" t="s">
        <v>74</v>
      </c>
      <c r="E113" t="s">
        <v>74</v>
      </c>
      <c r="F113" t="s">
        <v>2426</v>
      </c>
      <c r="G113" t="s">
        <v>74</v>
      </c>
      <c r="H113" t="s">
        <v>74</v>
      </c>
      <c r="I113" t="s">
        <v>2427</v>
      </c>
      <c r="J113" t="s">
        <v>2428</v>
      </c>
      <c r="K113" t="s">
        <v>74</v>
      </c>
      <c r="L113" t="s">
        <v>74</v>
      </c>
      <c r="M113" t="s">
        <v>78</v>
      </c>
      <c r="N113" t="s">
        <v>454</v>
      </c>
      <c r="O113" t="s">
        <v>74</v>
      </c>
      <c r="P113" t="s">
        <v>74</v>
      </c>
      <c r="Q113" t="s">
        <v>74</v>
      </c>
      <c r="R113" t="s">
        <v>74</v>
      </c>
      <c r="S113" t="s">
        <v>74</v>
      </c>
      <c r="T113" t="s">
        <v>74</v>
      </c>
      <c r="U113" t="s">
        <v>2429</v>
      </c>
      <c r="V113" t="s">
        <v>2430</v>
      </c>
      <c r="W113" t="s">
        <v>2431</v>
      </c>
      <c r="X113" t="s">
        <v>2432</v>
      </c>
      <c r="Y113" t="s">
        <v>2433</v>
      </c>
      <c r="Z113" t="s">
        <v>74</v>
      </c>
      <c r="AA113" t="s">
        <v>2434</v>
      </c>
      <c r="AB113" t="s">
        <v>2435</v>
      </c>
      <c r="AC113" t="s">
        <v>2436</v>
      </c>
      <c r="AD113" t="s">
        <v>2437</v>
      </c>
      <c r="AE113" t="s">
        <v>2438</v>
      </c>
      <c r="AF113" t="s">
        <v>74</v>
      </c>
      <c r="AG113">
        <v>73</v>
      </c>
      <c r="AH113">
        <v>22</v>
      </c>
      <c r="AI113">
        <v>22</v>
      </c>
      <c r="AJ113">
        <v>1</v>
      </c>
      <c r="AK113">
        <v>46</v>
      </c>
      <c r="AL113" t="s">
        <v>2439</v>
      </c>
      <c r="AM113" t="s">
        <v>1411</v>
      </c>
      <c r="AN113" t="s">
        <v>2440</v>
      </c>
      <c r="AO113" t="s">
        <v>2441</v>
      </c>
      <c r="AP113" t="s">
        <v>74</v>
      </c>
      <c r="AQ113" t="s">
        <v>74</v>
      </c>
      <c r="AR113" t="s">
        <v>2442</v>
      </c>
      <c r="AS113" t="s">
        <v>2443</v>
      </c>
      <c r="AT113" t="s">
        <v>200</v>
      </c>
      <c r="AU113">
        <v>2015</v>
      </c>
      <c r="AV113">
        <v>130</v>
      </c>
      <c r="AW113" t="s">
        <v>74</v>
      </c>
      <c r="AX113" t="s">
        <v>74</v>
      </c>
      <c r="AY113" t="s">
        <v>74</v>
      </c>
      <c r="AZ113" t="s">
        <v>74</v>
      </c>
      <c r="BA113" t="s">
        <v>74</v>
      </c>
      <c r="BB113">
        <v>1</v>
      </c>
      <c r="BC113">
        <v>18</v>
      </c>
      <c r="BD113" t="s">
        <v>74</v>
      </c>
      <c r="BE113" t="s">
        <v>2444</v>
      </c>
      <c r="BF113" t="str">
        <f>HYPERLINK("http://dx.doi.org/10.1016/j.pocean.2014.08.008","http://dx.doi.org/10.1016/j.pocean.2014.08.008")</f>
        <v>http://dx.doi.org/10.1016/j.pocean.2014.08.008</v>
      </c>
      <c r="BG113" t="s">
        <v>74</v>
      </c>
      <c r="BH113" t="s">
        <v>74</v>
      </c>
      <c r="BI113">
        <v>18</v>
      </c>
      <c r="BJ113" t="s">
        <v>2054</v>
      </c>
      <c r="BK113" t="s">
        <v>91</v>
      </c>
      <c r="BL113" t="s">
        <v>2054</v>
      </c>
      <c r="BM113" t="s">
        <v>2445</v>
      </c>
      <c r="BN113" t="s">
        <v>74</v>
      </c>
      <c r="BO113" t="s">
        <v>74</v>
      </c>
      <c r="BP113" t="s">
        <v>74</v>
      </c>
      <c r="BQ113" t="s">
        <v>74</v>
      </c>
      <c r="BR113" t="s">
        <v>93</v>
      </c>
      <c r="BS113" t="s">
        <v>2446</v>
      </c>
      <c r="BT113" t="str">
        <f>HYPERLINK("https%3A%2F%2Fwww.webofscience.com%2Fwos%2Fwoscc%2Ffull-record%2FWOS:000349059800001","View Full Record in Web of Science")</f>
        <v>View Full Record in Web of Science</v>
      </c>
    </row>
    <row r="114" spans="1:72" x14ac:dyDescent="0.15">
      <c r="A114" t="s">
        <v>72</v>
      </c>
      <c r="B114" t="s">
        <v>2447</v>
      </c>
      <c r="C114" t="s">
        <v>74</v>
      </c>
      <c r="D114" t="s">
        <v>74</v>
      </c>
      <c r="E114" t="s">
        <v>74</v>
      </c>
      <c r="F114" t="s">
        <v>2448</v>
      </c>
      <c r="G114" t="s">
        <v>74</v>
      </c>
      <c r="H114" t="s">
        <v>74</v>
      </c>
      <c r="I114" t="s">
        <v>2449</v>
      </c>
      <c r="J114" t="s">
        <v>2450</v>
      </c>
      <c r="K114" t="s">
        <v>74</v>
      </c>
      <c r="L114" t="s">
        <v>74</v>
      </c>
      <c r="M114" t="s">
        <v>78</v>
      </c>
      <c r="N114" t="s">
        <v>99</v>
      </c>
      <c r="O114" t="s">
        <v>74</v>
      </c>
      <c r="P114" t="s">
        <v>74</v>
      </c>
      <c r="Q114" t="s">
        <v>74</v>
      </c>
      <c r="R114" t="s">
        <v>74</v>
      </c>
      <c r="S114" t="s">
        <v>74</v>
      </c>
      <c r="T114" t="s">
        <v>2451</v>
      </c>
      <c r="U114" t="s">
        <v>74</v>
      </c>
      <c r="V114" t="s">
        <v>2452</v>
      </c>
      <c r="W114" t="s">
        <v>2453</v>
      </c>
      <c r="X114" t="s">
        <v>2230</v>
      </c>
      <c r="Y114" t="s">
        <v>2454</v>
      </c>
      <c r="Z114" t="s">
        <v>2455</v>
      </c>
      <c r="AA114" t="s">
        <v>2456</v>
      </c>
      <c r="AB114" t="s">
        <v>2457</v>
      </c>
      <c r="AC114" t="s">
        <v>74</v>
      </c>
      <c r="AD114" t="s">
        <v>74</v>
      </c>
      <c r="AE114" t="s">
        <v>74</v>
      </c>
      <c r="AF114" t="s">
        <v>74</v>
      </c>
      <c r="AG114">
        <v>18</v>
      </c>
      <c r="AH114">
        <v>5</v>
      </c>
      <c r="AI114">
        <v>5</v>
      </c>
      <c r="AJ114">
        <v>0</v>
      </c>
      <c r="AK114">
        <v>10</v>
      </c>
      <c r="AL114" t="s">
        <v>2458</v>
      </c>
      <c r="AM114" t="s">
        <v>1411</v>
      </c>
      <c r="AN114" t="s">
        <v>2459</v>
      </c>
      <c r="AO114" t="s">
        <v>2460</v>
      </c>
      <c r="AP114" t="s">
        <v>2461</v>
      </c>
      <c r="AQ114" t="s">
        <v>74</v>
      </c>
      <c r="AR114" t="s">
        <v>2462</v>
      </c>
      <c r="AS114" t="s">
        <v>2463</v>
      </c>
      <c r="AT114" t="s">
        <v>2464</v>
      </c>
      <c r="AU114">
        <v>2015</v>
      </c>
      <c r="AV114">
        <v>55</v>
      </c>
      <c r="AW114">
        <v>1</v>
      </c>
      <c r="AX114" t="s">
        <v>74</v>
      </c>
      <c r="AY114" t="s">
        <v>74</v>
      </c>
      <c r="AZ114" t="s">
        <v>74</v>
      </c>
      <c r="BA114" t="s">
        <v>74</v>
      </c>
      <c r="BB114">
        <v>211</v>
      </c>
      <c r="BC114">
        <v>219</v>
      </c>
      <c r="BD114" t="s">
        <v>74</v>
      </c>
      <c r="BE114" t="s">
        <v>2465</v>
      </c>
      <c r="BF114" t="str">
        <f>HYPERLINK("http://dx.doi.org/10.1016/j.asr.2014.09.010","http://dx.doi.org/10.1016/j.asr.2014.09.010")</f>
        <v>http://dx.doi.org/10.1016/j.asr.2014.09.010</v>
      </c>
      <c r="BG114" t="s">
        <v>74</v>
      </c>
      <c r="BH114" t="s">
        <v>74</v>
      </c>
      <c r="BI114">
        <v>9</v>
      </c>
      <c r="BJ114" t="s">
        <v>2466</v>
      </c>
      <c r="BK114" t="s">
        <v>91</v>
      </c>
      <c r="BL114" t="s">
        <v>2467</v>
      </c>
      <c r="BM114" t="s">
        <v>2468</v>
      </c>
      <c r="BN114" t="s">
        <v>74</v>
      </c>
      <c r="BO114" t="s">
        <v>74</v>
      </c>
      <c r="BP114" t="s">
        <v>74</v>
      </c>
      <c r="BQ114" t="s">
        <v>74</v>
      </c>
      <c r="BR114" t="s">
        <v>93</v>
      </c>
      <c r="BS114" t="s">
        <v>2469</v>
      </c>
      <c r="BT114" t="str">
        <f>HYPERLINK("https%3A%2F%2Fwww.webofscience.com%2Fwos%2Fwoscc%2Ffull-record%2FWOS:000348084900019","View Full Record in Web of Science")</f>
        <v>View Full Record in Web of Science</v>
      </c>
    </row>
    <row r="115" spans="1:72" x14ac:dyDescent="0.15">
      <c r="A115" t="s">
        <v>72</v>
      </c>
      <c r="B115" t="s">
        <v>2470</v>
      </c>
      <c r="C115" t="s">
        <v>74</v>
      </c>
      <c r="D115" t="s">
        <v>74</v>
      </c>
      <c r="E115" t="s">
        <v>74</v>
      </c>
      <c r="F115" t="s">
        <v>2471</v>
      </c>
      <c r="G115" t="s">
        <v>74</v>
      </c>
      <c r="H115" t="s">
        <v>74</v>
      </c>
      <c r="I115" t="s">
        <v>2472</v>
      </c>
      <c r="J115" t="s">
        <v>2473</v>
      </c>
      <c r="K115" t="s">
        <v>74</v>
      </c>
      <c r="L115" t="s">
        <v>74</v>
      </c>
      <c r="M115" t="s">
        <v>78</v>
      </c>
      <c r="N115" t="s">
        <v>99</v>
      </c>
      <c r="O115" t="s">
        <v>74</v>
      </c>
      <c r="P115" t="s">
        <v>74</v>
      </c>
      <c r="Q115" t="s">
        <v>74</v>
      </c>
      <c r="R115" t="s">
        <v>74</v>
      </c>
      <c r="S115" t="s">
        <v>74</v>
      </c>
      <c r="T115" t="s">
        <v>2474</v>
      </c>
      <c r="U115" t="s">
        <v>2475</v>
      </c>
      <c r="V115" t="s">
        <v>2476</v>
      </c>
      <c r="W115" t="s">
        <v>2477</v>
      </c>
      <c r="X115" t="s">
        <v>2478</v>
      </c>
      <c r="Y115" t="s">
        <v>2479</v>
      </c>
      <c r="Z115" t="s">
        <v>2480</v>
      </c>
      <c r="AA115" t="s">
        <v>2481</v>
      </c>
      <c r="AB115" t="s">
        <v>2482</v>
      </c>
      <c r="AC115" t="s">
        <v>2483</v>
      </c>
      <c r="AD115" t="s">
        <v>2484</v>
      </c>
      <c r="AE115" t="s">
        <v>2485</v>
      </c>
      <c r="AF115" t="s">
        <v>74</v>
      </c>
      <c r="AG115">
        <v>87</v>
      </c>
      <c r="AH115">
        <v>43</v>
      </c>
      <c r="AI115">
        <v>45</v>
      </c>
      <c r="AJ115">
        <v>2</v>
      </c>
      <c r="AK115">
        <v>21</v>
      </c>
      <c r="AL115" t="s">
        <v>2486</v>
      </c>
      <c r="AM115" t="s">
        <v>2487</v>
      </c>
      <c r="AN115" t="s">
        <v>2488</v>
      </c>
      <c r="AO115" t="s">
        <v>2489</v>
      </c>
      <c r="AP115" t="s">
        <v>2490</v>
      </c>
      <c r="AQ115" t="s">
        <v>74</v>
      </c>
      <c r="AR115" t="s">
        <v>2491</v>
      </c>
      <c r="AS115" t="s">
        <v>2492</v>
      </c>
      <c r="AT115" t="s">
        <v>200</v>
      </c>
      <c r="AU115">
        <v>2015</v>
      </c>
      <c r="AV115">
        <v>8</v>
      </c>
      <c r="AW115">
        <v>1</v>
      </c>
      <c r="AX115" t="s">
        <v>74</v>
      </c>
      <c r="AY115" t="s">
        <v>74</v>
      </c>
      <c r="AZ115" t="s">
        <v>74</v>
      </c>
      <c r="BA115" t="s">
        <v>74</v>
      </c>
      <c r="BB115">
        <v>281</v>
      </c>
      <c r="BC115">
        <v>293</v>
      </c>
      <c r="BD115" t="s">
        <v>74</v>
      </c>
      <c r="BE115" t="s">
        <v>2493</v>
      </c>
      <c r="BF115" t="str">
        <f>HYPERLINK("http://dx.doi.org/10.1007/s12517-013-1176-y","http://dx.doi.org/10.1007/s12517-013-1176-y")</f>
        <v>http://dx.doi.org/10.1007/s12517-013-1176-y</v>
      </c>
      <c r="BG115" t="s">
        <v>74</v>
      </c>
      <c r="BH115" t="s">
        <v>74</v>
      </c>
      <c r="BI115">
        <v>13</v>
      </c>
      <c r="BJ115" t="s">
        <v>1953</v>
      </c>
      <c r="BK115" t="s">
        <v>91</v>
      </c>
      <c r="BL115" t="s">
        <v>1954</v>
      </c>
      <c r="BM115" t="s">
        <v>2494</v>
      </c>
      <c r="BN115" t="s">
        <v>74</v>
      </c>
      <c r="BO115" t="s">
        <v>74</v>
      </c>
      <c r="BP115" t="s">
        <v>74</v>
      </c>
      <c r="BQ115" t="s">
        <v>74</v>
      </c>
      <c r="BR115" t="s">
        <v>93</v>
      </c>
      <c r="BS115" t="s">
        <v>2495</v>
      </c>
      <c r="BT115" t="str">
        <f>HYPERLINK("https%3A%2F%2Fwww.webofscience.com%2Fwos%2Fwoscc%2Ffull-record%2FWOS:000348108300020","View Full Record in Web of Science")</f>
        <v>View Full Record in Web of Science</v>
      </c>
    </row>
    <row r="116" spans="1:72" x14ac:dyDescent="0.15">
      <c r="A116" t="s">
        <v>72</v>
      </c>
      <c r="B116" t="s">
        <v>2496</v>
      </c>
      <c r="C116" t="s">
        <v>74</v>
      </c>
      <c r="D116" t="s">
        <v>74</v>
      </c>
      <c r="E116" t="s">
        <v>74</v>
      </c>
      <c r="F116" t="s">
        <v>2497</v>
      </c>
      <c r="G116" t="s">
        <v>74</v>
      </c>
      <c r="H116" t="s">
        <v>74</v>
      </c>
      <c r="I116" t="s">
        <v>2498</v>
      </c>
      <c r="J116" t="s">
        <v>2499</v>
      </c>
      <c r="K116" t="s">
        <v>74</v>
      </c>
      <c r="L116" t="s">
        <v>74</v>
      </c>
      <c r="M116" t="s">
        <v>78</v>
      </c>
      <c r="N116" t="s">
        <v>1845</v>
      </c>
      <c r="O116" t="s">
        <v>2500</v>
      </c>
      <c r="P116" t="s">
        <v>2501</v>
      </c>
      <c r="Q116" t="s">
        <v>2502</v>
      </c>
      <c r="R116" t="s">
        <v>74</v>
      </c>
      <c r="S116" t="s">
        <v>74</v>
      </c>
      <c r="T116" t="s">
        <v>2503</v>
      </c>
      <c r="U116" t="s">
        <v>2504</v>
      </c>
      <c r="V116" t="s">
        <v>2505</v>
      </c>
      <c r="W116" t="s">
        <v>2506</v>
      </c>
      <c r="X116" t="s">
        <v>2507</v>
      </c>
      <c r="Y116" t="s">
        <v>2508</v>
      </c>
      <c r="Z116" t="s">
        <v>2509</v>
      </c>
      <c r="AA116" t="s">
        <v>2510</v>
      </c>
      <c r="AB116" t="s">
        <v>2511</v>
      </c>
      <c r="AC116" t="s">
        <v>74</v>
      </c>
      <c r="AD116" t="s">
        <v>74</v>
      </c>
      <c r="AE116" t="s">
        <v>74</v>
      </c>
      <c r="AF116" t="s">
        <v>74</v>
      </c>
      <c r="AG116">
        <v>127</v>
      </c>
      <c r="AH116">
        <v>38</v>
      </c>
      <c r="AI116">
        <v>44</v>
      </c>
      <c r="AJ116">
        <v>0</v>
      </c>
      <c r="AK116">
        <v>22</v>
      </c>
      <c r="AL116" t="s">
        <v>2512</v>
      </c>
      <c r="AM116" t="s">
        <v>2171</v>
      </c>
      <c r="AN116" t="s">
        <v>2513</v>
      </c>
      <c r="AO116" t="s">
        <v>2514</v>
      </c>
      <c r="AP116" t="s">
        <v>2515</v>
      </c>
      <c r="AQ116" t="s">
        <v>74</v>
      </c>
      <c r="AR116" t="s">
        <v>2516</v>
      </c>
      <c r="AS116" t="s">
        <v>2517</v>
      </c>
      <c r="AT116" t="s">
        <v>200</v>
      </c>
      <c r="AU116">
        <v>2015</v>
      </c>
      <c r="AV116">
        <v>62</v>
      </c>
      <c r="AW116">
        <v>1</v>
      </c>
      <c r="AX116" t="s">
        <v>74</v>
      </c>
      <c r="AY116" t="s">
        <v>74</v>
      </c>
      <c r="AZ116" t="s">
        <v>74</v>
      </c>
      <c r="BA116" t="s">
        <v>74</v>
      </c>
      <c r="BB116">
        <v>9</v>
      </c>
      <c r="BC116">
        <v>28</v>
      </c>
      <c r="BD116" t="s">
        <v>74</v>
      </c>
      <c r="BE116" t="s">
        <v>2518</v>
      </c>
      <c r="BF116" t="str">
        <f>HYPERLINK("http://dx.doi.org/10.1007/s10228-014-0426-7","http://dx.doi.org/10.1007/s10228-014-0426-7")</f>
        <v>http://dx.doi.org/10.1007/s10228-014-0426-7</v>
      </c>
      <c r="BG116" t="s">
        <v>74</v>
      </c>
      <c r="BH116" t="s">
        <v>74</v>
      </c>
      <c r="BI116">
        <v>20</v>
      </c>
      <c r="BJ116" t="s">
        <v>2519</v>
      </c>
      <c r="BK116" t="s">
        <v>1862</v>
      </c>
      <c r="BL116" t="s">
        <v>2519</v>
      </c>
      <c r="BM116" t="s">
        <v>2520</v>
      </c>
      <c r="BN116" t="s">
        <v>74</v>
      </c>
      <c r="BO116" t="s">
        <v>2521</v>
      </c>
      <c r="BP116" t="s">
        <v>74</v>
      </c>
      <c r="BQ116" t="s">
        <v>74</v>
      </c>
      <c r="BR116" t="s">
        <v>93</v>
      </c>
      <c r="BS116" t="s">
        <v>2522</v>
      </c>
      <c r="BT116" t="str">
        <f>HYPERLINK("https%3A%2F%2Fwww.webofscience.com%2Fwos%2Fwoscc%2Ffull-record%2FWOS:000348215200003","View Full Record in Web of Science")</f>
        <v>View Full Record in Web of Science</v>
      </c>
    </row>
    <row r="117" spans="1:72" x14ac:dyDescent="0.15">
      <c r="A117" t="s">
        <v>72</v>
      </c>
      <c r="B117" t="s">
        <v>2523</v>
      </c>
      <c r="C117" t="s">
        <v>74</v>
      </c>
      <c r="D117" t="s">
        <v>74</v>
      </c>
      <c r="E117" t="s">
        <v>74</v>
      </c>
      <c r="F117" t="s">
        <v>2524</v>
      </c>
      <c r="G117" t="s">
        <v>74</v>
      </c>
      <c r="H117" t="s">
        <v>74</v>
      </c>
      <c r="I117" t="s">
        <v>2525</v>
      </c>
      <c r="J117" t="s">
        <v>2526</v>
      </c>
      <c r="K117" t="s">
        <v>74</v>
      </c>
      <c r="L117" t="s">
        <v>74</v>
      </c>
      <c r="M117" t="s">
        <v>78</v>
      </c>
      <c r="N117" t="s">
        <v>99</v>
      </c>
      <c r="O117" t="s">
        <v>74</v>
      </c>
      <c r="P117" t="s">
        <v>74</v>
      </c>
      <c r="Q117" t="s">
        <v>74</v>
      </c>
      <c r="R117" t="s">
        <v>74</v>
      </c>
      <c r="S117" t="s">
        <v>74</v>
      </c>
      <c r="T117" t="s">
        <v>74</v>
      </c>
      <c r="U117" t="s">
        <v>2527</v>
      </c>
      <c r="V117" t="s">
        <v>2528</v>
      </c>
      <c r="W117" t="s">
        <v>2529</v>
      </c>
      <c r="X117" t="s">
        <v>2530</v>
      </c>
      <c r="Y117" t="s">
        <v>2531</v>
      </c>
      <c r="Z117" t="s">
        <v>2532</v>
      </c>
      <c r="AA117" t="s">
        <v>2533</v>
      </c>
      <c r="AB117" t="s">
        <v>2534</v>
      </c>
      <c r="AC117" t="s">
        <v>2535</v>
      </c>
      <c r="AD117" t="s">
        <v>2536</v>
      </c>
      <c r="AE117" t="s">
        <v>2537</v>
      </c>
      <c r="AF117" t="s">
        <v>74</v>
      </c>
      <c r="AG117">
        <v>51</v>
      </c>
      <c r="AH117">
        <v>5</v>
      </c>
      <c r="AI117">
        <v>7</v>
      </c>
      <c r="AJ117">
        <v>0</v>
      </c>
      <c r="AK117">
        <v>29</v>
      </c>
      <c r="AL117" t="s">
        <v>1563</v>
      </c>
      <c r="AM117" t="s">
        <v>1564</v>
      </c>
      <c r="AN117" t="s">
        <v>1565</v>
      </c>
      <c r="AO117" t="s">
        <v>2538</v>
      </c>
      <c r="AP117" t="s">
        <v>2539</v>
      </c>
      <c r="AQ117" t="s">
        <v>74</v>
      </c>
      <c r="AR117" t="s">
        <v>2540</v>
      </c>
      <c r="AS117" t="s">
        <v>2541</v>
      </c>
      <c r="AT117" t="s">
        <v>200</v>
      </c>
      <c r="AU117">
        <v>2015</v>
      </c>
      <c r="AV117">
        <v>28</v>
      </c>
      <c r="AW117">
        <v>2</v>
      </c>
      <c r="AX117" t="s">
        <v>74</v>
      </c>
      <c r="AY117" t="s">
        <v>74</v>
      </c>
      <c r="AZ117" t="s">
        <v>74</v>
      </c>
      <c r="BA117" t="s">
        <v>74</v>
      </c>
      <c r="BB117">
        <v>637</v>
      </c>
      <c r="BC117">
        <v>650</v>
      </c>
      <c r="BD117" t="s">
        <v>74</v>
      </c>
      <c r="BE117" t="s">
        <v>2542</v>
      </c>
      <c r="BF117" t="str">
        <f>HYPERLINK("http://dx.doi.org/10.1175/JCLI-D-14-00284.1","http://dx.doi.org/10.1175/JCLI-D-14-00284.1")</f>
        <v>http://dx.doi.org/10.1175/JCLI-D-14-00284.1</v>
      </c>
      <c r="BG117" t="s">
        <v>74</v>
      </c>
      <c r="BH117" t="s">
        <v>74</v>
      </c>
      <c r="BI117">
        <v>14</v>
      </c>
      <c r="BJ117" t="s">
        <v>226</v>
      </c>
      <c r="BK117" t="s">
        <v>91</v>
      </c>
      <c r="BL117" t="s">
        <v>226</v>
      </c>
      <c r="BM117" t="s">
        <v>2543</v>
      </c>
      <c r="BN117" t="s">
        <v>74</v>
      </c>
      <c r="BO117" t="s">
        <v>2544</v>
      </c>
      <c r="BP117" t="s">
        <v>74</v>
      </c>
      <c r="BQ117" t="s">
        <v>74</v>
      </c>
      <c r="BR117" t="s">
        <v>93</v>
      </c>
      <c r="BS117" t="s">
        <v>2545</v>
      </c>
      <c r="BT117" t="str">
        <f>HYPERLINK("https%3A%2F%2Fwww.webofscience.com%2Fwos%2Fwoscc%2Ffull-record%2FWOS:000348220100013","View Full Record in Web of Science")</f>
        <v>View Full Record in Web of Science</v>
      </c>
    </row>
    <row r="118" spans="1:72" x14ac:dyDescent="0.15">
      <c r="A118" t="s">
        <v>72</v>
      </c>
      <c r="B118" t="s">
        <v>2546</v>
      </c>
      <c r="C118" t="s">
        <v>74</v>
      </c>
      <c r="D118" t="s">
        <v>74</v>
      </c>
      <c r="E118" t="s">
        <v>74</v>
      </c>
      <c r="F118" t="s">
        <v>2547</v>
      </c>
      <c r="G118" t="s">
        <v>74</v>
      </c>
      <c r="H118" t="s">
        <v>74</v>
      </c>
      <c r="I118" t="s">
        <v>2548</v>
      </c>
      <c r="J118" t="s">
        <v>2549</v>
      </c>
      <c r="K118" t="s">
        <v>74</v>
      </c>
      <c r="L118" t="s">
        <v>74</v>
      </c>
      <c r="M118" t="s">
        <v>78</v>
      </c>
      <c r="N118" t="s">
        <v>99</v>
      </c>
      <c r="O118" t="s">
        <v>74</v>
      </c>
      <c r="P118" t="s">
        <v>74</v>
      </c>
      <c r="Q118" t="s">
        <v>74</v>
      </c>
      <c r="R118" t="s">
        <v>74</v>
      </c>
      <c r="S118" t="s">
        <v>74</v>
      </c>
      <c r="T118" t="s">
        <v>2550</v>
      </c>
      <c r="U118" t="s">
        <v>2551</v>
      </c>
      <c r="V118" t="s">
        <v>2552</v>
      </c>
      <c r="W118" t="s">
        <v>2553</v>
      </c>
      <c r="X118" t="s">
        <v>2554</v>
      </c>
      <c r="Y118" t="s">
        <v>2555</v>
      </c>
      <c r="Z118" t="s">
        <v>2556</v>
      </c>
      <c r="AA118" t="s">
        <v>74</v>
      </c>
      <c r="AB118" t="s">
        <v>2557</v>
      </c>
      <c r="AC118" t="s">
        <v>2558</v>
      </c>
      <c r="AD118" t="s">
        <v>2559</v>
      </c>
      <c r="AE118" t="s">
        <v>2560</v>
      </c>
      <c r="AF118" t="s">
        <v>74</v>
      </c>
      <c r="AG118">
        <v>55</v>
      </c>
      <c r="AH118">
        <v>18</v>
      </c>
      <c r="AI118">
        <v>18</v>
      </c>
      <c r="AJ118">
        <v>0</v>
      </c>
      <c r="AK118">
        <v>16</v>
      </c>
      <c r="AL118" t="s">
        <v>2006</v>
      </c>
      <c r="AM118" t="s">
        <v>2007</v>
      </c>
      <c r="AN118" t="s">
        <v>2008</v>
      </c>
      <c r="AO118" t="s">
        <v>2561</v>
      </c>
      <c r="AP118" t="s">
        <v>2562</v>
      </c>
      <c r="AQ118" t="s">
        <v>74</v>
      </c>
      <c r="AR118" t="s">
        <v>2563</v>
      </c>
      <c r="AS118" t="s">
        <v>2564</v>
      </c>
      <c r="AT118" t="s">
        <v>200</v>
      </c>
      <c r="AU118">
        <v>2015</v>
      </c>
      <c r="AV118">
        <v>30</v>
      </c>
      <c r="AW118">
        <v>1</v>
      </c>
      <c r="AX118" t="s">
        <v>74</v>
      </c>
      <c r="AY118" t="s">
        <v>74</v>
      </c>
      <c r="AZ118" t="s">
        <v>74</v>
      </c>
      <c r="BA118" t="s">
        <v>74</v>
      </c>
      <c r="BB118">
        <v>79</v>
      </c>
      <c r="BC118">
        <v>87</v>
      </c>
      <c r="BD118" t="s">
        <v>74</v>
      </c>
      <c r="BE118" t="s">
        <v>2565</v>
      </c>
      <c r="BF118" t="str">
        <f>HYPERLINK("http://dx.doi.org/10.1002/jqs.2760","http://dx.doi.org/10.1002/jqs.2760")</f>
        <v>http://dx.doi.org/10.1002/jqs.2760</v>
      </c>
      <c r="BG118" t="s">
        <v>74</v>
      </c>
      <c r="BH118" t="s">
        <v>74</v>
      </c>
      <c r="BI118">
        <v>9</v>
      </c>
      <c r="BJ118" t="s">
        <v>372</v>
      </c>
      <c r="BK118" t="s">
        <v>91</v>
      </c>
      <c r="BL118" t="s">
        <v>373</v>
      </c>
      <c r="BM118" t="s">
        <v>2566</v>
      </c>
      <c r="BN118" t="s">
        <v>74</v>
      </c>
      <c r="BO118" t="s">
        <v>74</v>
      </c>
      <c r="BP118" t="s">
        <v>74</v>
      </c>
      <c r="BQ118" t="s">
        <v>74</v>
      </c>
      <c r="BR118" t="s">
        <v>93</v>
      </c>
      <c r="BS118" t="s">
        <v>2567</v>
      </c>
      <c r="BT118" t="str">
        <f>HYPERLINK("https%3A%2F%2Fwww.webofscience.com%2Fwos%2Fwoscc%2Ffull-record%2FWOS:000348721100009","View Full Record in Web of Science")</f>
        <v>View Full Record in Web of Science</v>
      </c>
    </row>
    <row r="119" spans="1:72" x14ac:dyDescent="0.15">
      <c r="A119" t="s">
        <v>72</v>
      </c>
      <c r="B119" t="s">
        <v>2568</v>
      </c>
      <c r="C119" t="s">
        <v>74</v>
      </c>
      <c r="D119" t="s">
        <v>74</v>
      </c>
      <c r="E119" t="s">
        <v>74</v>
      </c>
      <c r="F119" t="s">
        <v>2569</v>
      </c>
      <c r="G119" t="s">
        <v>74</v>
      </c>
      <c r="H119" t="s">
        <v>74</v>
      </c>
      <c r="I119" t="s">
        <v>2570</v>
      </c>
      <c r="J119" t="s">
        <v>2571</v>
      </c>
      <c r="K119" t="s">
        <v>74</v>
      </c>
      <c r="L119" t="s">
        <v>74</v>
      </c>
      <c r="M119" t="s">
        <v>78</v>
      </c>
      <c r="N119" t="s">
        <v>99</v>
      </c>
      <c r="O119" t="s">
        <v>74</v>
      </c>
      <c r="P119" t="s">
        <v>74</v>
      </c>
      <c r="Q119" t="s">
        <v>74</v>
      </c>
      <c r="R119" t="s">
        <v>74</v>
      </c>
      <c r="S119" t="s">
        <v>74</v>
      </c>
      <c r="T119" t="s">
        <v>74</v>
      </c>
      <c r="U119" t="s">
        <v>2572</v>
      </c>
      <c r="V119" t="s">
        <v>2573</v>
      </c>
      <c r="W119" t="s">
        <v>2574</v>
      </c>
      <c r="X119" t="s">
        <v>2575</v>
      </c>
      <c r="Y119" t="s">
        <v>2576</v>
      </c>
      <c r="Z119" t="s">
        <v>2577</v>
      </c>
      <c r="AA119" t="s">
        <v>2578</v>
      </c>
      <c r="AB119" t="s">
        <v>2579</v>
      </c>
      <c r="AC119" t="s">
        <v>2580</v>
      </c>
      <c r="AD119" t="s">
        <v>2581</v>
      </c>
      <c r="AE119" t="s">
        <v>2582</v>
      </c>
      <c r="AF119" t="s">
        <v>74</v>
      </c>
      <c r="AG119">
        <v>49</v>
      </c>
      <c r="AH119">
        <v>12</v>
      </c>
      <c r="AI119">
        <v>12</v>
      </c>
      <c r="AJ119">
        <v>2</v>
      </c>
      <c r="AK119">
        <v>22</v>
      </c>
      <c r="AL119" t="s">
        <v>2583</v>
      </c>
      <c r="AM119" t="s">
        <v>2584</v>
      </c>
      <c r="AN119" t="s">
        <v>2585</v>
      </c>
      <c r="AO119" t="s">
        <v>2586</v>
      </c>
      <c r="AP119" t="s">
        <v>2587</v>
      </c>
      <c r="AQ119" t="s">
        <v>74</v>
      </c>
      <c r="AR119" t="s">
        <v>2588</v>
      </c>
      <c r="AS119" t="s">
        <v>2589</v>
      </c>
      <c r="AT119" t="s">
        <v>200</v>
      </c>
      <c r="AU119">
        <v>2015</v>
      </c>
      <c r="AV119">
        <v>137</v>
      </c>
      <c r="AW119">
        <v>1</v>
      </c>
      <c r="AX119" t="s">
        <v>74</v>
      </c>
      <c r="AY119" t="s">
        <v>74</v>
      </c>
      <c r="AZ119" t="s">
        <v>74</v>
      </c>
      <c r="BA119" t="s">
        <v>74</v>
      </c>
      <c r="BB119">
        <v>53</v>
      </c>
      <c r="BC119">
        <v>62</v>
      </c>
      <c r="BD119" t="s">
        <v>74</v>
      </c>
      <c r="BE119" t="s">
        <v>2590</v>
      </c>
      <c r="BF119" t="str">
        <f>HYPERLINK("http://dx.doi.org/10.1121/1.4904556","http://dx.doi.org/10.1121/1.4904556")</f>
        <v>http://dx.doi.org/10.1121/1.4904556</v>
      </c>
      <c r="BG119" t="s">
        <v>74</v>
      </c>
      <c r="BH119" t="s">
        <v>74</v>
      </c>
      <c r="BI119">
        <v>10</v>
      </c>
      <c r="BJ119" t="s">
        <v>2591</v>
      </c>
      <c r="BK119" t="s">
        <v>91</v>
      </c>
      <c r="BL119" t="s">
        <v>2591</v>
      </c>
      <c r="BM119" t="s">
        <v>2592</v>
      </c>
      <c r="BN119">
        <v>25618038</v>
      </c>
      <c r="BO119" t="s">
        <v>74</v>
      </c>
      <c r="BP119" t="s">
        <v>74</v>
      </c>
      <c r="BQ119" t="s">
        <v>74</v>
      </c>
      <c r="BR119" t="s">
        <v>93</v>
      </c>
      <c r="BS119" t="s">
        <v>2593</v>
      </c>
      <c r="BT119" t="str">
        <f>HYPERLINK("https%3A%2F%2Fwww.webofscience.com%2Fwos%2Fwoscc%2Ffull-record%2FWOS:000348369000026","View Full Record in Web of Science")</f>
        <v>View Full Record in Web of Science</v>
      </c>
    </row>
    <row r="120" spans="1:72" x14ac:dyDescent="0.15">
      <c r="A120" t="s">
        <v>72</v>
      </c>
      <c r="B120" t="s">
        <v>2594</v>
      </c>
      <c r="C120" t="s">
        <v>74</v>
      </c>
      <c r="D120" t="s">
        <v>74</v>
      </c>
      <c r="E120" t="s">
        <v>74</v>
      </c>
      <c r="F120" t="s">
        <v>2595</v>
      </c>
      <c r="G120" t="s">
        <v>74</v>
      </c>
      <c r="H120" t="s">
        <v>74</v>
      </c>
      <c r="I120" t="s">
        <v>2596</v>
      </c>
      <c r="J120" t="s">
        <v>480</v>
      </c>
      <c r="K120" t="s">
        <v>74</v>
      </c>
      <c r="L120" t="s">
        <v>74</v>
      </c>
      <c r="M120" t="s">
        <v>78</v>
      </c>
      <c r="N120" t="s">
        <v>99</v>
      </c>
      <c r="O120" t="s">
        <v>74</v>
      </c>
      <c r="P120" t="s">
        <v>74</v>
      </c>
      <c r="Q120" t="s">
        <v>74</v>
      </c>
      <c r="R120" t="s">
        <v>74</v>
      </c>
      <c r="S120" t="s">
        <v>74</v>
      </c>
      <c r="T120" t="s">
        <v>74</v>
      </c>
      <c r="U120" t="s">
        <v>2597</v>
      </c>
      <c r="V120" t="s">
        <v>2598</v>
      </c>
      <c r="W120" t="s">
        <v>2599</v>
      </c>
      <c r="X120" t="s">
        <v>2600</v>
      </c>
      <c r="Y120" t="s">
        <v>2601</v>
      </c>
      <c r="Z120" t="s">
        <v>2602</v>
      </c>
      <c r="AA120" t="s">
        <v>74</v>
      </c>
      <c r="AB120" t="s">
        <v>2603</v>
      </c>
      <c r="AC120" t="s">
        <v>74</v>
      </c>
      <c r="AD120" t="s">
        <v>74</v>
      </c>
      <c r="AE120" t="s">
        <v>74</v>
      </c>
      <c r="AF120" t="s">
        <v>74</v>
      </c>
      <c r="AG120">
        <v>51</v>
      </c>
      <c r="AH120">
        <v>21</v>
      </c>
      <c r="AI120">
        <v>21</v>
      </c>
      <c r="AJ120">
        <v>1</v>
      </c>
      <c r="AK120">
        <v>38</v>
      </c>
      <c r="AL120" t="s">
        <v>244</v>
      </c>
      <c r="AM120" t="s">
        <v>245</v>
      </c>
      <c r="AN120" t="s">
        <v>246</v>
      </c>
      <c r="AO120" t="s">
        <v>492</v>
      </c>
      <c r="AP120" t="s">
        <v>493</v>
      </c>
      <c r="AQ120" t="s">
        <v>74</v>
      </c>
      <c r="AR120" t="s">
        <v>494</v>
      </c>
      <c r="AS120" t="s">
        <v>495</v>
      </c>
      <c r="AT120" t="s">
        <v>74</v>
      </c>
      <c r="AU120">
        <v>2015</v>
      </c>
      <c r="AV120">
        <v>15</v>
      </c>
      <c r="AW120">
        <v>1</v>
      </c>
      <c r="AX120" t="s">
        <v>74</v>
      </c>
      <c r="AY120" t="s">
        <v>74</v>
      </c>
      <c r="AZ120" t="s">
        <v>74</v>
      </c>
      <c r="BA120" t="s">
        <v>74</v>
      </c>
      <c r="BB120">
        <v>79</v>
      </c>
      <c r="BC120">
        <v>97</v>
      </c>
      <c r="BD120" t="s">
        <v>74</v>
      </c>
      <c r="BE120" t="s">
        <v>2604</v>
      </c>
      <c r="BF120" t="str">
        <f>HYPERLINK("http://dx.doi.org/10.5194/acp-15-79-2015","http://dx.doi.org/10.5194/acp-15-79-2015")</f>
        <v>http://dx.doi.org/10.5194/acp-15-79-2015</v>
      </c>
      <c r="BG120" t="s">
        <v>74</v>
      </c>
      <c r="BH120" t="s">
        <v>74</v>
      </c>
      <c r="BI120">
        <v>19</v>
      </c>
      <c r="BJ120" t="s">
        <v>497</v>
      </c>
      <c r="BK120" t="s">
        <v>91</v>
      </c>
      <c r="BL120" t="s">
        <v>498</v>
      </c>
      <c r="BM120" t="s">
        <v>2605</v>
      </c>
      <c r="BN120" t="s">
        <v>74</v>
      </c>
      <c r="BO120" t="s">
        <v>1136</v>
      </c>
      <c r="BP120" t="s">
        <v>74</v>
      </c>
      <c r="BQ120" t="s">
        <v>74</v>
      </c>
      <c r="BR120" t="s">
        <v>93</v>
      </c>
      <c r="BS120" t="s">
        <v>2606</v>
      </c>
      <c r="BT120" t="str">
        <f>HYPERLINK("https%3A%2F%2Fwww.webofscience.com%2Fwos%2Fwoscc%2Ffull-record%2FWOS:000347958200006","View Full Record in Web of Science")</f>
        <v>View Full Record in Web of Science</v>
      </c>
    </row>
    <row r="121" spans="1:72" x14ac:dyDescent="0.15">
      <c r="A121" t="s">
        <v>72</v>
      </c>
      <c r="B121" t="s">
        <v>2607</v>
      </c>
      <c r="C121" t="s">
        <v>74</v>
      </c>
      <c r="D121" t="s">
        <v>74</v>
      </c>
      <c r="E121" t="s">
        <v>74</v>
      </c>
      <c r="F121" t="s">
        <v>2608</v>
      </c>
      <c r="G121" t="s">
        <v>74</v>
      </c>
      <c r="H121" t="s">
        <v>74</v>
      </c>
      <c r="I121" t="s">
        <v>2609</v>
      </c>
      <c r="J121" t="s">
        <v>597</v>
      </c>
      <c r="K121" t="s">
        <v>74</v>
      </c>
      <c r="L121" t="s">
        <v>74</v>
      </c>
      <c r="M121" t="s">
        <v>78</v>
      </c>
      <c r="N121" t="s">
        <v>99</v>
      </c>
      <c r="O121" t="s">
        <v>74</v>
      </c>
      <c r="P121" t="s">
        <v>74</v>
      </c>
      <c r="Q121" t="s">
        <v>74</v>
      </c>
      <c r="R121" t="s">
        <v>74</v>
      </c>
      <c r="S121" t="s">
        <v>74</v>
      </c>
      <c r="T121" t="s">
        <v>74</v>
      </c>
      <c r="U121" t="s">
        <v>2610</v>
      </c>
      <c r="V121" t="s">
        <v>2611</v>
      </c>
      <c r="W121" t="s">
        <v>2612</v>
      </c>
      <c r="X121" t="s">
        <v>2613</v>
      </c>
      <c r="Y121" t="s">
        <v>2614</v>
      </c>
      <c r="Z121" t="s">
        <v>2615</v>
      </c>
      <c r="AA121" t="s">
        <v>2616</v>
      </c>
      <c r="AB121" t="s">
        <v>2617</v>
      </c>
      <c r="AC121" t="s">
        <v>2618</v>
      </c>
      <c r="AD121" t="s">
        <v>2619</v>
      </c>
      <c r="AE121" t="s">
        <v>2620</v>
      </c>
      <c r="AF121" t="s">
        <v>74</v>
      </c>
      <c r="AG121">
        <v>70</v>
      </c>
      <c r="AH121">
        <v>12</v>
      </c>
      <c r="AI121">
        <v>13</v>
      </c>
      <c r="AJ121">
        <v>0</v>
      </c>
      <c r="AK121">
        <v>37</v>
      </c>
      <c r="AL121" t="s">
        <v>244</v>
      </c>
      <c r="AM121" t="s">
        <v>245</v>
      </c>
      <c r="AN121" t="s">
        <v>246</v>
      </c>
      <c r="AO121" t="s">
        <v>609</v>
      </c>
      <c r="AP121" t="s">
        <v>610</v>
      </c>
      <c r="AQ121" t="s">
        <v>74</v>
      </c>
      <c r="AR121" t="s">
        <v>597</v>
      </c>
      <c r="AS121" t="s">
        <v>611</v>
      </c>
      <c r="AT121" t="s">
        <v>74</v>
      </c>
      <c r="AU121">
        <v>2015</v>
      </c>
      <c r="AV121">
        <v>12</v>
      </c>
      <c r="AW121">
        <v>1</v>
      </c>
      <c r="AX121" t="s">
        <v>74</v>
      </c>
      <c r="AY121" t="s">
        <v>74</v>
      </c>
      <c r="AZ121" t="s">
        <v>74</v>
      </c>
      <c r="BA121" t="s">
        <v>74</v>
      </c>
      <c r="BB121">
        <v>1</v>
      </c>
      <c r="BC121">
        <v>14</v>
      </c>
      <c r="BD121" t="s">
        <v>74</v>
      </c>
      <c r="BE121" t="s">
        <v>2621</v>
      </c>
      <c r="BF121" t="str">
        <f>HYPERLINK("http://dx.doi.org/10.5194/bg-12-1-2015","http://dx.doi.org/10.5194/bg-12-1-2015")</f>
        <v>http://dx.doi.org/10.5194/bg-12-1-2015</v>
      </c>
      <c r="BG121" t="s">
        <v>74</v>
      </c>
      <c r="BH121" t="s">
        <v>74</v>
      </c>
      <c r="BI121">
        <v>14</v>
      </c>
      <c r="BJ121" t="s">
        <v>613</v>
      </c>
      <c r="BK121" t="s">
        <v>91</v>
      </c>
      <c r="BL121" t="s">
        <v>614</v>
      </c>
      <c r="BM121" t="s">
        <v>2622</v>
      </c>
      <c r="BN121" t="s">
        <v>74</v>
      </c>
      <c r="BO121" t="s">
        <v>255</v>
      </c>
      <c r="BP121" t="s">
        <v>74</v>
      </c>
      <c r="BQ121" t="s">
        <v>74</v>
      </c>
      <c r="BR121" t="s">
        <v>93</v>
      </c>
      <c r="BS121" t="s">
        <v>2623</v>
      </c>
      <c r="BT121" t="str">
        <f>HYPERLINK("https%3A%2F%2Fwww.webofscience.com%2Fwos%2Fwoscc%2Ffull-record%2FWOS:000347960800001","View Full Record in Web of Science")</f>
        <v>View Full Record in Web of Science</v>
      </c>
    </row>
    <row r="122" spans="1:72" x14ac:dyDescent="0.15">
      <c r="A122" t="s">
        <v>72</v>
      </c>
      <c r="B122" t="s">
        <v>2624</v>
      </c>
      <c r="C122" t="s">
        <v>74</v>
      </c>
      <c r="D122" t="s">
        <v>74</v>
      </c>
      <c r="E122" t="s">
        <v>74</v>
      </c>
      <c r="F122" t="s">
        <v>2625</v>
      </c>
      <c r="G122" t="s">
        <v>74</v>
      </c>
      <c r="H122" t="s">
        <v>74</v>
      </c>
      <c r="I122" t="s">
        <v>2626</v>
      </c>
      <c r="J122" t="s">
        <v>2627</v>
      </c>
      <c r="K122" t="s">
        <v>74</v>
      </c>
      <c r="L122" t="s">
        <v>74</v>
      </c>
      <c r="M122" t="s">
        <v>78</v>
      </c>
      <c r="N122" t="s">
        <v>99</v>
      </c>
      <c r="O122" t="s">
        <v>74</v>
      </c>
      <c r="P122" t="s">
        <v>74</v>
      </c>
      <c r="Q122" t="s">
        <v>74</v>
      </c>
      <c r="R122" t="s">
        <v>74</v>
      </c>
      <c r="S122" t="s">
        <v>74</v>
      </c>
      <c r="T122" t="s">
        <v>2628</v>
      </c>
      <c r="U122" t="s">
        <v>2629</v>
      </c>
      <c r="V122" t="s">
        <v>2630</v>
      </c>
      <c r="W122" t="s">
        <v>2631</v>
      </c>
      <c r="X122" t="s">
        <v>2632</v>
      </c>
      <c r="Y122" t="s">
        <v>2633</v>
      </c>
      <c r="Z122" t="s">
        <v>2634</v>
      </c>
      <c r="AA122" t="s">
        <v>2635</v>
      </c>
      <c r="AB122" t="s">
        <v>2636</v>
      </c>
      <c r="AC122" t="s">
        <v>2637</v>
      </c>
      <c r="AD122" t="s">
        <v>2638</v>
      </c>
      <c r="AE122" t="s">
        <v>2639</v>
      </c>
      <c r="AF122" t="s">
        <v>74</v>
      </c>
      <c r="AG122">
        <v>233</v>
      </c>
      <c r="AH122">
        <v>65</v>
      </c>
      <c r="AI122">
        <v>69</v>
      </c>
      <c r="AJ122">
        <v>0</v>
      </c>
      <c r="AK122">
        <v>110</v>
      </c>
      <c r="AL122" t="s">
        <v>2640</v>
      </c>
      <c r="AM122" t="s">
        <v>1176</v>
      </c>
      <c r="AN122" t="s">
        <v>2641</v>
      </c>
      <c r="AO122" t="s">
        <v>2642</v>
      </c>
      <c r="AP122" t="s">
        <v>2643</v>
      </c>
      <c r="AQ122" t="s">
        <v>74</v>
      </c>
      <c r="AR122" t="s">
        <v>2644</v>
      </c>
      <c r="AS122" t="s">
        <v>2645</v>
      </c>
      <c r="AT122" t="s">
        <v>200</v>
      </c>
      <c r="AU122">
        <v>2015</v>
      </c>
      <c r="AV122">
        <v>140</v>
      </c>
      <c r="AW122" t="s">
        <v>74</v>
      </c>
      <c r="AX122" t="s">
        <v>74</v>
      </c>
      <c r="AY122" t="s">
        <v>74</v>
      </c>
      <c r="AZ122" t="s">
        <v>74</v>
      </c>
      <c r="BA122" t="s">
        <v>74</v>
      </c>
      <c r="BB122">
        <v>72</v>
      </c>
      <c r="BC122">
        <v>107</v>
      </c>
      <c r="BD122" t="s">
        <v>74</v>
      </c>
      <c r="BE122" t="s">
        <v>2646</v>
      </c>
      <c r="BF122" t="str">
        <f>HYPERLINK("http://dx.doi.org/10.1016/j.earscirev.2014.10.008","http://dx.doi.org/10.1016/j.earscirev.2014.10.008")</f>
        <v>http://dx.doi.org/10.1016/j.earscirev.2014.10.008</v>
      </c>
      <c r="BG122" t="s">
        <v>74</v>
      </c>
      <c r="BH122" t="s">
        <v>74</v>
      </c>
      <c r="BI122">
        <v>36</v>
      </c>
      <c r="BJ122" t="s">
        <v>1953</v>
      </c>
      <c r="BK122" t="s">
        <v>91</v>
      </c>
      <c r="BL122" t="s">
        <v>1954</v>
      </c>
      <c r="BM122" t="s">
        <v>2647</v>
      </c>
      <c r="BN122" t="s">
        <v>74</v>
      </c>
      <c r="BO122" t="s">
        <v>2648</v>
      </c>
      <c r="BP122" t="s">
        <v>74</v>
      </c>
      <c r="BQ122" t="s">
        <v>74</v>
      </c>
      <c r="BR122" t="s">
        <v>93</v>
      </c>
      <c r="BS122" t="s">
        <v>2649</v>
      </c>
      <c r="BT122" t="str">
        <f>HYPERLINK("https%3A%2F%2Fwww.webofscience.com%2Fwos%2Fwoscc%2Ffull-record%2FWOS:000347863500005","View Full Record in Web of Science")</f>
        <v>View Full Record in Web of Science</v>
      </c>
    </row>
    <row r="123" spans="1:72" x14ac:dyDescent="0.15">
      <c r="A123" t="s">
        <v>72</v>
      </c>
      <c r="B123" t="s">
        <v>2650</v>
      </c>
      <c r="C123" t="s">
        <v>74</v>
      </c>
      <c r="D123" t="s">
        <v>74</v>
      </c>
      <c r="E123" t="s">
        <v>74</v>
      </c>
      <c r="F123" t="s">
        <v>2651</v>
      </c>
      <c r="G123" t="s">
        <v>74</v>
      </c>
      <c r="H123" t="s">
        <v>74</v>
      </c>
      <c r="I123" t="s">
        <v>2652</v>
      </c>
      <c r="J123" t="s">
        <v>2653</v>
      </c>
      <c r="K123" t="s">
        <v>74</v>
      </c>
      <c r="L123" t="s">
        <v>74</v>
      </c>
      <c r="M123" t="s">
        <v>78</v>
      </c>
      <c r="N123" t="s">
        <v>99</v>
      </c>
      <c r="O123" t="s">
        <v>74</v>
      </c>
      <c r="P123" t="s">
        <v>74</v>
      </c>
      <c r="Q123" t="s">
        <v>74</v>
      </c>
      <c r="R123" t="s">
        <v>74</v>
      </c>
      <c r="S123" t="s">
        <v>74</v>
      </c>
      <c r="T123" t="s">
        <v>2654</v>
      </c>
      <c r="U123" t="s">
        <v>2655</v>
      </c>
      <c r="V123" t="s">
        <v>2656</v>
      </c>
      <c r="W123" t="s">
        <v>2657</v>
      </c>
      <c r="X123" t="s">
        <v>2658</v>
      </c>
      <c r="Y123" t="s">
        <v>2659</v>
      </c>
      <c r="Z123" t="s">
        <v>2660</v>
      </c>
      <c r="AA123" t="s">
        <v>2661</v>
      </c>
      <c r="AB123" t="s">
        <v>2662</v>
      </c>
      <c r="AC123" t="s">
        <v>2663</v>
      </c>
      <c r="AD123" t="s">
        <v>2664</v>
      </c>
      <c r="AE123" t="s">
        <v>2665</v>
      </c>
      <c r="AF123" t="s">
        <v>74</v>
      </c>
      <c r="AG123">
        <v>79</v>
      </c>
      <c r="AH123">
        <v>5</v>
      </c>
      <c r="AI123">
        <v>5</v>
      </c>
      <c r="AJ123">
        <v>2</v>
      </c>
      <c r="AK123">
        <v>36</v>
      </c>
      <c r="AL123" t="s">
        <v>2666</v>
      </c>
      <c r="AM123" t="s">
        <v>342</v>
      </c>
      <c r="AN123" t="s">
        <v>2667</v>
      </c>
      <c r="AO123" t="s">
        <v>2668</v>
      </c>
      <c r="AP123" t="s">
        <v>2669</v>
      </c>
      <c r="AQ123" t="s">
        <v>74</v>
      </c>
      <c r="AR123" t="s">
        <v>2670</v>
      </c>
      <c r="AS123" t="s">
        <v>2671</v>
      </c>
      <c r="AT123" t="s">
        <v>200</v>
      </c>
      <c r="AU123">
        <v>2015</v>
      </c>
      <c r="AV123">
        <v>38</v>
      </c>
      <c r="AW123">
        <v>1</v>
      </c>
      <c r="AX123" t="s">
        <v>74</v>
      </c>
      <c r="AY123" t="s">
        <v>74</v>
      </c>
      <c r="AZ123" t="s">
        <v>74</v>
      </c>
      <c r="BA123" t="s">
        <v>74</v>
      </c>
      <c r="BB123">
        <v>24</v>
      </c>
      <c r="BC123">
        <v>34</v>
      </c>
      <c r="BD123" t="s">
        <v>74</v>
      </c>
      <c r="BE123" t="s">
        <v>2672</v>
      </c>
      <c r="BF123" t="str">
        <f>HYPERLINK("http://dx.doi.org/10.1007/s12237-014-9825-2","http://dx.doi.org/10.1007/s12237-014-9825-2")</f>
        <v>http://dx.doi.org/10.1007/s12237-014-9825-2</v>
      </c>
      <c r="BG123" t="s">
        <v>74</v>
      </c>
      <c r="BH123" t="s">
        <v>74</v>
      </c>
      <c r="BI123">
        <v>11</v>
      </c>
      <c r="BJ123" t="s">
        <v>2673</v>
      </c>
      <c r="BK123" t="s">
        <v>91</v>
      </c>
      <c r="BL123" t="s">
        <v>2674</v>
      </c>
      <c r="BM123" t="s">
        <v>2675</v>
      </c>
      <c r="BN123" t="s">
        <v>74</v>
      </c>
      <c r="BO123" t="s">
        <v>74</v>
      </c>
      <c r="BP123" t="s">
        <v>74</v>
      </c>
      <c r="BQ123" t="s">
        <v>74</v>
      </c>
      <c r="BR123" t="s">
        <v>93</v>
      </c>
      <c r="BS123" t="s">
        <v>2676</v>
      </c>
      <c r="BT123" t="str">
        <f>HYPERLINK("https%3A%2F%2Fwww.webofscience.com%2Fwos%2Fwoscc%2Ffull-record%2FWOS:000347680300003","View Full Record in Web of Science")</f>
        <v>View Full Record in Web of Science</v>
      </c>
    </row>
    <row r="124" spans="1:72" x14ac:dyDescent="0.15">
      <c r="A124" t="s">
        <v>72</v>
      </c>
      <c r="B124" t="s">
        <v>2677</v>
      </c>
      <c r="C124" t="s">
        <v>74</v>
      </c>
      <c r="D124" t="s">
        <v>74</v>
      </c>
      <c r="E124" t="s">
        <v>74</v>
      </c>
      <c r="F124" t="s">
        <v>2678</v>
      </c>
      <c r="G124" t="s">
        <v>74</v>
      </c>
      <c r="H124" t="s">
        <v>74</v>
      </c>
      <c r="I124" t="s">
        <v>2679</v>
      </c>
      <c r="J124" t="s">
        <v>2680</v>
      </c>
      <c r="K124" t="s">
        <v>74</v>
      </c>
      <c r="L124" t="s">
        <v>74</v>
      </c>
      <c r="M124" t="s">
        <v>78</v>
      </c>
      <c r="N124" t="s">
        <v>99</v>
      </c>
      <c r="O124" t="s">
        <v>74</v>
      </c>
      <c r="P124" t="s">
        <v>74</v>
      </c>
      <c r="Q124" t="s">
        <v>74</v>
      </c>
      <c r="R124" t="s">
        <v>74</v>
      </c>
      <c r="S124" t="s">
        <v>74</v>
      </c>
      <c r="T124" t="s">
        <v>2681</v>
      </c>
      <c r="U124" t="s">
        <v>2682</v>
      </c>
      <c r="V124" t="s">
        <v>2683</v>
      </c>
      <c r="W124" t="s">
        <v>2684</v>
      </c>
      <c r="X124" t="s">
        <v>2685</v>
      </c>
      <c r="Y124" t="s">
        <v>2686</v>
      </c>
      <c r="Z124" t="s">
        <v>2687</v>
      </c>
      <c r="AA124" t="s">
        <v>2688</v>
      </c>
      <c r="AB124" t="s">
        <v>2689</v>
      </c>
      <c r="AC124" t="s">
        <v>2690</v>
      </c>
      <c r="AD124" t="s">
        <v>2691</v>
      </c>
      <c r="AE124" t="s">
        <v>2692</v>
      </c>
      <c r="AF124" t="s">
        <v>74</v>
      </c>
      <c r="AG124">
        <v>171</v>
      </c>
      <c r="AH124">
        <v>25</v>
      </c>
      <c r="AI124">
        <v>27</v>
      </c>
      <c r="AJ124">
        <v>2</v>
      </c>
      <c r="AK124">
        <v>39</v>
      </c>
      <c r="AL124" t="s">
        <v>1895</v>
      </c>
      <c r="AM124" t="s">
        <v>1411</v>
      </c>
      <c r="AN124" t="s">
        <v>1896</v>
      </c>
      <c r="AO124" t="s">
        <v>2693</v>
      </c>
      <c r="AP124" t="s">
        <v>2694</v>
      </c>
      <c r="AQ124" t="s">
        <v>74</v>
      </c>
      <c r="AR124" t="s">
        <v>2695</v>
      </c>
      <c r="AS124" t="s">
        <v>2696</v>
      </c>
      <c r="AT124" t="s">
        <v>200</v>
      </c>
      <c r="AU124">
        <v>2015</v>
      </c>
      <c r="AV124">
        <v>56</v>
      </c>
      <c r="AW124">
        <v>1</v>
      </c>
      <c r="AX124" t="s">
        <v>74</v>
      </c>
      <c r="AY124" t="s">
        <v>74</v>
      </c>
      <c r="AZ124" t="s">
        <v>74</v>
      </c>
      <c r="BA124" t="s">
        <v>74</v>
      </c>
      <c r="BB124">
        <v>193</v>
      </c>
      <c r="BC124">
        <v>226</v>
      </c>
      <c r="BD124" t="s">
        <v>74</v>
      </c>
      <c r="BE124" t="s">
        <v>2697</v>
      </c>
      <c r="BF124" t="str">
        <f>HYPERLINK("http://dx.doi.org/10.1093/petrology/egu075","http://dx.doi.org/10.1093/petrology/egu075")</f>
        <v>http://dx.doi.org/10.1093/petrology/egu075</v>
      </c>
      <c r="BG124" t="s">
        <v>74</v>
      </c>
      <c r="BH124" t="s">
        <v>74</v>
      </c>
      <c r="BI124">
        <v>34</v>
      </c>
      <c r="BJ124" t="s">
        <v>1902</v>
      </c>
      <c r="BK124" t="s">
        <v>91</v>
      </c>
      <c r="BL124" t="s">
        <v>1902</v>
      </c>
      <c r="BM124" t="s">
        <v>2698</v>
      </c>
      <c r="BN124" t="s">
        <v>74</v>
      </c>
      <c r="BO124" t="s">
        <v>2699</v>
      </c>
      <c r="BP124" t="s">
        <v>74</v>
      </c>
      <c r="BQ124" t="s">
        <v>74</v>
      </c>
      <c r="BR124" t="s">
        <v>93</v>
      </c>
      <c r="BS124" t="s">
        <v>2700</v>
      </c>
      <c r="BT124" t="str">
        <f>HYPERLINK("https%3A%2F%2Fwww.webofscience.com%2Fwos%2Fwoscc%2Ffull-record%2FWOS:000348209800008","View Full Record in Web of Science")</f>
        <v>View Full Record in Web of Science</v>
      </c>
    </row>
    <row r="125" spans="1:72" x14ac:dyDescent="0.15">
      <c r="A125" t="s">
        <v>72</v>
      </c>
      <c r="B125" t="s">
        <v>2701</v>
      </c>
      <c r="C125" t="s">
        <v>74</v>
      </c>
      <c r="D125" t="s">
        <v>74</v>
      </c>
      <c r="E125" t="s">
        <v>74</v>
      </c>
      <c r="F125" t="s">
        <v>2702</v>
      </c>
      <c r="G125" t="s">
        <v>74</v>
      </c>
      <c r="H125" t="s">
        <v>74</v>
      </c>
      <c r="I125" t="s">
        <v>2703</v>
      </c>
      <c r="J125" t="s">
        <v>2704</v>
      </c>
      <c r="K125" t="s">
        <v>74</v>
      </c>
      <c r="L125" t="s">
        <v>74</v>
      </c>
      <c r="M125" t="s">
        <v>78</v>
      </c>
      <c r="N125" t="s">
        <v>99</v>
      </c>
      <c r="O125" t="s">
        <v>74</v>
      </c>
      <c r="P125" t="s">
        <v>74</v>
      </c>
      <c r="Q125" t="s">
        <v>74</v>
      </c>
      <c r="R125" t="s">
        <v>74</v>
      </c>
      <c r="S125" t="s">
        <v>74</v>
      </c>
      <c r="T125" t="s">
        <v>2705</v>
      </c>
      <c r="U125" t="s">
        <v>2706</v>
      </c>
      <c r="V125" t="s">
        <v>2707</v>
      </c>
      <c r="W125" t="s">
        <v>2708</v>
      </c>
      <c r="X125" t="s">
        <v>2709</v>
      </c>
      <c r="Y125" t="s">
        <v>2710</v>
      </c>
      <c r="Z125" t="s">
        <v>74</v>
      </c>
      <c r="AA125" t="s">
        <v>2711</v>
      </c>
      <c r="AB125" t="s">
        <v>2712</v>
      </c>
      <c r="AC125" t="s">
        <v>74</v>
      </c>
      <c r="AD125" t="s">
        <v>74</v>
      </c>
      <c r="AE125" t="s">
        <v>74</v>
      </c>
      <c r="AF125" t="s">
        <v>74</v>
      </c>
      <c r="AG125">
        <v>18</v>
      </c>
      <c r="AH125">
        <v>5</v>
      </c>
      <c r="AI125">
        <v>5</v>
      </c>
      <c r="AJ125">
        <v>0</v>
      </c>
      <c r="AK125">
        <v>57</v>
      </c>
      <c r="AL125" t="s">
        <v>2458</v>
      </c>
      <c r="AM125" t="s">
        <v>1411</v>
      </c>
      <c r="AN125" t="s">
        <v>2459</v>
      </c>
      <c r="AO125" t="s">
        <v>2713</v>
      </c>
      <c r="AP125" t="s">
        <v>2714</v>
      </c>
      <c r="AQ125" t="s">
        <v>74</v>
      </c>
      <c r="AR125" t="s">
        <v>2715</v>
      </c>
      <c r="AS125" t="s">
        <v>2716</v>
      </c>
      <c r="AT125" t="s">
        <v>200</v>
      </c>
      <c r="AU125">
        <v>2015</v>
      </c>
      <c r="AV125">
        <v>51</v>
      </c>
      <c r="AW125" t="s">
        <v>74</v>
      </c>
      <c r="AX125" t="s">
        <v>74</v>
      </c>
      <c r="AY125" t="s">
        <v>74</v>
      </c>
      <c r="AZ125" t="s">
        <v>74</v>
      </c>
      <c r="BA125" t="s">
        <v>74</v>
      </c>
      <c r="BB125">
        <v>148</v>
      </c>
      <c r="BC125">
        <v>150</v>
      </c>
      <c r="BD125" t="s">
        <v>74</v>
      </c>
      <c r="BE125" t="s">
        <v>2717</v>
      </c>
      <c r="BF125" t="str">
        <f>HYPERLINK("http://dx.doi.org/10.1016/j.marpol.2014.07.002","http://dx.doi.org/10.1016/j.marpol.2014.07.002")</f>
        <v>http://dx.doi.org/10.1016/j.marpol.2014.07.002</v>
      </c>
      <c r="BG125" t="s">
        <v>74</v>
      </c>
      <c r="BH125" t="s">
        <v>74</v>
      </c>
      <c r="BI125">
        <v>3</v>
      </c>
      <c r="BJ125" t="s">
        <v>2718</v>
      </c>
      <c r="BK125" t="s">
        <v>891</v>
      </c>
      <c r="BL125" t="s">
        <v>2719</v>
      </c>
      <c r="BM125" t="s">
        <v>2720</v>
      </c>
      <c r="BN125" t="s">
        <v>74</v>
      </c>
      <c r="BO125" t="s">
        <v>574</v>
      </c>
      <c r="BP125" t="s">
        <v>74</v>
      </c>
      <c r="BQ125" t="s">
        <v>74</v>
      </c>
      <c r="BR125" t="s">
        <v>93</v>
      </c>
      <c r="BS125" t="s">
        <v>2721</v>
      </c>
      <c r="BT125" t="str">
        <f>HYPERLINK("https%3A%2F%2Fwww.webofscience.com%2Fwos%2Fwoscc%2Ffull-record%2FWOS:000348003700017","View Full Record in Web of Science")</f>
        <v>View Full Record in Web of Science</v>
      </c>
    </row>
    <row r="126" spans="1:72" x14ac:dyDescent="0.15">
      <c r="A126" t="s">
        <v>72</v>
      </c>
      <c r="B126" t="s">
        <v>2722</v>
      </c>
      <c r="C126" t="s">
        <v>74</v>
      </c>
      <c r="D126" t="s">
        <v>74</v>
      </c>
      <c r="E126" t="s">
        <v>74</v>
      </c>
      <c r="F126" t="s">
        <v>2723</v>
      </c>
      <c r="G126" t="s">
        <v>74</v>
      </c>
      <c r="H126" t="s">
        <v>74</v>
      </c>
      <c r="I126" t="s">
        <v>2724</v>
      </c>
      <c r="J126" t="s">
        <v>2725</v>
      </c>
      <c r="K126" t="s">
        <v>74</v>
      </c>
      <c r="L126" t="s">
        <v>74</v>
      </c>
      <c r="M126" t="s">
        <v>78</v>
      </c>
      <c r="N126" t="s">
        <v>99</v>
      </c>
      <c r="O126" t="s">
        <v>74</v>
      </c>
      <c r="P126" t="s">
        <v>74</v>
      </c>
      <c r="Q126" t="s">
        <v>74</v>
      </c>
      <c r="R126" t="s">
        <v>74</v>
      </c>
      <c r="S126" t="s">
        <v>74</v>
      </c>
      <c r="T126" t="s">
        <v>2726</v>
      </c>
      <c r="U126" t="s">
        <v>2727</v>
      </c>
      <c r="V126" t="s">
        <v>2728</v>
      </c>
      <c r="W126" t="s">
        <v>2729</v>
      </c>
      <c r="X126" t="s">
        <v>2730</v>
      </c>
      <c r="Y126" t="s">
        <v>2731</v>
      </c>
      <c r="Z126" t="s">
        <v>2732</v>
      </c>
      <c r="AA126" t="s">
        <v>2733</v>
      </c>
      <c r="AB126" t="s">
        <v>2734</v>
      </c>
      <c r="AC126" t="s">
        <v>2735</v>
      </c>
      <c r="AD126" t="s">
        <v>2736</v>
      </c>
      <c r="AE126" t="s">
        <v>2737</v>
      </c>
      <c r="AF126" t="s">
        <v>74</v>
      </c>
      <c r="AG126">
        <v>37</v>
      </c>
      <c r="AH126">
        <v>13</v>
      </c>
      <c r="AI126">
        <v>13</v>
      </c>
      <c r="AJ126">
        <v>1</v>
      </c>
      <c r="AK126">
        <v>14</v>
      </c>
      <c r="AL126" t="s">
        <v>2439</v>
      </c>
      <c r="AM126" t="s">
        <v>1411</v>
      </c>
      <c r="AN126" t="s">
        <v>2440</v>
      </c>
      <c r="AO126" t="s">
        <v>2738</v>
      </c>
      <c r="AP126" t="s">
        <v>2739</v>
      </c>
      <c r="AQ126" t="s">
        <v>74</v>
      </c>
      <c r="AR126" t="s">
        <v>2740</v>
      </c>
      <c r="AS126" t="s">
        <v>2741</v>
      </c>
      <c r="AT126" t="s">
        <v>200</v>
      </c>
      <c r="AU126">
        <v>2015</v>
      </c>
      <c r="AV126">
        <v>101</v>
      </c>
      <c r="AW126" t="s">
        <v>74</v>
      </c>
      <c r="AX126" t="s">
        <v>74</v>
      </c>
      <c r="AY126" t="s">
        <v>74</v>
      </c>
      <c r="AZ126" t="s">
        <v>74</v>
      </c>
      <c r="BA126" t="s">
        <v>74</v>
      </c>
      <c r="BB126">
        <v>41</v>
      </c>
      <c r="BC126">
        <v>48</v>
      </c>
      <c r="BD126" t="s">
        <v>74</v>
      </c>
      <c r="BE126" t="s">
        <v>2742</v>
      </c>
      <c r="BF126" t="str">
        <f>HYPERLINK("http://dx.doi.org/10.1016/j.atmosenv.2014.11.019","http://dx.doi.org/10.1016/j.atmosenv.2014.11.019")</f>
        <v>http://dx.doi.org/10.1016/j.atmosenv.2014.11.019</v>
      </c>
      <c r="BG126" t="s">
        <v>74</v>
      </c>
      <c r="BH126" t="s">
        <v>74</v>
      </c>
      <c r="BI126">
        <v>8</v>
      </c>
      <c r="BJ126" t="s">
        <v>497</v>
      </c>
      <c r="BK126" t="s">
        <v>91</v>
      </c>
      <c r="BL126" t="s">
        <v>498</v>
      </c>
      <c r="BM126" t="s">
        <v>2743</v>
      </c>
      <c r="BN126" t="s">
        <v>74</v>
      </c>
      <c r="BO126" t="s">
        <v>2744</v>
      </c>
      <c r="BP126" t="s">
        <v>74</v>
      </c>
      <c r="BQ126" t="s">
        <v>74</v>
      </c>
      <c r="BR126" t="s">
        <v>93</v>
      </c>
      <c r="BS126" t="s">
        <v>2745</v>
      </c>
      <c r="BT126" t="str">
        <f>HYPERLINK("https%3A%2F%2Fwww.webofscience.com%2Fwos%2Fwoscc%2Ffull-record%2FWOS:000348017000005","View Full Record in Web of Science")</f>
        <v>View Full Record in Web of Science</v>
      </c>
    </row>
    <row r="127" spans="1:72" x14ac:dyDescent="0.15">
      <c r="A127" t="s">
        <v>72</v>
      </c>
      <c r="B127" t="s">
        <v>2746</v>
      </c>
      <c r="C127" t="s">
        <v>74</v>
      </c>
      <c r="D127" t="s">
        <v>74</v>
      </c>
      <c r="E127" t="s">
        <v>74</v>
      </c>
      <c r="F127" t="s">
        <v>2747</v>
      </c>
      <c r="G127" t="s">
        <v>74</v>
      </c>
      <c r="H127" t="s">
        <v>74</v>
      </c>
      <c r="I127" t="s">
        <v>2748</v>
      </c>
      <c r="J127" t="s">
        <v>2749</v>
      </c>
      <c r="K127" t="s">
        <v>74</v>
      </c>
      <c r="L127" t="s">
        <v>74</v>
      </c>
      <c r="M127" t="s">
        <v>78</v>
      </c>
      <c r="N127" t="s">
        <v>99</v>
      </c>
      <c r="O127" t="s">
        <v>74</v>
      </c>
      <c r="P127" t="s">
        <v>74</v>
      </c>
      <c r="Q127" t="s">
        <v>74</v>
      </c>
      <c r="R127" t="s">
        <v>74</v>
      </c>
      <c r="S127" t="s">
        <v>74</v>
      </c>
      <c r="T127" t="s">
        <v>2750</v>
      </c>
      <c r="U127" t="s">
        <v>2751</v>
      </c>
      <c r="V127" t="s">
        <v>2752</v>
      </c>
      <c r="W127" t="s">
        <v>2753</v>
      </c>
      <c r="X127" t="s">
        <v>2754</v>
      </c>
      <c r="Y127" t="s">
        <v>2755</v>
      </c>
      <c r="Z127" t="s">
        <v>2756</v>
      </c>
      <c r="AA127" t="s">
        <v>74</v>
      </c>
      <c r="AB127" t="s">
        <v>2757</v>
      </c>
      <c r="AC127" t="s">
        <v>2758</v>
      </c>
      <c r="AD127" t="s">
        <v>2759</v>
      </c>
      <c r="AE127" t="s">
        <v>2760</v>
      </c>
      <c r="AF127" t="s">
        <v>74</v>
      </c>
      <c r="AG127">
        <v>166</v>
      </c>
      <c r="AH127">
        <v>2</v>
      </c>
      <c r="AI127">
        <v>2</v>
      </c>
      <c r="AJ127">
        <v>0</v>
      </c>
      <c r="AK127">
        <v>15</v>
      </c>
      <c r="AL127" t="s">
        <v>2666</v>
      </c>
      <c r="AM127" t="s">
        <v>342</v>
      </c>
      <c r="AN127" t="s">
        <v>2761</v>
      </c>
      <c r="AO127" t="s">
        <v>2762</v>
      </c>
      <c r="AP127" t="s">
        <v>2763</v>
      </c>
      <c r="AQ127" t="s">
        <v>74</v>
      </c>
      <c r="AR127" t="s">
        <v>2764</v>
      </c>
      <c r="AS127" t="s">
        <v>2765</v>
      </c>
      <c r="AT127" t="s">
        <v>200</v>
      </c>
      <c r="AU127">
        <v>2015</v>
      </c>
      <c r="AV127">
        <v>44</v>
      </c>
      <c r="AW127" t="s">
        <v>2766</v>
      </c>
      <c r="AX127" t="s">
        <v>74</v>
      </c>
      <c r="AY127" t="s">
        <v>74</v>
      </c>
      <c r="AZ127" t="s">
        <v>74</v>
      </c>
      <c r="BA127" t="s">
        <v>74</v>
      </c>
      <c r="BB127">
        <v>1</v>
      </c>
      <c r="BC127">
        <v>44</v>
      </c>
      <c r="BD127" t="s">
        <v>74</v>
      </c>
      <c r="BE127" t="s">
        <v>2767</v>
      </c>
      <c r="BF127" t="str">
        <f>HYPERLINK("http://dx.doi.org/10.1007/s00382-014-2263-9","http://dx.doi.org/10.1007/s00382-014-2263-9")</f>
        <v>http://dx.doi.org/10.1007/s00382-014-2263-9</v>
      </c>
      <c r="BG127" t="s">
        <v>74</v>
      </c>
      <c r="BH127" t="s">
        <v>74</v>
      </c>
      <c r="BI127">
        <v>44</v>
      </c>
      <c r="BJ127" t="s">
        <v>226</v>
      </c>
      <c r="BK127" t="s">
        <v>91</v>
      </c>
      <c r="BL127" t="s">
        <v>226</v>
      </c>
      <c r="BM127" t="s">
        <v>2768</v>
      </c>
      <c r="BN127" t="s">
        <v>74</v>
      </c>
      <c r="BO127" t="s">
        <v>74</v>
      </c>
      <c r="BP127" t="s">
        <v>74</v>
      </c>
      <c r="BQ127" t="s">
        <v>74</v>
      </c>
      <c r="BR127" t="s">
        <v>93</v>
      </c>
      <c r="BS127" t="s">
        <v>2769</v>
      </c>
      <c r="BT127" t="str">
        <f>HYPERLINK("https%3A%2F%2Fwww.webofscience.com%2Fwos%2Fwoscc%2Ffull-record%2FWOS:000347710400001","View Full Record in Web of Science")</f>
        <v>View Full Record in Web of Science</v>
      </c>
    </row>
    <row r="128" spans="1:72" x14ac:dyDescent="0.15">
      <c r="A128" t="s">
        <v>72</v>
      </c>
      <c r="B128" t="s">
        <v>2770</v>
      </c>
      <c r="C128" t="s">
        <v>74</v>
      </c>
      <c r="D128" t="s">
        <v>74</v>
      </c>
      <c r="E128" t="s">
        <v>74</v>
      </c>
      <c r="F128" t="s">
        <v>2771</v>
      </c>
      <c r="G128" t="s">
        <v>74</v>
      </c>
      <c r="H128" t="s">
        <v>74</v>
      </c>
      <c r="I128" t="s">
        <v>2772</v>
      </c>
      <c r="J128" t="s">
        <v>2773</v>
      </c>
      <c r="K128" t="s">
        <v>74</v>
      </c>
      <c r="L128" t="s">
        <v>74</v>
      </c>
      <c r="M128" t="s">
        <v>78</v>
      </c>
      <c r="N128" t="s">
        <v>99</v>
      </c>
      <c r="O128" t="s">
        <v>74</v>
      </c>
      <c r="P128" t="s">
        <v>74</v>
      </c>
      <c r="Q128" t="s">
        <v>74</v>
      </c>
      <c r="R128" t="s">
        <v>74</v>
      </c>
      <c r="S128" t="s">
        <v>74</v>
      </c>
      <c r="T128" t="s">
        <v>2774</v>
      </c>
      <c r="U128" t="s">
        <v>2775</v>
      </c>
      <c r="V128" t="s">
        <v>2776</v>
      </c>
      <c r="W128" t="s">
        <v>2777</v>
      </c>
      <c r="X128" t="s">
        <v>2778</v>
      </c>
      <c r="Y128" t="s">
        <v>2779</v>
      </c>
      <c r="Z128" t="s">
        <v>2780</v>
      </c>
      <c r="AA128" t="s">
        <v>2781</v>
      </c>
      <c r="AB128" t="s">
        <v>2782</v>
      </c>
      <c r="AC128" t="s">
        <v>2783</v>
      </c>
      <c r="AD128" t="s">
        <v>2784</v>
      </c>
      <c r="AE128" t="s">
        <v>2785</v>
      </c>
      <c r="AF128" t="s">
        <v>74</v>
      </c>
      <c r="AG128">
        <v>60</v>
      </c>
      <c r="AH128">
        <v>22</v>
      </c>
      <c r="AI128">
        <v>26</v>
      </c>
      <c r="AJ128">
        <v>2</v>
      </c>
      <c r="AK128">
        <v>40</v>
      </c>
      <c r="AL128" t="s">
        <v>2640</v>
      </c>
      <c r="AM128" t="s">
        <v>1176</v>
      </c>
      <c r="AN128" t="s">
        <v>2641</v>
      </c>
      <c r="AO128" t="s">
        <v>2786</v>
      </c>
      <c r="AP128" t="s">
        <v>2787</v>
      </c>
      <c r="AQ128" t="s">
        <v>74</v>
      </c>
      <c r="AR128" t="s">
        <v>2788</v>
      </c>
      <c r="AS128" t="s">
        <v>2789</v>
      </c>
      <c r="AT128" t="s">
        <v>2464</v>
      </c>
      <c r="AU128">
        <v>2015</v>
      </c>
      <c r="AV128">
        <v>409</v>
      </c>
      <c r="AW128" t="s">
        <v>74</v>
      </c>
      <c r="AX128" t="s">
        <v>74</v>
      </c>
      <c r="AY128" t="s">
        <v>74</v>
      </c>
      <c r="AZ128" t="s">
        <v>74</v>
      </c>
      <c r="BA128" t="s">
        <v>74</v>
      </c>
      <c r="BB128">
        <v>109</v>
      </c>
      <c r="BC128">
        <v>119</v>
      </c>
      <c r="BD128" t="s">
        <v>74</v>
      </c>
      <c r="BE128" t="s">
        <v>2790</v>
      </c>
      <c r="BF128" t="str">
        <f>HYPERLINK("http://dx.doi.org/10.1016/j.epsl.2014.10.037","http://dx.doi.org/10.1016/j.epsl.2014.10.037")</f>
        <v>http://dx.doi.org/10.1016/j.epsl.2014.10.037</v>
      </c>
      <c r="BG128" t="s">
        <v>74</v>
      </c>
      <c r="BH128" t="s">
        <v>74</v>
      </c>
      <c r="BI128">
        <v>11</v>
      </c>
      <c r="BJ128" t="s">
        <v>1902</v>
      </c>
      <c r="BK128" t="s">
        <v>91</v>
      </c>
      <c r="BL128" t="s">
        <v>1902</v>
      </c>
      <c r="BM128" t="s">
        <v>2791</v>
      </c>
      <c r="BN128" t="s">
        <v>74</v>
      </c>
      <c r="BO128" t="s">
        <v>74</v>
      </c>
      <c r="BP128" t="s">
        <v>74</v>
      </c>
      <c r="BQ128" t="s">
        <v>74</v>
      </c>
      <c r="BR128" t="s">
        <v>93</v>
      </c>
      <c r="BS128" t="s">
        <v>2792</v>
      </c>
      <c r="BT128" t="str">
        <f>HYPERLINK("https%3A%2F%2Fwww.webofscience.com%2Fwos%2Fwoscc%2Ffull-record%2FWOS:000347763500011","View Full Record in Web of Science")</f>
        <v>View Full Record in Web of Science</v>
      </c>
    </row>
    <row r="129" spans="1:72" x14ac:dyDescent="0.15">
      <c r="A129" t="s">
        <v>72</v>
      </c>
      <c r="B129" t="s">
        <v>2793</v>
      </c>
      <c r="C129" t="s">
        <v>74</v>
      </c>
      <c r="D129" t="s">
        <v>74</v>
      </c>
      <c r="E129" t="s">
        <v>74</v>
      </c>
      <c r="F129" t="s">
        <v>2794</v>
      </c>
      <c r="G129" t="s">
        <v>74</v>
      </c>
      <c r="H129" t="s">
        <v>74</v>
      </c>
      <c r="I129" t="s">
        <v>2795</v>
      </c>
      <c r="J129" t="s">
        <v>2773</v>
      </c>
      <c r="K129" t="s">
        <v>74</v>
      </c>
      <c r="L129" t="s">
        <v>74</v>
      </c>
      <c r="M129" t="s">
        <v>78</v>
      </c>
      <c r="N129" t="s">
        <v>99</v>
      </c>
      <c r="O129" t="s">
        <v>74</v>
      </c>
      <c r="P129" t="s">
        <v>74</v>
      </c>
      <c r="Q129" t="s">
        <v>74</v>
      </c>
      <c r="R129" t="s">
        <v>74</v>
      </c>
      <c r="S129" t="s">
        <v>74</v>
      </c>
      <c r="T129" t="s">
        <v>2796</v>
      </c>
      <c r="U129" t="s">
        <v>2797</v>
      </c>
      <c r="V129" t="s">
        <v>2798</v>
      </c>
      <c r="W129" t="s">
        <v>2799</v>
      </c>
      <c r="X129" t="s">
        <v>2800</v>
      </c>
      <c r="Y129" t="s">
        <v>2801</v>
      </c>
      <c r="Z129" t="s">
        <v>2802</v>
      </c>
      <c r="AA129" t="s">
        <v>2803</v>
      </c>
      <c r="AB129" t="s">
        <v>2804</v>
      </c>
      <c r="AC129" t="s">
        <v>2805</v>
      </c>
      <c r="AD129" t="s">
        <v>2806</v>
      </c>
      <c r="AE129" t="s">
        <v>2807</v>
      </c>
      <c r="AF129" t="s">
        <v>74</v>
      </c>
      <c r="AG129">
        <v>35</v>
      </c>
      <c r="AH129">
        <v>52</v>
      </c>
      <c r="AI129">
        <v>66</v>
      </c>
      <c r="AJ129">
        <v>1</v>
      </c>
      <c r="AK129">
        <v>30</v>
      </c>
      <c r="AL129" t="s">
        <v>2640</v>
      </c>
      <c r="AM129" t="s">
        <v>1176</v>
      </c>
      <c r="AN129" t="s">
        <v>2641</v>
      </c>
      <c r="AO129" t="s">
        <v>2786</v>
      </c>
      <c r="AP129" t="s">
        <v>2787</v>
      </c>
      <c r="AQ129" t="s">
        <v>74</v>
      </c>
      <c r="AR129" t="s">
        <v>2788</v>
      </c>
      <c r="AS129" t="s">
        <v>2789</v>
      </c>
      <c r="AT129" t="s">
        <v>2464</v>
      </c>
      <c r="AU129">
        <v>2015</v>
      </c>
      <c r="AV129">
        <v>409</v>
      </c>
      <c r="AW129" t="s">
        <v>74</v>
      </c>
      <c r="AX129" t="s">
        <v>74</v>
      </c>
      <c r="AY129" t="s">
        <v>74</v>
      </c>
      <c r="AZ129" t="s">
        <v>74</v>
      </c>
      <c r="BA129" t="s">
        <v>74</v>
      </c>
      <c r="BB129">
        <v>203</v>
      </c>
      <c r="BC129">
        <v>211</v>
      </c>
      <c r="BD129" t="s">
        <v>74</v>
      </c>
      <c r="BE129" t="s">
        <v>2808</v>
      </c>
      <c r="BF129" t="str">
        <f>HYPERLINK("http://dx.doi.org/10.1016/j.epsl.2014.11.003","http://dx.doi.org/10.1016/j.epsl.2014.11.003")</f>
        <v>http://dx.doi.org/10.1016/j.epsl.2014.11.003</v>
      </c>
      <c r="BG129" t="s">
        <v>74</v>
      </c>
      <c r="BH129" t="s">
        <v>74</v>
      </c>
      <c r="BI129">
        <v>9</v>
      </c>
      <c r="BJ129" t="s">
        <v>1902</v>
      </c>
      <c r="BK129" t="s">
        <v>91</v>
      </c>
      <c r="BL129" t="s">
        <v>1902</v>
      </c>
      <c r="BM129" t="s">
        <v>2791</v>
      </c>
      <c r="BN129" t="s">
        <v>74</v>
      </c>
      <c r="BO129" t="s">
        <v>74</v>
      </c>
      <c r="BP129" t="s">
        <v>74</v>
      </c>
      <c r="BQ129" t="s">
        <v>74</v>
      </c>
      <c r="BR129" t="s">
        <v>93</v>
      </c>
      <c r="BS129" t="s">
        <v>2809</v>
      </c>
      <c r="BT129" t="str">
        <f>HYPERLINK("https%3A%2F%2Fwww.webofscience.com%2Fwos%2Fwoscc%2Ffull-record%2FWOS:000347763500020","View Full Record in Web of Science")</f>
        <v>View Full Record in Web of Science</v>
      </c>
    </row>
    <row r="130" spans="1:72" x14ac:dyDescent="0.15">
      <c r="A130" t="s">
        <v>72</v>
      </c>
      <c r="B130" t="s">
        <v>2810</v>
      </c>
      <c r="C130" t="s">
        <v>74</v>
      </c>
      <c r="D130" t="s">
        <v>74</v>
      </c>
      <c r="E130" t="s">
        <v>74</v>
      </c>
      <c r="F130" t="s">
        <v>2811</v>
      </c>
      <c r="G130" t="s">
        <v>74</v>
      </c>
      <c r="H130" t="s">
        <v>74</v>
      </c>
      <c r="I130" t="s">
        <v>2812</v>
      </c>
      <c r="J130" t="s">
        <v>2813</v>
      </c>
      <c r="K130" t="s">
        <v>74</v>
      </c>
      <c r="L130" t="s">
        <v>74</v>
      </c>
      <c r="M130" t="s">
        <v>78</v>
      </c>
      <c r="N130" t="s">
        <v>1845</v>
      </c>
      <c r="O130" t="s">
        <v>2814</v>
      </c>
      <c r="P130" t="s">
        <v>2815</v>
      </c>
      <c r="Q130" t="s">
        <v>2816</v>
      </c>
      <c r="R130" t="s">
        <v>74</v>
      </c>
      <c r="S130" t="s">
        <v>2817</v>
      </c>
      <c r="T130" t="s">
        <v>2818</v>
      </c>
      <c r="U130" t="s">
        <v>2819</v>
      </c>
      <c r="V130" t="s">
        <v>2820</v>
      </c>
      <c r="W130" t="s">
        <v>2821</v>
      </c>
      <c r="X130" t="s">
        <v>2822</v>
      </c>
      <c r="Y130" t="s">
        <v>2823</v>
      </c>
      <c r="Z130" t="s">
        <v>2824</v>
      </c>
      <c r="AA130" t="s">
        <v>2825</v>
      </c>
      <c r="AB130" t="s">
        <v>2826</v>
      </c>
      <c r="AC130" t="s">
        <v>2827</v>
      </c>
      <c r="AD130" t="s">
        <v>2828</v>
      </c>
      <c r="AE130" t="s">
        <v>2829</v>
      </c>
      <c r="AF130" t="s">
        <v>74</v>
      </c>
      <c r="AG130">
        <v>128</v>
      </c>
      <c r="AH130">
        <v>13</v>
      </c>
      <c r="AI130">
        <v>13</v>
      </c>
      <c r="AJ130">
        <v>1</v>
      </c>
      <c r="AK130">
        <v>78</v>
      </c>
      <c r="AL130" t="s">
        <v>2006</v>
      </c>
      <c r="AM130" t="s">
        <v>2007</v>
      </c>
      <c r="AN130" t="s">
        <v>2008</v>
      </c>
      <c r="AO130" t="s">
        <v>2830</v>
      </c>
      <c r="AP130" t="s">
        <v>2831</v>
      </c>
      <c r="AQ130" t="s">
        <v>74</v>
      </c>
      <c r="AR130" t="s">
        <v>2832</v>
      </c>
      <c r="AS130" t="s">
        <v>2833</v>
      </c>
      <c r="AT130" t="s">
        <v>200</v>
      </c>
      <c r="AU130">
        <v>2015</v>
      </c>
      <c r="AV130">
        <v>10</v>
      </c>
      <c r="AW130">
        <v>1</v>
      </c>
      <c r="AX130" t="s">
        <v>74</v>
      </c>
      <c r="AY130" t="s">
        <v>74</v>
      </c>
      <c r="AZ130" t="s">
        <v>1437</v>
      </c>
      <c r="BA130" t="s">
        <v>74</v>
      </c>
      <c r="BB130">
        <v>65</v>
      </c>
      <c r="BC130">
        <v>82</v>
      </c>
      <c r="BD130" t="s">
        <v>74</v>
      </c>
      <c r="BE130" t="s">
        <v>2834</v>
      </c>
      <c r="BF130" t="str">
        <f>HYPERLINK("http://dx.doi.org/10.1111/1749-4877.12096","http://dx.doi.org/10.1111/1749-4877.12096")</f>
        <v>http://dx.doi.org/10.1111/1749-4877.12096</v>
      </c>
      <c r="BG130" t="s">
        <v>74</v>
      </c>
      <c r="BH130" t="s">
        <v>74</v>
      </c>
      <c r="BI130">
        <v>18</v>
      </c>
      <c r="BJ130" t="s">
        <v>423</v>
      </c>
      <c r="BK130" t="s">
        <v>1862</v>
      </c>
      <c r="BL130" t="s">
        <v>423</v>
      </c>
      <c r="BM130" t="s">
        <v>2835</v>
      </c>
      <c r="BN130">
        <v>24919722</v>
      </c>
      <c r="BO130" t="s">
        <v>2648</v>
      </c>
      <c r="BP130" t="s">
        <v>74</v>
      </c>
      <c r="BQ130" t="s">
        <v>74</v>
      </c>
      <c r="BR130" t="s">
        <v>93</v>
      </c>
      <c r="BS130" t="s">
        <v>2836</v>
      </c>
      <c r="BT130" t="str">
        <f>HYPERLINK("https%3A%2F%2Fwww.webofscience.com%2Fwos%2Fwoscc%2Ffull-record%2FWOS:000348062700006","View Full Record in Web of Science")</f>
        <v>View Full Record in Web of Science</v>
      </c>
    </row>
    <row r="131" spans="1:72" x14ac:dyDescent="0.15">
      <c r="A131" t="s">
        <v>72</v>
      </c>
      <c r="B131" t="s">
        <v>2837</v>
      </c>
      <c r="C131" t="s">
        <v>74</v>
      </c>
      <c r="D131" t="s">
        <v>74</v>
      </c>
      <c r="E131" t="s">
        <v>74</v>
      </c>
      <c r="F131" t="s">
        <v>2838</v>
      </c>
      <c r="G131" t="s">
        <v>74</v>
      </c>
      <c r="H131" t="s">
        <v>74</v>
      </c>
      <c r="I131" t="s">
        <v>2839</v>
      </c>
      <c r="J131" t="s">
        <v>2840</v>
      </c>
      <c r="K131" t="s">
        <v>74</v>
      </c>
      <c r="L131" t="s">
        <v>74</v>
      </c>
      <c r="M131" t="s">
        <v>78</v>
      </c>
      <c r="N131" t="s">
        <v>99</v>
      </c>
      <c r="O131" t="s">
        <v>74</v>
      </c>
      <c r="P131" t="s">
        <v>74</v>
      </c>
      <c r="Q131" t="s">
        <v>74</v>
      </c>
      <c r="R131" t="s">
        <v>74</v>
      </c>
      <c r="S131" t="s">
        <v>74</v>
      </c>
      <c r="T131" t="s">
        <v>74</v>
      </c>
      <c r="U131" t="s">
        <v>2841</v>
      </c>
      <c r="V131" t="s">
        <v>2842</v>
      </c>
      <c r="W131" t="s">
        <v>2843</v>
      </c>
      <c r="X131" t="s">
        <v>2844</v>
      </c>
      <c r="Y131" t="s">
        <v>2845</v>
      </c>
      <c r="Z131" t="s">
        <v>2846</v>
      </c>
      <c r="AA131" t="s">
        <v>2847</v>
      </c>
      <c r="AB131" t="s">
        <v>2848</v>
      </c>
      <c r="AC131" t="s">
        <v>2849</v>
      </c>
      <c r="AD131" t="s">
        <v>2850</v>
      </c>
      <c r="AE131" t="s">
        <v>2851</v>
      </c>
      <c r="AF131" t="s">
        <v>74</v>
      </c>
      <c r="AG131">
        <v>44</v>
      </c>
      <c r="AH131">
        <v>33</v>
      </c>
      <c r="AI131">
        <v>39</v>
      </c>
      <c r="AJ131">
        <v>0</v>
      </c>
      <c r="AK131">
        <v>14</v>
      </c>
      <c r="AL131" t="s">
        <v>1563</v>
      </c>
      <c r="AM131" t="s">
        <v>1564</v>
      </c>
      <c r="AN131" t="s">
        <v>1565</v>
      </c>
      <c r="AO131" t="s">
        <v>2852</v>
      </c>
      <c r="AP131" t="s">
        <v>2853</v>
      </c>
      <c r="AQ131" t="s">
        <v>74</v>
      </c>
      <c r="AR131" t="s">
        <v>2854</v>
      </c>
      <c r="AS131" t="s">
        <v>2855</v>
      </c>
      <c r="AT131" t="s">
        <v>200</v>
      </c>
      <c r="AU131">
        <v>2015</v>
      </c>
      <c r="AV131">
        <v>45</v>
      </c>
      <c r="AW131">
        <v>1</v>
      </c>
      <c r="AX131" t="s">
        <v>74</v>
      </c>
      <c r="AY131" t="s">
        <v>74</v>
      </c>
      <c r="AZ131" t="s">
        <v>74</v>
      </c>
      <c r="BA131" t="s">
        <v>74</v>
      </c>
      <c r="BB131">
        <v>272</v>
      </c>
      <c r="BC131">
        <v>293</v>
      </c>
      <c r="BD131" t="s">
        <v>74</v>
      </c>
      <c r="BE131" t="s">
        <v>2856</v>
      </c>
      <c r="BF131" t="str">
        <f>HYPERLINK("http://dx.doi.org/10.1175/JPO-D-14-0068.1","http://dx.doi.org/10.1175/JPO-D-14-0068.1")</f>
        <v>http://dx.doi.org/10.1175/JPO-D-14-0068.1</v>
      </c>
      <c r="BG131" t="s">
        <v>74</v>
      </c>
      <c r="BH131" t="s">
        <v>74</v>
      </c>
      <c r="BI131">
        <v>22</v>
      </c>
      <c r="BJ131" t="s">
        <v>2054</v>
      </c>
      <c r="BK131" t="s">
        <v>91</v>
      </c>
      <c r="BL131" t="s">
        <v>2054</v>
      </c>
      <c r="BM131" t="s">
        <v>2857</v>
      </c>
      <c r="BN131" t="s">
        <v>74</v>
      </c>
      <c r="BO131" t="s">
        <v>2858</v>
      </c>
      <c r="BP131" t="s">
        <v>74</v>
      </c>
      <c r="BQ131" t="s">
        <v>74</v>
      </c>
      <c r="BR131" t="s">
        <v>93</v>
      </c>
      <c r="BS131" t="s">
        <v>2859</v>
      </c>
      <c r="BT131" t="str">
        <f>HYPERLINK("https%3A%2F%2Fwww.webofscience.com%2Fwos%2Fwoscc%2Ffull-record%2FWOS:000347535800015","View Full Record in Web of Science")</f>
        <v>View Full Record in Web of Science</v>
      </c>
    </row>
    <row r="132" spans="1:72" x14ac:dyDescent="0.15">
      <c r="A132" t="s">
        <v>72</v>
      </c>
      <c r="B132" t="s">
        <v>2860</v>
      </c>
      <c r="C132" t="s">
        <v>74</v>
      </c>
      <c r="D132" t="s">
        <v>74</v>
      </c>
      <c r="E132" t="s">
        <v>74</v>
      </c>
      <c r="F132" t="s">
        <v>2861</v>
      </c>
      <c r="G132" t="s">
        <v>74</v>
      </c>
      <c r="H132" t="s">
        <v>74</v>
      </c>
      <c r="I132" t="s">
        <v>2862</v>
      </c>
      <c r="J132" t="s">
        <v>2840</v>
      </c>
      <c r="K132" t="s">
        <v>74</v>
      </c>
      <c r="L132" t="s">
        <v>74</v>
      </c>
      <c r="M132" t="s">
        <v>78</v>
      </c>
      <c r="N132" t="s">
        <v>99</v>
      </c>
      <c r="O132" t="s">
        <v>74</v>
      </c>
      <c r="P132" t="s">
        <v>74</v>
      </c>
      <c r="Q132" t="s">
        <v>74</v>
      </c>
      <c r="R132" t="s">
        <v>74</v>
      </c>
      <c r="S132" t="s">
        <v>74</v>
      </c>
      <c r="T132" t="s">
        <v>74</v>
      </c>
      <c r="U132" t="s">
        <v>2863</v>
      </c>
      <c r="V132" t="s">
        <v>2864</v>
      </c>
      <c r="W132" t="s">
        <v>2865</v>
      </c>
      <c r="X132" t="s">
        <v>2866</v>
      </c>
      <c r="Y132" t="s">
        <v>2867</v>
      </c>
      <c r="Z132" t="s">
        <v>2868</v>
      </c>
      <c r="AA132" t="s">
        <v>74</v>
      </c>
      <c r="AB132" t="s">
        <v>2869</v>
      </c>
      <c r="AC132" t="s">
        <v>2870</v>
      </c>
      <c r="AD132" t="s">
        <v>2871</v>
      </c>
      <c r="AE132" t="s">
        <v>2872</v>
      </c>
      <c r="AF132" t="s">
        <v>74</v>
      </c>
      <c r="AG132">
        <v>28</v>
      </c>
      <c r="AH132">
        <v>16</v>
      </c>
      <c r="AI132">
        <v>17</v>
      </c>
      <c r="AJ132">
        <v>1</v>
      </c>
      <c r="AK132">
        <v>20</v>
      </c>
      <c r="AL132" t="s">
        <v>1563</v>
      </c>
      <c r="AM132" t="s">
        <v>1564</v>
      </c>
      <c r="AN132" t="s">
        <v>1565</v>
      </c>
      <c r="AO132" t="s">
        <v>2852</v>
      </c>
      <c r="AP132" t="s">
        <v>2853</v>
      </c>
      <c r="AQ132" t="s">
        <v>74</v>
      </c>
      <c r="AR132" t="s">
        <v>2854</v>
      </c>
      <c r="AS132" t="s">
        <v>2855</v>
      </c>
      <c r="AT132" t="s">
        <v>200</v>
      </c>
      <c r="AU132">
        <v>2015</v>
      </c>
      <c r="AV132">
        <v>45</v>
      </c>
      <c r="AW132">
        <v>1</v>
      </c>
      <c r="AX132" t="s">
        <v>74</v>
      </c>
      <c r="AY132" t="s">
        <v>74</v>
      </c>
      <c r="AZ132" t="s">
        <v>74</v>
      </c>
      <c r="BA132" t="s">
        <v>74</v>
      </c>
      <c r="BB132">
        <v>294</v>
      </c>
      <c r="BC132">
        <v>312</v>
      </c>
      <c r="BD132" t="s">
        <v>74</v>
      </c>
      <c r="BE132" t="s">
        <v>2873</v>
      </c>
      <c r="BF132" t="str">
        <f>HYPERLINK("http://dx.doi.org/10.1175/JPO-D-14-0104.1","http://dx.doi.org/10.1175/JPO-D-14-0104.1")</f>
        <v>http://dx.doi.org/10.1175/JPO-D-14-0104.1</v>
      </c>
      <c r="BG132" t="s">
        <v>74</v>
      </c>
      <c r="BH132" t="s">
        <v>74</v>
      </c>
      <c r="BI132">
        <v>19</v>
      </c>
      <c r="BJ132" t="s">
        <v>2054</v>
      </c>
      <c r="BK132" t="s">
        <v>91</v>
      </c>
      <c r="BL132" t="s">
        <v>2054</v>
      </c>
      <c r="BM132" t="s">
        <v>2857</v>
      </c>
      <c r="BN132" t="s">
        <v>74</v>
      </c>
      <c r="BO132" t="s">
        <v>2858</v>
      </c>
      <c r="BP132" t="s">
        <v>74</v>
      </c>
      <c r="BQ132" t="s">
        <v>74</v>
      </c>
      <c r="BR132" t="s">
        <v>93</v>
      </c>
      <c r="BS132" t="s">
        <v>2874</v>
      </c>
      <c r="BT132" t="str">
        <f>HYPERLINK("https%3A%2F%2Fwww.webofscience.com%2Fwos%2Fwoscc%2Ffull-record%2FWOS:000347535800016","View Full Record in Web of Science")</f>
        <v>View Full Record in Web of Science</v>
      </c>
    </row>
    <row r="133" spans="1:72" x14ac:dyDescent="0.15">
      <c r="A133" t="s">
        <v>72</v>
      </c>
      <c r="B133" t="s">
        <v>2875</v>
      </c>
      <c r="C133" t="s">
        <v>74</v>
      </c>
      <c r="D133" t="s">
        <v>74</v>
      </c>
      <c r="E133" t="s">
        <v>74</v>
      </c>
      <c r="F133" t="s">
        <v>2876</v>
      </c>
      <c r="G133" t="s">
        <v>74</v>
      </c>
      <c r="H133" t="s">
        <v>74</v>
      </c>
      <c r="I133" t="s">
        <v>2877</v>
      </c>
      <c r="J133" t="s">
        <v>2878</v>
      </c>
      <c r="K133" t="s">
        <v>74</v>
      </c>
      <c r="L133" t="s">
        <v>74</v>
      </c>
      <c r="M133" t="s">
        <v>78</v>
      </c>
      <c r="N133" t="s">
        <v>99</v>
      </c>
      <c r="O133" t="s">
        <v>74</v>
      </c>
      <c r="P133" t="s">
        <v>74</v>
      </c>
      <c r="Q133" t="s">
        <v>74</v>
      </c>
      <c r="R133" t="s">
        <v>74</v>
      </c>
      <c r="S133" t="s">
        <v>74</v>
      </c>
      <c r="T133" t="s">
        <v>74</v>
      </c>
      <c r="U133" t="s">
        <v>2879</v>
      </c>
      <c r="V133" t="s">
        <v>2880</v>
      </c>
      <c r="W133" t="s">
        <v>2881</v>
      </c>
      <c r="X133" t="s">
        <v>2882</v>
      </c>
      <c r="Y133" t="s">
        <v>2883</v>
      </c>
      <c r="Z133" t="s">
        <v>2884</v>
      </c>
      <c r="AA133" t="s">
        <v>2885</v>
      </c>
      <c r="AB133" t="s">
        <v>2886</v>
      </c>
      <c r="AC133" t="s">
        <v>2887</v>
      </c>
      <c r="AD133" t="s">
        <v>2888</v>
      </c>
      <c r="AE133" t="s">
        <v>2889</v>
      </c>
      <c r="AF133" t="s">
        <v>74</v>
      </c>
      <c r="AG133">
        <v>141</v>
      </c>
      <c r="AH133">
        <v>70</v>
      </c>
      <c r="AI133">
        <v>76</v>
      </c>
      <c r="AJ133">
        <v>2</v>
      </c>
      <c r="AK133">
        <v>17</v>
      </c>
      <c r="AL133" t="s">
        <v>2006</v>
      </c>
      <c r="AM133" t="s">
        <v>2007</v>
      </c>
      <c r="AN133" t="s">
        <v>2008</v>
      </c>
      <c r="AO133" t="s">
        <v>2890</v>
      </c>
      <c r="AP133" t="s">
        <v>2891</v>
      </c>
      <c r="AQ133" t="s">
        <v>74</v>
      </c>
      <c r="AR133" t="s">
        <v>2892</v>
      </c>
      <c r="AS133" t="s">
        <v>2893</v>
      </c>
      <c r="AT133" t="s">
        <v>200</v>
      </c>
      <c r="AU133">
        <v>2015</v>
      </c>
      <c r="AV133">
        <v>50</v>
      </c>
      <c r="AW133">
        <v>1</v>
      </c>
      <c r="AX133" t="s">
        <v>74</v>
      </c>
      <c r="AY133" t="s">
        <v>74</v>
      </c>
      <c r="AZ133" t="s">
        <v>74</v>
      </c>
      <c r="BA133" t="s">
        <v>74</v>
      </c>
      <c r="BB133">
        <v>15</v>
      </c>
      <c r="BC133">
        <v>50</v>
      </c>
      <c r="BD133" t="s">
        <v>74</v>
      </c>
      <c r="BE133" t="s">
        <v>2894</v>
      </c>
      <c r="BF133" t="str">
        <f>HYPERLINK("http://dx.doi.org/10.1111/maps.12402","http://dx.doi.org/10.1111/maps.12402")</f>
        <v>http://dx.doi.org/10.1111/maps.12402</v>
      </c>
      <c r="BG133" t="s">
        <v>74</v>
      </c>
      <c r="BH133" t="s">
        <v>74</v>
      </c>
      <c r="BI133">
        <v>36</v>
      </c>
      <c r="BJ133" t="s">
        <v>1902</v>
      </c>
      <c r="BK133" t="s">
        <v>91</v>
      </c>
      <c r="BL133" t="s">
        <v>1902</v>
      </c>
      <c r="BM133" t="s">
        <v>2895</v>
      </c>
      <c r="BN133" t="s">
        <v>74</v>
      </c>
      <c r="BO133" t="s">
        <v>74</v>
      </c>
      <c r="BP133" t="s">
        <v>74</v>
      </c>
      <c r="BQ133" t="s">
        <v>74</v>
      </c>
      <c r="BR133" t="s">
        <v>93</v>
      </c>
      <c r="BS133" t="s">
        <v>2896</v>
      </c>
      <c r="BT133" t="str">
        <f>HYPERLINK("https%3A%2F%2Fwww.webofscience.com%2Fwos%2Fwoscc%2Ffull-record%2FWOS:000347707000002","View Full Record in Web of Science")</f>
        <v>View Full Record in Web of Science</v>
      </c>
    </row>
    <row r="134" spans="1:72" x14ac:dyDescent="0.15">
      <c r="A134" t="s">
        <v>72</v>
      </c>
      <c r="B134" t="s">
        <v>2897</v>
      </c>
      <c r="C134" t="s">
        <v>74</v>
      </c>
      <c r="D134" t="s">
        <v>74</v>
      </c>
      <c r="E134" t="s">
        <v>74</v>
      </c>
      <c r="F134" t="s">
        <v>2898</v>
      </c>
      <c r="G134" t="s">
        <v>74</v>
      </c>
      <c r="H134" t="s">
        <v>74</v>
      </c>
      <c r="I134" t="s">
        <v>2899</v>
      </c>
      <c r="J134" t="s">
        <v>2900</v>
      </c>
      <c r="K134" t="s">
        <v>74</v>
      </c>
      <c r="L134" t="s">
        <v>74</v>
      </c>
      <c r="M134" t="s">
        <v>78</v>
      </c>
      <c r="N134" t="s">
        <v>99</v>
      </c>
      <c r="O134" t="s">
        <v>74</v>
      </c>
      <c r="P134" t="s">
        <v>74</v>
      </c>
      <c r="Q134" t="s">
        <v>74</v>
      </c>
      <c r="R134" t="s">
        <v>74</v>
      </c>
      <c r="S134" t="s">
        <v>74</v>
      </c>
      <c r="T134" t="s">
        <v>2901</v>
      </c>
      <c r="U134" t="s">
        <v>2902</v>
      </c>
      <c r="V134" t="s">
        <v>2903</v>
      </c>
      <c r="W134" t="s">
        <v>2904</v>
      </c>
      <c r="X134" t="s">
        <v>2905</v>
      </c>
      <c r="Y134" t="s">
        <v>2906</v>
      </c>
      <c r="Z134" t="s">
        <v>2907</v>
      </c>
      <c r="AA134" t="s">
        <v>2908</v>
      </c>
      <c r="AB134" t="s">
        <v>2909</v>
      </c>
      <c r="AC134" t="s">
        <v>2910</v>
      </c>
      <c r="AD134" t="s">
        <v>2911</v>
      </c>
      <c r="AE134" t="s">
        <v>2912</v>
      </c>
      <c r="AF134" t="s">
        <v>74</v>
      </c>
      <c r="AG134">
        <v>125</v>
      </c>
      <c r="AH134">
        <v>8</v>
      </c>
      <c r="AI134">
        <v>8</v>
      </c>
      <c r="AJ134">
        <v>3</v>
      </c>
      <c r="AK134">
        <v>33</v>
      </c>
      <c r="AL134" t="s">
        <v>2640</v>
      </c>
      <c r="AM134" t="s">
        <v>1176</v>
      </c>
      <c r="AN134" t="s">
        <v>2641</v>
      </c>
      <c r="AO134" t="s">
        <v>2913</v>
      </c>
      <c r="AP134" t="s">
        <v>2914</v>
      </c>
      <c r="AQ134" t="s">
        <v>74</v>
      </c>
      <c r="AR134" t="s">
        <v>2915</v>
      </c>
      <c r="AS134" t="s">
        <v>2916</v>
      </c>
      <c r="AT134" t="s">
        <v>2464</v>
      </c>
      <c r="AU134">
        <v>2015</v>
      </c>
      <c r="AV134">
        <v>417</v>
      </c>
      <c r="AW134" t="s">
        <v>74</v>
      </c>
      <c r="AX134" t="s">
        <v>74</v>
      </c>
      <c r="AY134" t="s">
        <v>74</v>
      </c>
      <c r="AZ134" t="s">
        <v>74</v>
      </c>
      <c r="BA134" t="s">
        <v>74</v>
      </c>
      <c r="BB134">
        <v>126</v>
      </c>
      <c r="BC134">
        <v>136</v>
      </c>
      <c r="BD134" t="s">
        <v>74</v>
      </c>
      <c r="BE134" t="s">
        <v>2917</v>
      </c>
      <c r="BF134" t="str">
        <f>HYPERLINK("http://dx.doi.org/10.1016/j.palaeo.2014.10.023","http://dx.doi.org/10.1016/j.palaeo.2014.10.023")</f>
        <v>http://dx.doi.org/10.1016/j.palaeo.2014.10.023</v>
      </c>
      <c r="BG134" t="s">
        <v>74</v>
      </c>
      <c r="BH134" t="s">
        <v>74</v>
      </c>
      <c r="BI134">
        <v>11</v>
      </c>
      <c r="BJ134" t="s">
        <v>2918</v>
      </c>
      <c r="BK134" t="s">
        <v>91</v>
      </c>
      <c r="BL134" t="s">
        <v>2919</v>
      </c>
      <c r="BM134" t="s">
        <v>2920</v>
      </c>
      <c r="BN134" t="s">
        <v>74</v>
      </c>
      <c r="BO134" t="s">
        <v>74</v>
      </c>
      <c r="BP134" t="s">
        <v>74</v>
      </c>
      <c r="BQ134" t="s">
        <v>74</v>
      </c>
      <c r="BR134" t="s">
        <v>93</v>
      </c>
      <c r="BS134" t="s">
        <v>2921</v>
      </c>
      <c r="BT134" t="str">
        <f>HYPERLINK("https%3A%2F%2Fwww.webofscience.com%2Fwos%2Fwoscc%2Ffull-record%2FWOS:000347862400013","View Full Record in Web of Science")</f>
        <v>View Full Record in Web of Science</v>
      </c>
    </row>
    <row r="135" spans="1:72" x14ac:dyDescent="0.15">
      <c r="A135" t="s">
        <v>72</v>
      </c>
      <c r="B135" t="s">
        <v>2922</v>
      </c>
      <c r="C135" t="s">
        <v>74</v>
      </c>
      <c r="D135" t="s">
        <v>74</v>
      </c>
      <c r="E135" t="s">
        <v>74</v>
      </c>
      <c r="F135" t="s">
        <v>2923</v>
      </c>
      <c r="G135" t="s">
        <v>74</v>
      </c>
      <c r="H135" t="s">
        <v>2924</v>
      </c>
      <c r="I135" t="s">
        <v>2925</v>
      </c>
      <c r="J135" t="s">
        <v>2900</v>
      </c>
      <c r="K135" t="s">
        <v>74</v>
      </c>
      <c r="L135" t="s">
        <v>74</v>
      </c>
      <c r="M135" t="s">
        <v>78</v>
      </c>
      <c r="N135" t="s">
        <v>99</v>
      </c>
      <c r="O135" t="s">
        <v>74</v>
      </c>
      <c r="P135" t="s">
        <v>74</v>
      </c>
      <c r="Q135" t="s">
        <v>74</v>
      </c>
      <c r="R135" t="s">
        <v>74</v>
      </c>
      <c r="S135" t="s">
        <v>74</v>
      </c>
      <c r="T135" t="s">
        <v>2926</v>
      </c>
      <c r="U135" t="s">
        <v>2927</v>
      </c>
      <c r="V135" t="s">
        <v>2928</v>
      </c>
      <c r="W135" t="s">
        <v>2929</v>
      </c>
      <c r="X135" t="s">
        <v>2930</v>
      </c>
      <c r="Y135" t="s">
        <v>2931</v>
      </c>
      <c r="Z135" t="s">
        <v>2932</v>
      </c>
      <c r="AA135" t="s">
        <v>2933</v>
      </c>
      <c r="AB135" t="s">
        <v>2934</v>
      </c>
      <c r="AC135" t="s">
        <v>2935</v>
      </c>
      <c r="AD135" t="s">
        <v>2936</v>
      </c>
      <c r="AE135" t="s">
        <v>2937</v>
      </c>
      <c r="AF135" t="s">
        <v>74</v>
      </c>
      <c r="AG135">
        <v>77</v>
      </c>
      <c r="AH135">
        <v>23</v>
      </c>
      <c r="AI135">
        <v>25</v>
      </c>
      <c r="AJ135">
        <v>0</v>
      </c>
      <c r="AK135">
        <v>18</v>
      </c>
      <c r="AL135" t="s">
        <v>1175</v>
      </c>
      <c r="AM135" t="s">
        <v>1176</v>
      </c>
      <c r="AN135" t="s">
        <v>2938</v>
      </c>
      <c r="AO135" t="s">
        <v>2913</v>
      </c>
      <c r="AP135" t="s">
        <v>2914</v>
      </c>
      <c r="AQ135" t="s">
        <v>74</v>
      </c>
      <c r="AR135" t="s">
        <v>2915</v>
      </c>
      <c r="AS135" t="s">
        <v>2916</v>
      </c>
      <c r="AT135" t="s">
        <v>2464</v>
      </c>
      <c r="AU135">
        <v>2015</v>
      </c>
      <c r="AV135">
        <v>417</v>
      </c>
      <c r="AW135" t="s">
        <v>74</v>
      </c>
      <c r="AX135" t="s">
        <v>74</v>
      </c>
      <c r="AY135" t="s">
        <v>74</v>
      </c>
      <c r="AZ135" t="s">
        <v>74</v>
      </c>
      <c r="BA135" t="s">
        <v>74</v>
      </c>
      <c r="BB135">
        <v>309</v>
      </c>
      <c r="BC135">
        <v>319</v>
      </c>
      <c r="BD135" t="s">
        <v>74</v>
      </c>
      <c r="BE135" t="s">
        <v>2939</v>
      </c>
      <c r="BF135" t="str">
        <f>HYPERLINK("http://dx.doi.org/10.1016/j.palaeo.2014.09.021","http://dx.doi.org/10.1016/j.palaeo.2014.09.021")</f>
        <v>http://dx.doi.org/10.1016/j.palaeo.2014.09.021</v>
      </c>
      <c r="BG135" t="s">
        <v>74</v>
      </c>
      <c r="BH135" t="s">
        <v>74</v>
      </c>
      <c r="BI135">
        <v>11</v>
      </c>
      <c r="BJ135" t="s">
        <v>2918</v>
      </c>
      <c r="BK135" t="s">
        <v>91</v>
      </c>
      <c r="BL135" t="s">
        <v>2919</v>
      </c>
      <c r="BM135" t="s">
        <v>2920</v>
      </c>
      <c r="BN135" t="s">
        <v>74</v>
      </c>
      <c r="BO135" t="s">
        <v>2081</v>
      </c>
      <c r="BP135" t="s">
        <v>74</v>
      </c>
      <c r="BQ135" t="s">
        <v>74</v>
      </c>
      <c r="BR135" t="s">
        <v>93</v>
      </c>
      <c r="BS135" t="s">
        <v>2940</v>
      </c>
      <c r="BT135" t="str">
        <f>HYPERLINK("https%3A%2F%2Fwww.webofscience.com%2Fwos%2Fwoscc%2Ffull-record%2FWOS:000347862400025","View Full Record in Web of Science")</f>
        <v>View Full Record in Web of Science</v>
      </c>
    </row>
    <row r="136" spans="1:72" x14ac:dyDescent="0.15">
      <c r="A136" t="s">
        <v>72</v>
      </c>
      <c r="B136" t="s">
        <v>2941</v>
      </c>
      <c r="C136" t="s">
        <v>74</v>
      </c>
      <c r="D136" t="s">
        <v>74</v>
      </c>
      <c r="E136" t="s">
        <v>74</v>
      </c>
      <c r="F136" t="s">
        <v>2942</v>
      </c>
      <c r="G136" t="s">
        <v>74</v>
      </c>
      <c r="H136" t="s">
        <v>74</v>
      </c>
      <c r="I136" t="s">
        <v>2943</v>
      </c>
      <c r="J136" t="s">
        <v>2900</v>
      </c>
      <c r="K136" t="s">
        <v>74</v>
      </c>
      <c r="L136" t="s">
        <v>74</v>
      </c>
      <c r="M136" t="s">
        <v>78</v>
      </c>
      <c r="N136" t="s">
        <v>99</v>
      </c>
      <c r="O136" t="s">
        <v>74</v>
      </c>
      <c r="P136" t="s">
        <v>74</v>
      </c>
      <c r="Q136" t="s">
        <v>74</v>
      </c>
      <c r="R136" t="s">
        <v>74</v>
      </c>
      <c r="S136" t="s">
        <v>74</v>
      </c>
      <c r="T136" t="s">
        <v>2944</v>
      </c>
      <c r="U136" t="s">
        <v>2945</v>
      </c>
      <c r="V136" t="s">
        <v>2946</v>
      </c>
      <c r="W136" t="s">
        <v>2947</v>
      </c>
      <c r="X136" t="s">
        <v>2948</v>
      </c>
      <c r="Y136" t="s">
        <v>2949</v>
      </c>
      <c r="Z136" t="s">
        <v>2950</v>
      </c>
      <c r="AA136" t="s">
        <v>2951</v>
      </c>
      <c r="AB136" t="s">
        <v>74</v>
      </c>
      <c r="AC136" t="s">
        <v>2952</v>
      </c>
      <c r="AD136" t="s">
        <v>2953</v>
      </c>
      <c r="AE136" t="s">
        <v>2954</v>
      </c>
      <c r="AF136" t="s">
        <v>74</v>
      </c>
      <c r="AG136">
        <v>55</v>
      </c>
      <c r="AH136">
        <v>18</v>
      </c>
      <c r="AI136">
        <v>26</v>
      </c>
      <c r="AJ136">
        <v>0</v>
      </c>
      <c r="AK136">
        <v>23</v>
      </c>
      <c r="AL136" t="s">
        <v>2640</v>
      </c>
      <c r="AM136" t="s">
        <v>1176</v>
      </c>
      <c r="AN136" t="s">
        <v>2641</v>
      </c>
      <c r="AO136" t="s">
        <v>2913</v>
      </c>
      <c r="AP136" t="s">
        <v>2914</v>
      </c>
      <c r="AQ136" t="s">
        <v>74</v>
      </c>
      <c r="AR136" t="s">
        <v>2915</v>
      </c>
      <c r="AS136" t="s">
        <v>2916</v>
      </c>
      <c r="AT136" t="s">
        <v>2464</v>
      </c>
      <c r="AU136">
        <v>2015</v>
      </c>
      <c r="AV136">
        <v>417</v>
      </c>
      <c r="AW136" t="s">
        <v>74</v>
      </c>
      <c r="AX136" t="s">
        <v>74</v>
      </c>
      <c r="AY136" t="s">
        <v>74</v>
      </c>
      <c r="AZ136" t="s">
        <v>74</v>
      </c>
      <c r="BA136" t="s">
        <v>74</v>
      </c>
      <c r="BB136">
        <v>561</v>
      </c>
      <c r="BC136">
        <v>568</v>
      </c>
      <c r="BD136" t="s">
        <v>74</v>
      </c>
      <c r="BE136" t="s">
        <v>2955</v>
      </c>
      <c r="BF136" t="str">
        <f>HYPERLINK("http://dx.doi.org/10.1016/j.palaeo.2014.10.024","http://dx.doi.org/10.1016/j.palaeo.2014.10.024")</f>
        <v>http://dx.doi.org/10.1016/j.palaeo.2014.10.024</v>
      </c>
      <c r="BG136" t="s">
        <v>74</v>
      </c>
      <c r="BH136" t="s">
        <v>74</v>
      </c>
      <c r="BI136">
        <v>8</v>
      </c>
      <c r="BJ136" t="s">
        <v>2918</v>
      </c>
      <c r="BK136" t="s">
        <v>91</v>
      </c>
      <c r="BL136" t="s">
        <v>2919</v>
      </c>
      <c r="BM136" t="s">
        <v>2920</v>
      </c>
      <c r="BN136" t="s">
        <v>74</v>
      </c>
      <c r="BO136" t="s">
        <v>574</v>
      </c>
      <c r="BP136" t="s">
        <v>74</v>
      </c>
      <c r="BQ136" t="s">
        <v>74</v>
      </c>
      <c r="BR136" t="s">
        <v>93</v>
      </c>
      <c r="BS136" t="s">
        <v>2956</v>
      </c>
      <c r="BT136" t="str">
        <f>HYPERLINK("https%3A%2F%2Fwww.webofscience.com%2Fwos%2Fwoscc%2Ffull-record%2FWOS:000347862400042","View Full Record in Web of Science")</f>
        <v>View Full Record in Web of Science</v>
      </c>
    </row>
    <row r="137" spans="1:72" x14ac:dyDescent="0.15">
      <c r="A137" t="s">
        <v>72</v>
      </c>
      <c r="B137" t="s">
        <v>2957</v>
      </c>
      <c r="C137" t="s">
        <v>74</v>
      </c>
      <c r="D137" t="s">
        <v>74</v>
      </c>
      <c r="E137" t="s">
        <v>74</v>
      </c>
      <c r="F137" t="s">
        <v>2958</v>
      </c>
      <c r="G137" t="s">
        <v>74</v>
      </c>
      <c r="H137" t="s">
        <v>74</v>
      </c>
      <c r="I137" t="s">
        <v>2959</v>
      </c>
      <c r="J137" t="s">
        <v>2960</v>
      </c>
      <c r="K137" t="s">
        <v>74</v>
      </c>
      <c r="L137" t="s">
        <v>74</v>
      </c>
      <c r="M137" t="s">
        <v>78</v>
      </c>
      <c r="N137" t="s">
        <v>99</v>
      </c>
      <c r="O137" t="s">
        <v>74</v>
      </c>
      <c r="P137" t="s">
        <v>74</v>
      </c>
      <c r="Q137" t="s">
        <v>74</v>
      </c>
      <c r="R137" t="s">
        <v>74</v>
      </c>
      <c r="S137" t="s">
        <v>74</v>
      </c>
      <c r="T137" t="s">
        <v>2961</v>
      </c>
      <c r="U137" t="s">
        <v>2962</v>
      </c>
      <c r="V137" t="s">
        <v>2963</v>
      </c>
      <c r="W137" t="s">
        <v>2964</v>
      </c>
      <c r="X137" t="s">
        <v>2965</v>
      </c>
      <c r="Y137" t="s">
        <v>2966</v>
      </c>
      <c r="Z137" t="s">
        <v>2967</v>
      </c>
      <c r="AA137" t="s">
        <v>2968</v>
      </c>
      <c r="AB137" t="s">
        <v>2969</v>
      </c>
      <c r="AC137" t="s">
        <v>2970</v>
      </c>
      <c r="AD137" t="s">
        <v>2971</v>
      </c>
      <c r="AE137" t="s">
        <v>2972</v>
      </c>
      <c r="AF137" t="s">
        <v>74</v>
      </c>
      <c r="AG137">
        <v>46</v>
      </c>
      <c r="AH137">
        <v>28</v>
      </c>
      <c r="AI137">
        <v>31</v>
      </c>
      <c r="AJ137">
        <v>0</v>
      </c>
      <c r="AK137">
        <v>21</v>
      </c>
      <c r="AL137" t="s">
        <v>2006</v>
      </c>
      <c r="AM137" t="s">
        <v>2007</v>
      </c>
      <c r="AN137" t="s">
        <v>2008</v>
      </c>
      <c r="AO137" t="s">
        <v>2973</v>
      </c>
      <c r="AP137" t="s">
        <v>2974</v>
      </c>
      <c r="AQ137" t="s">
        <v>74</v>
      </c>
      <c r="AR137" t="s">
        <v>2960</v>
      </c>
      <c r="AS137" t="s">
        <v>447</v>
      </c>
      <c r="AT137" t="s">
        <v>200</v>
      </c>
      <c r="AU137">
        <v>2015</v>
      </c>
      <c r="AV137">
        <v>58</v>
      </c>
      <c r="AW137">
        <v>1</v>
      </c>
      <c r="AX137" t="s">
        <v>74</v>
      </c>
      <c r="AY137" t="s">
        <v>74</v>
      </c>
      <c r="AZ137" t="s">
        <v>74</v>
      </c>
      <c r="BA137" t="s">
        <v>74</v>
      </c>
      <c r="BB137">
        <v>101</v>
      </c>
      <c r="BC137">
        <v>110</v>
      </c>
      <c r="BD137" t="s">
        <v>74</v>
      </c>
      <c r="BE137" t="s">
        <v>2975</v>
      </c>
      <c r="BF137" t="str">
        <f>HYPERLINK("http://dx.doi.org/10.1111/pala.12121","http://dx.doi.org/10.1111/pala.12121")</f>
        <v>http://dx.doi.org/10.1111/pala.12121</v>
      </c>
      <c r="BG137" t="s">
        <v>74</v>
      </c>
      <c r="BH137" t="s">
        <v>74</v>
      </c>
      <c r="BI137">
        <v>10</v>
      </c>
      <c r="BJ137" t="s">
        <v>447</v>
      </c>
      <c r="BK137" t="s">
        <v>91</v>
      </c>
      <c r="BL137" t="s">
        <v>447</v>
      </c>
      <c r="BM137" t="s">
        <v>2976</v>
      </c>
      <c r="BN137" t="s">
        <v>74</v>
      </c>
      <c r="BO137" t="s">
        <v>2977</v>
      </c>
      <c r="BP137" t="s">
        <v>74</v>
      </c>
      <c r="BQ137" t="s">
        <v>74</v>
      </c>
      <c r="BR137" t="s">
        <v>93</v>
      </c>
      <c r="BS137" t="s">
        <v>2978</v>
      </c>
      <c r="BT137" t="str">
        <f>HYPERLINK("https%3A%2F%2Fwww.webofscience.com%2Fwos%2Fwoscc%2Ffull-record%2FWOS:000347542300007","View Full Record in Web of Science")</f>
        <v>View Full Record in Web of Science</v>
      </c>
    </row>
    <row r="138" spans="1:72" x14ac:dyDescent="0.15">
      <c r="A138" t="s">
        <v>72</v>
      </c>
      <c r="B138" t="s">
        <v>2979</v>
      </c>
      <c r="C138" t="s">
        <v>74</v>
      </c>
      <c r="D138" t="s">
        <v>74</v>
      </c>
      <c r="E138" t="s">
        <v>74</v>
      </c>
      <c r="F138" t="s">
        <v>2980</v>
      </c>
      <c r="G138" t="s">
        <v>74</v>
      </c>
      <c r="H138" t="s">
        <v>74</v>
      </c>
      <c r="I138" t="s">
        <v>2981</v>
      </c>
      <c r="J138" t="s">
        <v>2982</v>
      </c>
      <c r="K138" t="s">
        <v>74</v>
      </c>
      <c r="L138" t="s">
        <v>74</v>
      </c>
      <c r="M138" t="s">
        <v>78</v>
      </c>
      <c r="N138" t="s">
        <v>99</v>
      </c>
      <c r="O138" t="s">
        <v>74</v>
      </c>
      <c r="P138" t="s">
        <v>74</v>
      </c>
      <c r="Q138" t="s">
        <v>74</v>
      </c>
      <c r="R138" t="s">
        <v>74</v>
      </c>
      <c r="S138" t="s">
        <v>74</v>
      </c>
      <c r="T138" t="s">
        <v>2983</v>
      </c>
      <c r="U138" t="s">
        <v>2984</v>
      </c>
      <c r="V138" t="s">
        <v>2985</v>
      </c>
      <c r="W138" t="s">
        <v>2986</v>
      </c>
      <c r="X138" t="s">
        <v>2987</v>
      </c>
      <c r="Y138" t="s">
        <v>2988</v>
      </c>
      <c r="Z138" t="s">
        <v>2989</v>
      </c>
      <c r="AA138" t="s">
        <v>2990</v>
      </c>
      <c r="AB138" t="s">
        <v>2991</v>
      </c>
      <c r="AC138" t="s">
        <v>2992</v>
      </c>
      <c r="AD138" t="s">
        <v>2993</v>
      </c>
      <c r="AE138" t="s">
        <v>2994</v>
      </c>
      <c r="AF138" t="s">
        <v>74</v>
      </c>
      <c r="AG138">
        <v>77</v>
      </c>
      <c r="AH138">
        <v>15</v>
      </c>
      <c r="AI138">
        <v>15</v>
      </c>
      <c r="AJ138">
        <v>1</v>
      </c>
      <c r="AK138">
        <v>16</v>
      </c>
      <c r="AL138" t="s">
        <v>2439</v>
      </c>
      <c r="AM138" t="s">
        <v>1411</v>
      </c>
      <c r="AN138" t="s">
        <v>2440</v>
      </c>
      <c r="AO138" t="s">
        <v>2995</v>
      </c>
      <c r="AP138" t="s">
        <v>2996</v>
      </c>
      <c r="AQ138" t="s">
        <v>74</v>
      </c>
      <c r="AR138" t="s">
        <v>2997</v>
      </c>
      <c r="AS138" t="s">
        <v>2998</v>
      </c>
      <c r="AT138" t="s">
        <v>200</v>
      </c>
      <c r="AU138">
        <v>2015</v>
      </c>
      <c r="AV138">
        <v>105</v>
      </c>
      <c r="AW138" t="s">
        <v>74</v>
      </c>
      <c r="AX138" t="s">
        <v>74</v>
      </c>
      <c r="AY138" t="s">
        <v>74</v>
      </c>
      <c r="AZ138" t="s">
        <v>74</v>
      </c>
      <c r="BA138" t="s">
        <v>74</v>
      </c>
      <c r="BB138">
        <v>1</v>
      </c>
      <c r="BC138">
        <v>25</v>
      </c>
      <c r="BD138" t="s">
        <v>74</v>
      </c>
      <c r="BE138" t="s">
        <v>2999</v>
      </c>
      <c r="BF138" t="str">
        <f>HYPERLINK("http://dx.doi.org/10.1016/j.pss.2014.08.015","http://dx.doi.org/10.1016/j.pss.2014.08.015")</f>
        <v>http://dx.doi.org/10.1016/j.pss.2014.08.015</v>
      </c>
      <c r="BG138" t="s">
        <v>74</v>
      </c>
      <c r="BH138" t="s">
        <v>74</v>
      </c>
      <c r="BI138">
        <v>25</v>
      </c>
      <c r="BJ138" t="s">
        <v>2079</v>
      </c>
      <c r="BK138" t="s">
        <v>91</v>
      </c>
      <c r="BL138" t="s">
        <v>2079</v>
      </c>
      <c r="BM138" t="s">
        <v>3000</v>
      </c>
      <c r="BN138" t="s">
        <v>74</v>
      </c>
      <c r="BO138" t="s">
        <v>74</v>
      </c>
      <c r="BP138" t="s">
        <v>74</v>
      </c>
      <c r="BQ138" t="s">
        <v>74</v>
      </c>
      <c r="BR138" t="s">
        <v>93</v>
      </c>
      <c r="BS138" t="s">
        <v>3001</v>
      </c>
      <c r="BT138" t="str">
        <f>HYPERLINK("https%3A%2F%2Fwww.webofscience.com%2Fwos%2Fwoscc%2Ffull-record%2FWOS:000348083900001","View Full Record in Web of Science")</f>
        <v>View Full Record in Web of Science</v>
      </c>
    </row>
    <row r="139" spans="1:72" x14ac:dyDescent="0.15">
      <c r="A139" t="s">
        <v>72</v>
      </c>
      <c r="B139" t="s">
        <v>3002</v>
      </c>
      <c r="C139" t="s">
        <v>74</v>
      </c>
      <c r="D139" t="s">
        <v>74</v>
      </c>
      <c r="E139" t="s">
        <v>74</v>
      </c>
      <c r="F139" t="s">
        <v>3003</v>
      </c>
      <c r="G139" t="s">
        <v>74</v>
      </c>
      <c r="H139" t="s">
        <v>74</v>
      </c>
      <c r="I139" t="s">
        <v>3004</v>
      </c>
      <c r="J139" t="s">
        <v>3005</v>
      </c>
      <c r="K139" t="s">
        <v>74</v>
      </c>
      <c r="L139" t="s">
        <v>74</v>
      </c>
      <c r="M139" t="s">
        <v>78</v>
      </c>
      <c r="N139" t="s">
        <v>454</v>
      </c>
      <c r="O139" t="s">
        <v>74</v>
      </c>
      <c r="P139" t="s">
        <v>74</v>
      </c>
      <c r="Q139" t="s">
        <v>74</v>
      </c>
      <c r="R139" t="s">
        <v>74</v>
      </c>
      <c r="S139" t="s">
        <v>74</v>
      </c>
      <c r="T139" t="s">
        <v>3006</v>
      </c>
      <c r="U139" t="s">
        <v>3007</v>
      </c>
      <c r="V139" t="s">
        <v>3008</v>
      </c>
      <c r="W139" t="s">
        <v>3009</v>
      </c>
      <c r="X139" t="s">
        <v>2041</v>
      </c>
      <c r="Y139" t="s">
        <v>3010</v>
      </c>
      <c r="Z139" t="s">
        <v>3011</v>
      </c>
      <c r="AA139" t="s">
        <v>3012</v>
      </c>
      <c r="AB139" t="s">
        <v>3013</v>
      </c>
      <c r="AC139" t="s">
        <v>74</v>
      </c>
      <c r="AD139" t="s">
        <v>74</v>
      </c>
      <c r="AE139" t="s">
        <v>74</v>
      </c>
      <c r="AF139" t="s">
        <v>74</v>
      </c>
      <c r="AG139">
        <v>131</v>
      </c>
      <c r="AH139">
        <v>50</v>
      </c>
      <c r="AI139">
        <v>55</v>
      </c>
      <c r="AJ139">
        <v>3</v>
      </c>
      <c r="AK139">
        <v>154</v>
      </c>
      <c r="AL139" t="s">
        <v>2439</v>
      </c>
      <c r="AM139" t="s">
        <v>1411</v>
      </c>
      <c r="AN139" t="s">
        <v>2440</v>
      </c>
      <c r="AO139" t="s">
        <v>3014</v>
      </c>
      <c r="AP139" t="s">
        <v>3015</v>
      </c>
      <c r="AQ139" t="s">
        <v>74</v>
      </c>
      <c r="AR139" t="s">
        <v>3016</v>
      </c>
      <c r="AS139" t="s">
        <v>3017</v>
      </c>
      <c r="AT139" t="s">
        <v>2464</v>
      </c>
      <c r="AU139">
        <v>2015</v>
      </c>
      <c r="AV139">
        <v>107</v>
      </c>
      <c r="AW139" t="s">
        <v>74</v>
      </c>
      <c r="AX139" t="s">
        <v>74</v>
      </c>
      <c r="AY139" t="s">
        <v>74</v>
      </c>
      <c r="AZ139" t="s">
        <v>74</v>
      </c>
      <c r="BA139" t="s">
        <v>74</v>
      </c>
      <c r="BB139">
        <v>11</v>
      </c>
      <c r="BC139">
        <v>24</v>
      </c>
      <c r="BD139" t="s">
        <v>74</v>
      </c>
      <c r="BE139" t="s">
        <v>3018</v>
      </c>
      <c r="BF139" t="str">
        <f>HYPERLINK("http://dx.doi.org/10.1016/j.quascirev.2014.10.002","http://dx.doi.org/10.1016/j.quascirev.2014.10.002")</f>
        <v>http://dx.doi.org/10.1016/j.quascirev.2014.10.002</v>
      </c>
      <c r="BG139" t="s">
        <v>74</v>
      </c>
      <c r="BH139" t="s">
        <v>74</v>
      </c>
      <c r="BI139">
        <v>14</v>
      </c>
      <c r="BJ139" t="s">
        <v>372</v>
      </c>
      <c r="BK139" t="s">
        <v>91</v>
      </c>
      <c r="BL139" t="s">
        <v>373</v>
      </c>
      <c r="BM139" t="s">
        <v>3019</v>
      </c>
      <c r="BN139" t="s">
        <v>74</v>
      </c>
      <c r="BO139" t="s">
        <v>74</v>
      </c>
      <c r="BP139" t="s">
        <v>74</v>
      </c>
      <c r="BQ139" t="s">
        <v>74</v>
      </c>
      <c r="BR139" t="s">
        <v>93</v>
      </c>
      <c r="BS139" t="s">
        <v>3020</v>
      </c>
      <c r="BT139" t="str">
        <f>HYPERLINK("https%3A%2F%2Fwww.webofscience.com%2Fwos%2Fwoscc%2Ffull-record%2FWOS:000347586100002","View Full Record in Web of Science")</f>
        <v>View Full Record in Web of Science</v>
      </c>
    </row>
    <row r="140" spans="1:72" x14ac:dyDescent="0.15">
      <c r="A140" t="s">
        <v>72</v>
      </c>
      <c r="B140" t="s">
        <v>3021</v>
      </c>
      <c r="C140" t="s">
        <v>74</v>
      </c>
      <c r="D140" t="s">
        <v>74</v>
      </c>
      <c r="E140" t="s">
        <v>74</v>
      </c>
      <c r="F140" t="s">
        <v>3022</v>
      </c>
      <c r="G140" t="s">
        <v>74</v>
      </c>
      <c r="H140" t="s">
        <v>74</v>
      </c>
      <c r="I140" t="s">
        <v>3023</v>
      </c>
      <c r="J140" t="s">
        <v>3005</v>
      </c>
      <c r="K140" t="s">
        <v>74</v>
      </c>
      <c r="L140" t="s">
        <v>74</v>
      </c>
      <c r="M140" t="s">
        <v>78</v>
      </c>
      <c r="N140" t="s">
        <v>99</v>
      </c>
      <c r="O140" t="s">
        <v>74</v>
      </c>
      <c r="P140" t="s">
        <v>74</v>
      </c>
      <c r="Q140" t="s">
        <v>74</v>
      </c>
      <c r="R140" t="s">
        <v>74</v>
      </c>
      <c r="S140" t="s">
        <v>74</v>
      </c>
      <c r="T140" t="s">
        <v>3024</v>
      </c>
      <c r="U140" t="s">
        <v>3025</v>
      </c>
      <c r="V140" t="s">
        <v>3026</v>
      </c>
      <c r="W140" t="s">
        <v>3027</v>
      </c>
      <c r="X140" t="s">
        <v>3028</v>
      </c>
      <c r="Y140" t="s">
        <v>3029</v>
      </c>
      <c r="Z140" t="s">
        <v>3030</v>
      </c>
      <c r="AA140" t="s">
        <v>3031</v>
      </c>
      <c r="AB140" t="s">
        <v>3032</v>
      </c>
      <c r="AC140" t="s">
        <v>3033</v>
      </c>
      <c r="AD140" t="s">
        <v>3034</v>
      </c>
      <c r="AE140" t="s">
        <v>3035</v>
      </c>
      <c r="AF140" t="s">
        <v>74</v>
      </c>
      <c r="AG140">
        <v>86</v>
      </c>
      <c r="AH140">
        <v>28</v>
      </c>
      <c r="AI140">
        <v>28</v>
      </c>
      <c r="AJ140">
        <v>0</v>
      </c>
      <c r="AK140">
        <v>33</v>
      </c>
      <c r="AL140" t="s">
        <v>2439</v>
      </c>
      <c r="AM140" t="s">
        <v>1411</v>
      </c>
      <c r="AN140" t="s">
        <v>2440</v>
      </c>
      <c r="AO140" t="s">
        <v>3014</v>
      </c>
      <c r="AP140" t="s">
        <v>74</v>
      </c>
      <c r="AQ140" t="s">
        <v>74</v>
      </c>
      <c r="AR140" t="s">
        <v>3016</v>
      </c>
      <c r="AS140" t="s">
        <v>3017</v>
      </c>
      <c r="AT140" t="s">
        <v>2464</v>
      </c>
      <c r="AU140">
        <v>2015</v>
      </c>
      <c r="AV140">
        <v>107</v>
      </c>
      <c r="AW140" t="s">
        <v>74</v>
      </c>
      <c r="AX140" t="s">
        <v>74</v>
      </c>
      <c r="AY140" t="s">
        <v>74</v>
      </c>
      <c r="AZ140" t="s">
        <v>74</v>
      </c>
      <c r="BA140" t="s">
        <v>74</v>
      </c>
      <c r="BB140">
        <v>149</v>
      </c>
      <c r="BC140">
        <v>181</v>
      </c>
      <c r="BD140" t="s">
        <v>74</v>
      </c>
      <c r="BE140" t="s">
        <v>3036</v>
      </c>
      <c r="BF140" t="str">
        <f>HYPERLINK("http://dx.doi.org/10.1016/j.quascirev.2014.10.018","http://dx.doi.org/10.1016/j.quascirev.2014.10.018")</f>
        <v>http://dx.doi.org/10.1016/j.quascirev.2014.10.018</v>
      </c>
      <c r="BG140" t="s">
        <v>74</v>
      </c>
      <c r="BH140" t="s">
        <v>74</v>
      </c>
      <c r="BI140">
        <v>33</v>
      </c>
      <c r="BJ140" t="s">
        <v>372</v>
      </c>
      <c r="BK140" t="s">
        <v>91</v>
      </c>
      <c r="BL140" t="s">
        <v>373</v>
      </c>
      <c r="BM140" t="s">
        <v>3019</v>
      </c>
      <c r="BN140" t="s">
        <v>74</v>
      </c>
      <c r="BO140" t="s">
        <v>74</v>
      </c>
      <c r="BP140" t="s">
        <v>74</v>
      </c>
      <c r="BQ140" t="s">
        <v>74</v>
      </c>
      <c r="BR140" t="s">
        <v>93</v>
      </c>
      <c r="BS140" t="s">
        <v>3037</v>
      </c>
      <c r="BT140" t="str">
        <f>HYPERLINK("https%3A%2F%2Fwww.webofscience.com%2Fwos%2Fwoscc%2Ffull-record%2FWOS:000347586100011","View Full Record in Web of Science")</f>
        <v>View Full Record in Web of Science</v>
      </c>
    </row>
    <row r="141" spans="1:72" x14ac:dyDescent="0.15">
      <c r="A141" t="s">
        <v>72</v>
      </c>
      <c r="B141" t="s">
        <v>3038</v>
      </c>
      <c r="C141" t="s">
        <v>74</v>
      </c>
      <c r="D141" t="s">
        <v>74</v>
      </c>
      <c r="E141" t="s">
        <v>74</v>
      </c>
      <c r="F141" t="s">
        <v>3039</v>
      </c>
      <c r="G141" t="s">
        <v>74</v>
      </c>
      <c r="H141" t="s">
        <v>74</v>
      </c>
      <c r="I141" t="s">
        <v>3040</v>
      </c>
      <c r="J141" t="s">
        <v>3041</v>
      </c>
      <c r="K141" t="s">
        <v>74</v>
      </c>
      <c r="L141" t="s">
        <v>74</v>
      </c>
      <c r="M141" t="s">
        <v>78</v>
      </c>
      <c r="N141" t="s">
        <v>99</v>
      </c>
      <c r="O141" t="s">
        <v>74</v>
      </c>
      <c r="P141" t="s">
        <v>74</v>
      </c>
      <c r="Q141" t="s">
        <v>74</v>
      </c>
      <c r="R141" t="s">
        <v>74</v>
      </c>
      <c r="S141" t="s">
        <v>74</v>
      </c>
      <c r="T141" t="s">
        <v>3042</v>
      </c>
      <c r="U141" t="s">
        <v>3043</v>
      </c>
      <c r="V141" t="s">
        <v>3044</v>
      </c>
      <c r="W141" t="s">
        <v>3045</v>
      </c>
      <c r="X141" t="s">
        <v>1211</v>
      </c>
      <c r="Y141" t="s">
        <v>3046</v>
      </c>
      <c r="Z141" t="s">
        <v>3047</v>
      </c>
      <c r="AA141" t="s">
        <v>74</v>
      </c>
      <c r="AB141" t="s">
        <v>3048</v>
      </c>
      <c r="AC141" t="s">
        <v>3049</v>
      </c>
      <c r="AD141" t="s">
        <v>3050</v>
      </c>
      <c r="AE141" t="s">
        <v>3051</v>
      </c>
      <c r="AF141" t="s">
        <v>74</v>
      </c>
      <c r="AG141">
        <v>27</v>
      </c>
      <c r="AH141">
        <v>34</v>
      </c>
      <c r="AI141">
        <v>38</v>
      </c>
      <c r="AJ141">
        <v>1</v>
      </c>
      <c r="AK141">
        <v>36</v>
      </c>
      <c r="AL141" t="s">
        <v>3052</v>
      </c>
      <c r="AM141" t="s">
        <v>342</v>
      </c>
      <c r="AN141" t="s">
        <v>3053</v>
      </c>
      <c r="AO141" t="s">
        <v>3054</v>
      </c>
      <c r="AP141" t="s">
        <v>3055</v>
      </c>
      <c r="AQ141" t="s">
        <v>74</v>
      </c>
      <c r="AR141" t="s">
        <v>3056</v>
      </c>
      <c r="AS141" t="s">
        <v>3057</v>
      </c>
      <c r="AT141" t="s">
        <v>200</v>
      </c>
      <c r="AU141">
        <v>2015</v>
      </c>
      <c r="AV141">
        <v>156</v>
      </c>
      <c r="AW141" t="s">
        <v>74</v>
      </c>
      <c r="AX141" t="s">
        <v>74</v>
      </c>
      <c r="AY141" t="s">
        <v>74</v>
      </c>
      <c r="AZ141" t="s">
        <v>74</v>
      </c>
      <c r="BA141" t="s">
        <v>74</v>
      </c>
      <c r="BB141">
        <v>561</v>
      </c>
      <c r="BC141">
        <v>569</v>
      </c>
      <c r="BD141" t="s">
        <v>74</v>
      </c>
      <c r="BE141" t="s">
        <v>3058</v>
      </c>
      <c r="BF141" t="str">
        <f>HYPERLINK("http://dx.doi.org/10.1016/j.rse.2014.10.025","http://dx.doi.org/10.1016/j.rse.2014.10.025")</f>
        <v>http://dx.doi.org/10.1016/j.rse.2014.10.025</v>
      </c>
      <c r="BG141" t="s">
        <v>74</v>
      </c>
      <c r="BH141" t="s">
        <v>74</v>
      </c>
      <c r="BI141">
        <v>9</v>
      </c>
      <c r="BJ141" t="s">
        <v>3059</v>
      </c>
      <c r="BK141" t="s">
        <v>91</v>
      </c>
      <c r="BL141" t="s">
        <v>3060</v>
      </c>
      <c r="BM141" t="s">
        <v>3061</v>
      </c>
      <c r="BN141" t="s">
        <v>74</v>
      </c>
      <c r="BO141" t="s">
        <v>74</v>
      </c>
      <c r="BP141" t="s">
        <v>74</v>
      </c>
      <c r="BQ141" t="s">
        <v>74</v>
      </c>
      <c r="BR141" t="s">
        <v>93</v>
      </c>
      <c r="BS141" t="s">
        <v>3062</v>
      </c>
      <c r="BT141" t="str">
        <f>HYPERLINK("https%3A%2F%2Fwww.webofscience.com%2Fwos%2Fwoscc%2Ffull-record%2FWOS:000347579900046","View Full Record in Web of Science")</f>
        <v>View Full Record in Web of Science</v>
      </c>
    </row>
    <row r="142" spans="1:72" x14ac:dyDescent="0.15">
      <c r="A142" t="s">
        <v>72</v>
      </c>
      <c r="B142" t="s">
        <v>3063</v>
      </c>
      <c r="C142" t="s">
        <v>74</v>
      </c>
      <c r="D142" t="s">
        <v>74</v>
      </c>
      <c r="E142" t="s">
        <v>74</v>
      </c>
      <c r="F142" t="s">
        <v>3064</v>
      </c>
      <c r="G142" t="s">
        <v>74</v>
      </c>
      <c r="H142" t="s">
        <v>74</v>
      </c>
      <c r="I142" t="s">
        <v>3065</v>
      </c>
      <c r="J142" t="s">
        <v>3066</v>
      </c>
      <c r="K142" t="s">
        <v>74</v>
      </c>
      <c r="L142" t="s">
        <v>74</v>
      </c>
      <c r="M142" t="s">
        <v>78</v>
      </c>
      <c r="N142" t="s">
        <v>99</v>
      </c>
      <c r="O142" t="s">
        <v>74</v>
      </c>
      <c r="P142" t="s">
        <v>74</v>
      </c>
      <c r="Q142" t="s">
        <v>74</v>
      </c>
      <c r="R142" t="s">
        <v>74</v>
      </c>
      <c r="S142" t="s">
        <v>74</v>
      </c>
      <c r="T142" t="s">
        <v>3067</v>
      </c>
      <c r="U142" t="s">
        <v>3068</v>
      </c>
      <c r="V142" t="s">
        <v>3069</v>
      </c>
      <c r="W142" t="s">
        <v>3070</v>
      </c>
      <c r="X142" t="s">
        <v>3071</v>
      </c>
      <c r="Y142" t="s">
        <v>3072</v>
      </c>
      <c r="Z142" t="s">
        <v>3073</v>
      </c>
      <c r="AA142" t="s">
        <v>3074</v>
      </c>
      <c r="AB142" t="s">
        <v>3075</v>
      </c>
      <c r="AC142" t="s">
        <v>3076</v>
      </c>
      <c r="AD142" t="s">
        <v>3077</v>
      </c>
      <c r="AE142" t="s">
        <v>3078</v>
      </c>
      <c r="AF142" t="s">
        <v>74</v>
      </c>
      <c r="AG142">
        <v>31</v>
      </c>
      <c r="AH142">
        <v>11</v>
      </c>
      <c r="AI142">
        <v>16</v>
      </c>
      <c r="AJ142">
        <v>3</v>
      </c>
      <c r="AK142">
        <v>32</v>
      </c>
      <c r="AL142" t="s">
        <v>2666</v>
      </c>
      <c r="AM142" t="s">
        <v>342</v>
      </c>
      <c r="AN142" t="s">
        <v>2761</v>
      </c>
      <c r="AO142" t="s">
        <v>3079</v>
      </c>
      <c r="AP142" t="s">
        <v>3080</v>
      </c>
      <c r="AQ142" t="s">
        <v>74</v>
      </c>
      <c r="AR142" t="s">
        <v>3081</v>
      </c>
      <c r="AS142" t="s">
        <v>3082</v>
      </c>
      <c r="AT142" t="s">
        <v>200</v>
      </c>
      <c r="AU142">
        <v>2015</v>
      </c>
      <c r="AV142">
        <v>34</v>
      </c>
      <c r="AW142">
        <v>1</v>
      </c>
      <c r="AX142" t="s">
        <v>74</v>
      </c>
      <c r="AY142" t="s">
        <v>74</v>
      </c>
      <c r="AZ142" t="s">
        <v>74</v>
      </c>
      <c r="BA142" t="s">
        <v>74</v>
      </c>
      <c r="BB142">
        <v>129</v>
      </c>
      <c r="BC142">
        <v>136</v>
      </c>
      <c r="BD142" t="s">
        <v>74</v>
      </c>
      <c r="BE142" t="s">
        <v>3083</v>
      </c>
      <c r="BF142" t="str">
        <f>HYPERLINK("http://dx.doi.org/10.1007/s13131-015-0598-7","http://dx.doi.org/10.1007/s13131-015-0598-7")</f>
        <v>http://dx.doi.org/10.1007/s13131-015-0598-7</v>
      </c>
      <c r="BG142" t="s">
        <v>74</v>
      </c>
      <c r="BH142" t="s">
        <v>74</v>
      </c>
      <c r="BI142">
        <v>8</v>
      </c>
      <c r="BJ142" t="s">
        <v>2054</v>
      </c>
      <c r="BK142" t="s">
        <v>91</v>
      </c>
      <c r="BL142" t="s">
        <v>2054</v>
      </c>
      <c r="BM142" t="s">
        <v>3084</v>
      </c>
      <c r="BN142" t="s">
        <v>74</v>
      </c>
      <c r="BO142" t="s">
        <v>74</v>
      </c>
      <c r="BP142" t="s">
        <v>74</v>
      </c>
      <c r="BQ142" t="s">
        <v>74</v>
      </c>
      <c r="BR142" t="s">
        <v>93</v>
      </c>
      <c r="BS142" t="s">
        <v>3085</v>
      </c>
      <c r="BT142" t="str">
        <f>HYPERLINK("https%3A%2F%2Fwww.webofscience.com%2Fwos%2Fwoscc%2Ffull-record%2FWOS:000347679900017","View Full Record in Web of Science")</f>
        <v>View Full Record in Web of Science</v>
      </c>
    </row>
    <row r="143" spans="1:72" x14ac:dyDescent="0.15">
      <c r="A143" t="s">
        <v>72</v>
      </c>
      <c r="B143" t="s">
        <v>3086</v>
      </c>
      <c r="C143" t="s">
        <v>74</v>
      </c>
      <c r="D143" t="s">
        <v>74</v>
      </c>
      <c r="E143" t="s">
        <v>74</v>
      </c>
      <c r="F143" t="s">
        <v>3087</v>
      </c>
      <c r="G143" t="s">
        <v>74</v>
      </c>
      <c r="H143" t="s">
        <v>74</v>
      </c>
      <c r="I143" t="s">
        <v>3088</v>
      </c>
      <c r="J143" t="s">
        <v>3089</v>
      </c>
      <c r="K143" t="s">
        <v>74</v>
      </c>
      <c r="L143" t="s">
        <v>74</v>
      </c>
      <c r="M143" t="s">
        <v>78</v>
      </c>
      <c r="N143" t="s">
        <v>99</v>
      </c>
      <c r="O143" t="s">
        <v>74</v>
      </c>
      <c r="P143" t="s">
        <v>74</v>
      </c>
      <c r="Q143" t="s">
        <v>74</v>
      </c>
      <c r="R143" t="s">
        <v>74</v>
      </c>
      <c r="S143" t="s">
        <v>74</v>
      </c>
      <c r="T143" t="s">
        <v>3090</v>
      </c>
      <c r="U143" t="s">
        <v>3091</v>
      </c>
      <c r="V143" t="s">
        <v>3092</v>
      </c>
      <c r="W143" t="s">
        <v>3093</v>
      </c>
      <c r="X143" t="s">
        <v>3094</v>
      </c>
      <c r="Y143" t="s">
        <v>3095</v>
      </c>
      <c r="Z143" t="s">
        <v>3096</v>
      </c>
      <c r="AA143" t="s">
        <v>3097</v>
      </c>
      <c r="AB143" t="s">
        <v>3098</v>
      </c>
      <c r="AC143" t="s">
        <v>3099</v>
      </c>
      <c r="AD143" t="s">
        <v>3100</v>
      </c>
      <c r="AE143" t="s">
        <v>3101</v>
      </c>
      <c r="AF143" t="s">
        <v>74</v>
      </c>
      <c r="AG143">
        <v>44</v>
      </c>
      <c r="AH143">
        <v>24</v>
      </c>
      <c r="AI143">
        <v>26</v>
      </c>
      <c r="AJ143">
        <v>0</v>
      </c>
      <c r="AK143">
        <v>11</v>
      </c>
      <c r="AL143" t="s">
        <v>3102</v>
      </c>
      <c r="AM143" t="s">
        <v>3103</v>
      </c>
      <c r="AN143" t="s">
        <v>3104</v>
      </c>
      <c r="AO143" t="s">
        <v>3105</v>
      </c>
      <c r="AP143" t="s">
        <v>3106</v>
      </c>
      <c r="AQ143" t="s">
        <v>74</v>
      </c>
      <c r="AR143" t="s">
        <v>3107</v>
      </c>
      <c r="AS143" t="s">
        <v>3108</v>
      </c>
      <c r="AT143" t="s">
        <v>200</v>
      </c>
      <c r="AU143">
        <v>2015</v>
      </c>
      <c r="AV143">
        <v>149</v>
      </c>
      <c r="AW143">
        <v>1</v>
      </c>
      <c r="AX143" t="s">
        <v>74</v>
      </c>
      <c r="AY143" t="s">
        <v>74</v>
      </c>
      <c r="AZ143" t="s">
        <v>74</v>
      </c>
      <c r="BA143" t="s">
        <v>74</v>
      </c>
      <c r="BB143" t="s">
        <v>74</v>
      </c>
      <c r="BC143" t="s">
        <v>74</v>
      </c>
      <c r="BD143">
        <v>2</v>
      </c>
      <c r="BE143" t="s">
        <v>3109</v>
      </c>
      <c r="BF143" t="str">
        <f>HYPERLINK("http://dx.doi.org/10.1088/0004-6256/149/1/2","http://dx.doi.org/10.1088/0004-6256/149/1/2")</f>
        <v>http://dx.doi.org/10.1088/0004-6256/149/1/2</v>
      </c>
      <c r="BG143" t="s">
        <v>74</v>
      </c>
      <c r="BH143" t="s">
        <v>74</v>
      </c>
      <c r="BI143">
        <v>10</v>
      </c>
      <c r="BJ143" t="s">
        <v>2079</v>
      </c>
      <c r="BK143" t="s">
        <v>91</v>
      </c>
      <c r="BL143" t="s">
        <v>2079</v>
      </c>
      <c r="BM143" t="s">
        <v>3110</v>
      </c>
      <c r="BN143" t="s">
        <v>74</v>
      </c>
      <c r="BO143" t="s">
        <v>3111</v>
      </c>
      <c r="BP143" t="s">
        <v>74</v>
      </c>
      <c r="BQ143" t="s">
        <v>74</v>
      </c>
      <c r="BR143" t="s">
        <v>93</v>
      </c>
      <c r="BS143" t="s">
        <v>3112</v>
      </c>
      <c r="BT143" t="str">
        <f>HYPERLINK("https%3A%2F%2Fwww.webofscience.com%2Fwos%2Fwoscc%2Ffull-record%2FWOS:000347308300002","View Full Record in Web of Science")</f>
        <v>View Full Record in Web of Science</v>
      </c>
    </row>
    <row r="144" spans="1:72" x14ac:dyDescent="0.15">
      <c r="A144" t="s">
        <v>72</v>
      </c>
      <c r="B144" t="s">
        <v>3113</v>
      </c>
      <c r="C144" t="s">
        <v>74</v>
      </c>
      <c r="D144" t="s">
        <v>74</v>
      </c>
      <c r="E144" t="s">
        <v>74</v>
      </c>
      <c r="F144" t="s">
        <v>3114</v>
      </c>
      <c r="G144" t="s">
        <v>74</v>
      </c>
      <c r="H144" t="s">
        <v>74</v>
      </c>
      <c r="I144" t="s">
        <v>3115</v>
      </c>
      <c r="J144" t="s">
        <v>3116</v>
      </c>
      <c r="K144" t="s">
        <v>74</v>
      </c>
      <c r="L144" t="s">
        <v>74</v>
      </c>
      <c r="M144" t="s">
        <v>78</v>
      </c>
      <c r="N144" t="s">
        <v>99</v>
      </c>
      <c r="O144" t="s">
        <v>74</v>
      </c>
      <c r="P144" t="s">
        <v>74</v>
      </c>
      <c r="Q144" t="s">
        <v>74</v>
      </c>
      <c r="R144" t="s">
        <v>74</v>
      </c>
      <c r="S144" t="s">
        <v>74</v>
      </c>
      <c r="T144" t="s">
        <v>3117</v>
      </c>
      <c r="U144" t="s">
        <v>3118</v>
      </c>
      <c r="V144" t="s">
        <v>3119</v>
      </c>
      <c r="W144" t="s">
        <v>3120</v>
      </c>
      <c r="X144" t="s">
        <v>3121</v>
      </c>
      <c r="Y144" t="s">
        <v>3122</v>
      </c>
      <c r="Z144" t="s">
        <v>3123</v>
      </c>
      <c r="AA144" t="s">
        <v>3124</v>
      </c>
      <c r="AB144" t="s">
        <v>3125</v>
      </c>
      <c r="AC144" t="s">
        <v>3126</v>
      </c>
      <c r="AD144" t="s">
        <v>3127</v>
      </c>
      <c r="AE144" t="s">
        <v>3128</v>
      </c>
      <c r="AF144" t="s">
        <v>74</v>
      </c>
      <c r="AG144">
        <v>52</v>
      </c>
      <c r="AH144">
        <v>5</v>
      </c>
      <c r="AI144">
        <v>5</v>
      </c>
      <c r="AJ144">
        <v>0</v>
      </c>
      <c r="AK144">
        <v>10</v>
      </c>
      <c r="AL144" t="s">
        <v>3129</v>
      </c>
      <c r="AM144" t="s">
        <v>3130</v>
      </c>
      <c r="AN144" t="s">
        <v>3131</v>
      </c>
      <c r="AO144" t="s">
        <v>3132</v>
      </c>
      <c r="AP144" t="s">
        <v>3133</v>
      </c>
      <c r="AQ144" t="s">
        <v>74</v>
      </c>
      <c r="AR144" t="s">
        <v>3134</v>
      </c>
      <c r="AS144" t="s">
        <v>3135</v>
      </c>
      <c r="AT144" t="s">
        <v>2419</v>
      </c>
      <c r="AU144">
        <v>2015</v>
      </c>
      <c r="AV144">
        <v>63</v>
      </c>
      <c r="AW144">
        <v>1</v>
      </c>
      <c r="AX144" t="s">
        <v>74</v>
      </c>
      <c r="AY144" t="s">
        <v>74</v>
      </c>
      <c r="AZ144" t="s">
        <v>74</v>
      </c>
      <c r="BA144" t="s">
        <v>74</v>
      </c>
      <c r="BB144">
        <v>63</v>
      </c>
      <c r="BC144">
        <v>70</v>
      </c>
      <c r="BD144" t="s">
        <v>74</v>
      </c>
      <c r="BE144" t="s">
        <v>3136</v>
      </c>
      <c r="BF144" t="str">
        <f>HYPERLINK("http://dx.doi.org/10.1590/S1679-87592015080906301","http://dx.doi.org/10.1590/S1679-87592015080906301")</f>
        <v>http://dx.doi.org/10.1590/S1679-87592015080906301</v>
      </c>
      <c r="BG144" t="s">
        <v>74</v>
      </c>
      <c r="BH144" t="s">
        <v>74</v>
      </c>
      <c r="BI144">
        <v>8</v>
      </c>
      <c r="BJ144" t="s">
        <v>2393</v>
      </c>
      <c r="BK144" t="s">
        <v>91</v>
      </c>
      <c r="BL144" t="s">
        <v>2393</v>
      </c>
      <c r="BM144" t="s">
        <v>3137</v>
      </c>
      <c r="BN144" t="s">
        <v>74</v>
      </c>
      <c r="BO144" t="s">
        <v>1136</v>
      </c>
      <c r="BP144" t="s">
        <v>74</v>
      </c>
      <c r="BQ144" t="s">
        <v>74</v>
      </c>
      <c r="BR144" t="s">
        <v>93</v>
      </c>
      <c r="BS144" t="s">
        <v>3138</v>
      </c>
      <c r="BT144" t="str">
        <f>HYPERLINK("https%3A%2F%2Fwww.webofscience.com%2Fwos%2Fwoscc%2Ffull-record%2FWOS:000347609700006","View Full Record in Web of Science")</f>
        <v>View Full Record in Web of Science</v>
      </c>
    </row>
    <row r="145" spans="1:72" x14ac:dyDescent="0.15">
      <c r="A145" t="s">
        <v>72</v>
      </c>
      <c r="B145" t="s">
        <v>3139</v>
      </c>
      <c r="C145" t="s">
        <v>74</v>
      </c>
      <c r="D145" t="s">
        <v>74</v>
      </c>
      <c r="E145" t="s">
        <v>74</v>
      </c>
      <c r="F145" t="s">
        <v>3140</v>
      </c>
      <c r="G145" t="s">
        <v>74</v>
      </c>
      <c r="H145" t="s">
        <v>74</v>
      </c>
      <c r="I145" t="s">
        <v>3141</v>
      </c>
      <c r="J145" t="s">
        <v>3142</v>
      </c>
      <c r="K145" t="s">
        <v>74</v>
      </c>
      <c r="L145" t="s">
        <v>74</v>
      </c>
      <c r="M145" t="s">
        <v>78</v>
      </c>
      <c r="N145" t="s">
        <v>99</v>
      </c>
      <c r="O145" t="s">
        <v>74</v>
      </c>
      <c r="P145" t="s">
        <v>74</v>
      </c>
      <c r="Q145" t="s">
        <v>74</v>
      </c>
      <c r="R145" t="s">
        <v>74</v>
      </c>
      <c r="S145" t="s">
        <v>74</v>
      </c>
      <c r="T145" t="s">
        <v>3143</v>
      </c>
      <c r="U145" t="s">
        <v>74</v>
      </c>
      <c r="V145" t="s">
        <v>3144</v>
      </c>
      <c r="W145" t="s">
        <v>3145</v>
      </c>
      <c r="X145" t="s">
        <v>3146</v>
      </c>
      <c r="Y145" t="s">
        <v>3147</v>
      </c>
      <c r="Z145" t="s">
        <v>74</v>
      </c>
      <c r="AA145" t="s">
        <v>3148</v>
      </c>
      <c r="AB145" t="s">
        <v>3149</v>
      </c>
      <c r="AC145" t="s">
        <v>74</v>
      </c>
      <c r="AD145" t="s">
        <v>74</v>
      </c>
      <c r="AE145" t="s">
        <v>74</v>
      </c>
      <c r="AF145" t="s">
        <v>74</v>
      </c>
      <c r="AG145">
        <v>12</v>
      </c>
      <c r="AH145">
        <v>2</v>
      </c>
      <c r="AI145">
        <v>2</v>
      </c>
      <c r="AJ145">
        <v>0</v>
      </c>
      <c r="AK145">
        <v>79</v>
      </c>
      <c r="AL145" t="s">
        <v>3150</v>
      </c>
      <c r="AM145" t="s">
        <v>219</v>
      </c>
      <c r="AN145" t="s">
        <v>3151</v>
      </c>
      <c r="AO145" t="s">
        <v>3152</v>
      </c>
      <c r="AP145" t="s">
        <v>3153</v>
      </c>
      <c r="AQ145" t="s">
        <v>74</v>
      </c>
      <c r="AR145" t="s">
        <v>3154</v>
      </c>
      <c r="AS145" t="s">
        <v>3155</v>
      </c>
      <c r="AT145" t="s">
        <v>1924</v>
      </c>
      <c r="AU145">
        <v>2015</v>
      </c>
      <c r="AV145">
        <v>71</v>
      </c>
      <c r="AW145">
        <v>1</v>
      </c>
      <c r="AX145" t="s">
        <v>74</v>
      </c>
      <c r="AY145" t="s">
        <v>74</v>
      </c>
      <c r="AZ145" t="s">
        <v>74</v>
      </c>
      <c r="BA145" t="s">
        <v>74</v>
      </c>
      <c r="BB145">
        <v>75</v>
      </c>
      <c r="BC145">
        <v>84</v>
      </c>
      <c r="BD145" t="s">
        <v>74</v>
      </c>
      <c r="BE145" t="s">
        <v>3156</v>
      </c>
      <c r="BF145" t="str">
        <f>HYPERLINK("http://dx.doi.org/10.1177/0096340214563685","http://dx.doi.org/10.1177/0096340214563685")</f>
        <v>http://dx.doi.org/10.1177/0096340214563685</v>
      </c>
      <c r="BG145" t="s">
        <v>74</v>
      </c>
      <c r="BH145" t="s">
        <v>74</v>
      </c>
      <c r="BI145">
        <v>10</v>
      </c>
      <c r="BJ145" t="s">
        <v>3157</v>
      </c>
      <c r="BK145" t="s">
        <v>891</v>
      </c>
      <c r="BL145" t="s">
        <v>3157</v>
      </c>
      <c r="BM145" t="s">
        <v>3158</v>
      </c>
      <c r="BN145" t="s">
        <v>74</v>
      </c>
      <c r="BO145" t="s">
        <v>74</v>
      </c>
      <c r="BP145" t="s">
        <v>74</v>
      </c>
      <c r="BQ145" t="s">
        <v>74</v>
      </c>
      <c r="BR145" t="s">
        <v>93</v>
      </c>
      <c r="BS145" t="s">
        <v>3159</v>
      </c>
      <c r="BT145" t="str">
        <f>HYPERLINK("https%3A%2F%2Fwww.webofscience.com%2Fwos%2Fwoscc%2Ffull-record%2FWOS:000347322200010","View Full Record in Web of Science")</f>
        <v>View Full Record in Web of Science</v>
      </c>
    </row>
    <row r="146" spans="1:72" x14ac:dyDescent="0.15">
      <c r="A146" t="s">
        <v>72</v>
      </c>
      <c r="B146" t="s">
        <v>3160</v>
      </c>
      <c r="C146" t="s">
        <v>74</v>
      </c>
      <c r="D146" t="s">
        <v>74</v>
      </c>
      <c r="E146" t="s">
        <v>74</v>
      </c>
      <c r="F146" t="s">
        <v>3161</v>
      </c>
      <c r="G146" t="s">
        <v>74</v>
      </c>
      <c r="H146" t="s">
        <v>74</v>
      </c>
      <c r="I146" t="s">
        <v>3162</v>
      </c>
      <c r="J146" t="s">
        <v>3163</v>
      </c>
      <c r="K146" t="s">
        <v>74</v>
      </c>
      <c r="L146" t="s">
        <v>74</v>
      </c>
      <c r="M146" t="s">
        <v>78</v>
      </c>
      <c r="N146" t="s">
        <v>99</v>
      </c>
      <c r="O146" t="s">
        <v>74</v>
      </c>
      <c r="P146" t="s">
        <v>74</v>
      </c>
      <c r="Q146" t="s">
        <v>74</v>
      </c>
      <c r="R146" t="s">
        <v>74</v>
      </c>
      <c r="S146" t="s">
        <v>74</v>
      </c>
      <c r="T146" t="s">
        <v>3164</v>
      </c>
      <c r="U146" t="s">
        <v>3165</v>
      </c>
      <c r="V146" t="s">
        <v>3166</v>
      </c>
      <c r="W146" t="s">
        <v>3167</v>
      </c>
      <c r="X146" t="s">
        <v>2478</v>
      </c>
      <c r="Y146" t="s">
        <v>3168</v>
      </c>
      <c r="Z146" t="s">
        <v>2480</v>
      </c>
      <c r="AA146" t="s">
        <v>2481</v>
      </c>
      <c r="AB146" t="s">
        <v>2482</v>
      </c>
      <c r="AC146" t="s">
        <v>3169</v>
      </c>
      <c r="AD146" t="s">
        <v>3170</v>
      </c>
      <c r="AE146" t="s">
        <v>3171</v>
      </c>
      <c r="AF146" t="s">
        <v>74</v>
      </c>
      <c r="AG146">
        <v>52</v>
      </c>
      <c r="AH146">
        <v>30</v>
      </c>
      <c r="AI146">
        <v>32</v>
      </c>
      <c r="AJ146">
        <v>1</v>
      </c>
      <c r="AK146">
        <v>14</v>
      </c>
      <c r="AL146" t="s">
        <v>2666</v>
      </c>
      <c r="AM146" t="s">
        <v>342</v>
      </c>
      <c r="AN146" t="s">
        <v>2761</v>
      </c>
      <c r="AO146" t="s">
        <v>3172</v>
      </c>
      <c r="AP146" t="s">
        <v>3173</v>
      </c>
      <c r="AQ146" t="s">
        <v>74</v>
      </c>
      <c r="AR146" t="s">
        <v>3174</v>
      </c>
      <c r="AS146" t="s">
        <v>3175</v>
      </c>
      <c r="AT146" t="s">
        <v>200</v>
      </c>
      <c r="AU146">
        <v>2015</v>
      </c>
      <c r="AV146">
        <v>73</v>
      </c>
      <c r="AW146">
        <v>1</v>
      </c>
      <c r="AX146" t="s">
        <v>74</v>
      </c>
      <c r="AY146" t="s">
        <v>74</v>
      </c>
      <c r="AZ146" t="s">
        <v>74</v>
      </c>
      <c r="BA146" t="s">
        <v>74</v>
      </c>
      <c r="BB146">
        <v>387</v>
      </c>
      <c r="BC146">
        <v>397</v>
      </c>
      <c r="BD146" t="s">
        <v>74</v>
      </c>
      <c r="BE146" t="s">
        <v>3176</v>
      </c>
      <c r="BF146" t="str">
        <f>HYPERLINK("http://dx.doi.org/10.1007/s12665-014-3432-1","http://dx.doi.org/10.1007/s12665-014-3432-1")</f>
        <v>http://dx.doi.org/10.1007/s12665-014-3432-1</v>
      </c>
      <c r="BG146" t="s">
        <v>74</v>
      </c>
      <c r="BH146" t="s">
        <v>74</v>
      </c>
      <c r="BI146">
        <v>11</v>
      </c>
      <c r="BJ146" t="s">
        <v>3177</v>
      </c>
      <c r="BK146" t="s">
        <v>91</v>
      </c>
      <c r="BL146" t="s">
        <v>3178</v>
      </c>
      <c r="BM146" t="s">
        <v>3179</v>
      </c>
      <c r="BN146" t="s">
        <v>74</v>
      </c>
      <c r="BO146" t="s">
        <v>74</v>
      </c>
      <c r="BP146" t="s">
        <v>74</v>
      </c>
      <c r="BQ146" t="s">
        <v>74</v>
      </c>
      <c r="BR146" t="s">
        <v>93</v>
      </c>
      <c r="BS146" t="s">
        <v>3180</v>
      </c>
      <c r="BT146" t="str">
        <f>HYPERLINK("https%3A%2F%2Fwww.webofscience.com%2Fwos%2Fwoscc%2Ffull-record%2FWOS:000347446100031","View Full Record in Web of Science")</f>
        <v>View Full Record in Web of Science</v>
      </c>
    </row>
    <row r="147" spans="1:72" x14ac:dyDescent="0.15">
      <c r="A147" t="s">
        <v>72</v>
      </c>
      <c r="B147" t="s">
        <v>3181</v>
      </c>
      <c r="C147" t="s">
        <v>74</v>
      </c>
      <c r="D147" t="s">
        <v>74</v>
      </c>
      <c r="E147" t="s">
        <v>74</v>
      </c>
      <c r="F147" t="s">
        <v>3182</v>
      </c>
      <c r="G147" t="s">
        <v>74</v>
      </c>
      <c r="H147" t="s">
        <v>74</v>
      </c>
      <c r="I147" t="s">
        <v>3183</v>
      </c>
      <c r="J147" t="s">
        <v>3184</v>
      </c>
      <c r="K147" t="s">
        <v>74</v>
      </c>
      <c r="L147" t="s">
        <v>74</v>
      </c>
      <c r="M147" t="s">
        <v>78</v>
      </c>
      <c r="N147" t="s">
        <v>99</v>
      </c>
      <c r="O147" t="s">
        <v>74</v>
      </c>
      <c r="P147" t="s">
        <v>74</v>
      </c>
      <c r="Q147" t="s">
        <v>74</v>
      </c>
      <c r="R147" t="s">
        <v>74</v>
      </c>
      <c r="S147" t="s">
        <v>74</v>
      </c>
      <c r="T147" t="s">
        <v>3185</v>
      </c>
      <c r="U147" t="s">
        <v>3186</v>
      </c>
      <c r="V147" t="s">
        <v>3187</v>
      </c>
      <c r="W147" t="s">
        <v>3188</v>
      </c>
      <c r="X147" t="s">
        <v>3189</v>
      </c>
      <c r="Y147" t="s">
        <v>3190</v>
      </c>
      <c r="Z147" t="s">
        <v>3191</v>
      </c>
      <c r="AA147" t="s">
        <v>3192</v>
      </c>
      <c r="AB147" t="s">
        <v>3193</v>
      </c>
      <c r="AC147" t="s">
        <v>3194</v>
      </c>
      <c r="AD147" t="s">
        <v>3195</v>
      </c>
      <c r="AE147" t="s">
        <v>3196</v>
      </c>
      <c r="AF147" t="s">
        <v>74</v>
      </c>
      <c r="AG147">
        <v>33</v>
      </c>
      <c r="AH147">
        <v>19</v>
      </c>
      <c r="AI147">
        <v>20</v>
      </c>
      <c r="AJ147">
        <v>0</v>
      </c>
      <c r="AK147">
        <v>51</v>
      </c>
      <c r="AL147" t="s">
        <v>3052</v>
      </c>
      <c r="AM147" t="s">
        <v>342</v>
      </c>
      <c r="AN147" t="s">
        <v>3053</v>
      </c>
      <c r="AO147" t="s">
        <v>3197</v>
      </c>
      <c r="AP147" t="s">
        <v>3198</v>
      </c>
      <c r="AQ147" t="s">
        <v>74</v>
      </c>
      <c r="AR147" t="s">
        <v>3199</v>
      </c>
      <c r="AS147" t="s">
        <v>3200</v>
      </c>
      <c r="AT147" t="s">
        <v>200</v>
      </c>
      <c r="AU147">
        <v>2015</v>
      </c>
      <c r="AV147">
        <v>68</v>
      </c>
      <c r="AW147" t="s">
        <v>74</v>
      </c>
      <c r="AX147" t="s">
        <v>74</v>
      </c>
      <c r="AY147" t="s">
        <v>74</v>
      </c>
      <c r="AZ147" t="s">
        <v>74</v>
      </c>
      <c r="BA147" t="s">
        <v>74</v>
      </c>
      <c r="BB147">
        <v>56</v>
      </c>
      <c r="BC147">
        <v>61</v>
      </c>
      <c r="BD147" t="s">
        <v>74</v>
      </c>
      <c r="BE147" t="s">
        <v>3201</v>
      </c>
      <c r="BF147" t="str">
        <f>HYPERLINK("http://dx.doi.org/10.1016/j.enzmictec.2014.10.004","http://dx.doi.org/10.1016/j.enzmictec.2014.10.004")</f>
        <v>http://dx.doi.org/10.1016/j.enzmictec.2014.10.004</v>
      </c>
      <c r="BG147" t="s">
        <v>74</v>
      </c>
      <c r="BH147" t="s">
        <v>74</v>
      </c>
      <c r="BI147">
        <v>6</v>
      </c>
      <c r="BJ147" t="s">
        <v>3202</v>
      </c>
      <c r="BK147" t="s">
        <v>91</v>
      </c>
      <c r="BL147" t="s">
        <v>3202</v>
      </c>
      <c r="BM147" t="s">
        <v>3203</v>
      </c>
      <c r="BN147">
        <v>25435506</v>
      </c>
      <c r="BO147" t="s">
        <v>74</v>
      </c>
      <c r="BP147" t="s">
        <v>74</v>
      </c>
      <c r="BQ147" t="s">
        <v>74</v>
      </c>
      <c r="BR147" t="s">
        <v>93</v>
      </c>
      <c r="BS147" t="s">
        <v>3204</v>
      </c>
      <c r="BT147" t="str">
        <f>HYPERLINK("https%3A%2F%2Fwww.webofscience.com%2Fwos%2Fwoscc%2Ffull-record%2FWOS:000347747600008","View Full Record in Web of Science")</f>
        <v>View Full Record in Web of Science</v>
      </c>
    </row>
    <row r="148" spans="1:72" x14ac:dyDescent="0.15">
      <c r="A148" t="s">
        <v>72</v>
      </c>
      <c r="B148" t="s">
        <v>3205</v>
      </c>
      <c r="C148" t="s">
        <v>74</v>
      </c>
      <c r="D148" t="s">
        <v>74</v>
      </c>
      <c r="E148" t="s">
        <v>74</v>
      </c>
      <c r="F148" t="s">
        <v>3206</v>
      </c>
      <c r="G148" t="s">
        <v>74</v>
      </c>
      <c r="H148" t="s">
        <v>74</v>
      </c>
      <c r="I148" t="s">
        <v>3207</v>
      </c>
      <c r="J148" t="s">
        <v>3208</v>
      </c>
      <c r="K148" t="s">
        <v>74</v>
      </c>
      <c r="L148" t="s">
        <v>74</v>
      </c>
      <c r="M148" t="s">
        <v>78</v>
      </c>
      <c r="N148" t="s">
        <v>99</v>
      </c>
      <c r="O148" t="s">
        <v>74</v>
      </c>
      <c r="P148" t="s">
        <v>74</v>
      </c>
      <c r="Q148" t="s">
        <v>74</v>
      </c>
      <c r="R148" t="s">
        <v>74</v>
      </c>
      <c r="S148" t="s">
        <v>74</v>
      </c>
      <c r="T148" t="s">
        <v>3209</v>
      </c>
      <c r="U148" t="s">
        <v>3210</v>
      </c>
      <c r="V148" t="s">
        <v>3211</v>
      </c>
      <c r="W148" t="s">
        <v>3212</v>
      </c>
      <c r="X148" t="s">
        <v>3213</v>
      </c>
      <c r="Y148" t="s">
        <v>3214</v>
      </c>
      <c r="Z148" t="s">
        <v>3215</v>
      </c>
      <c r="AA148" t="s">
        <v>3216</v>
      </c>
      <c r="AB148" t="s">
        <v>3217</v>
      </c>
      <c r="AC148" t="s">
        <v>3218</v>
      </c>
      <c r="AD148" t="s">
        <v>3219</v>
      </c>
      <c r="AE148" t="s">
        <v>3220</v>
      </c>
      <c r="AF148" t="s">
        <v>74</v>
      </c>
      <c r="AG148">
        <v>31</v>
      </c>
      <c r="AH148">
        <v>13</v>
      </c>
      <c r="AI148">
        <v>13</v>
      </c>
      <c r="AJ148">
        <v>0</v>
      </c>
      <c r="AK148">
        <v>27</v>
      </c>
      <c r="AL148" t="s">
        <v>2006</v>
      </c>
      <c r="AM148" t="s">
        <v>2007</v>
      </c>
      <c r="AN148" t="s">
        <v>2008</v>
      </c>
      <c r="AO148" t="s">
        <v>3221</v>
      </c>
      <c r="AP148" t="s">
        <v>3222</v>
      </c>
      <c r="AQ148" t="s">
        <v>74</v>
      </c>
      <c r="AR148" t="s">
        <v>3208</v>
      </c>
      <c r="AS148" t="s">
        <v>3223</v>
      </c>
      <c r="AT148" t="s">
        <v>200</v>
      </c>
      <c r="AU148">
        <v>2015</v>
      </c>
      <c r="AV148">
        <v>50</v>
      </c>
      <c r="AW148">
        <v>1</v>
      </c>
      <c r="AX148" t="s">
        <v>74</v>
      </c>
      <c r="AY148" t="s">
        <v>74</v>
      </c>
      <c r="AZ148" t="s">
        <v>74</v>
      </c>
      <c r="BA148" t="s">
        <v>74</v>
      </c>
      <c r="BB148">
        <v>49</v>
      </c>
      <c r="BC148">
        <v>55</v>
      </c>
      <c r="BD148" t="s">
        <v>74</v>
      </c>
      <c r="BE148" t="s">
        <v>3224</v>
      </c>
      <c r="BF148" t="str">
        <f>HYPERLINK("http://dx.doi.org/10.1007/s11745-014-3973-9","http://dx.doi.org/10.1007/s11745-014-3973-9")</f>
        <v>http://dx.doi.org/10.1007/s11745-014-3973-9</v>
      </c>
      <c r="BG148" t="s">
        <v>74</v>
      </c>
      <c r="BH148" t="s">
        <v>74</v>
      </c>
      <c r="BI148">
        <v>7</v>
      </c>
      <c r="BJ148" t="s">
        <v>3225</v>
      </c>
      <c r="BK148" t="s">
        <v>91</v>
      </c>
      <c r="BL148" t="s">
        <v>3225</v>
      </c>
      <c r="BM148" t="s">
        <v>3226</v>
      </c>
      <c r="BN148">
        <v>25425150</v>
      </c>
      <c r="BO148" t="s">
        <v>74</v>
      </c>
      <c r="BP148" t="s">
        <v>74</v>
      </c>
      <c r="BQ148" t="s">
        <v>74</v>
      </c>
      <c r="BR148" t="s">
        <v>93</v>
      </c>
      <c r="BS148" t="s">
        <v>3227</v>
      </c>
      <c r="BT148" t="str">
        <f>HYPERLINK("https%3A%2F%2Fwww.webofscience.com%2Fwos%2Fwoscc%2Ffull-record%2FWOS:000347285000006","View Full Record in Web of Science")</f>
        <v>View Full Record in Web of Science</v>
      </c>
    </row>
    <row r="149" spans="1:72" x14ac:dyDescent="0.15">
      <c r="A149" t="s">
        <v>72</v>
      </c>
      <c r="B149" t="s">
        <v>3228</v>
      </c>
      <c r="C149" t="s">
        <v>74</v>
      </c>
      <c r="D149" t="s">
        <v>74</v>
      </c>
      <c r="E149" t="s">
        <v>74</v>
      </c>
      <c r="F149" t="s">
        <v>3229</v>
      </c>
      <c r="G149" t="s">
        <v>74</v>
      </c>
      <c r="H149" t="s">
        <v>74</v>
      </c>
      <c r="I149" t="s">
        <v>3230</v>
      </c>
      <c r="J149" t="s">
        <v>3231</v>
      </c>
      <c r="K149" t="s">
        <v>74</v>
      </c>
      <c r="L149" t="s">
        <v>74</v>
      </c>
      <c r="M149" t="s">
        <v>78</v>
      </c>
      <c r="N149" t="s">
        <v>99</v>
      </c>
      <c r="O149" t="s">
        <v>74</v>
      </c>
      <c r="P149" t="s">
        <v>74</v>
      </c>
      <c r="Q149" t="s">
        <v>74</v>
      </c>
      <c r="R149" t="s">
        <v>74</v>
      </c>
      <c r="S149" t="s">
        <v>74</v>
      </c>
      <c r="T149" t="s">
        <v>74</v>
      </c>
      <c r="U149" t="s">
        <v>3232</v>
      </c>
      <c r="V149" t="s">
        <v>3233</v>
      </c>
      <c r="W149" t="s">
        <v>3234</v>
      </c>
      <c r="X149" t="s">
        <v>3235</v>
      </c>
      <c r="Y149" t="s">
        <v>3236</v>
      </c>
      <c r="Z149" t="s">
        <v>3237</v>
      </c>
      <c r="AA149" t="s">
        <v>3238</v>
      </c>
      <c r="AB149" t="s">
        <v>3239</v>
      </c>
      <c r="AC149" t="s">
        <v>3240</v>
      </c>
      <c r="AD149" t="s">
        <v>3241</v>
      </c>
      <c r="AE149" t="s">
        <v>3242</v>
      </c>
      <c r="AF149" t="s">
        <v>74</v>
      </c>
      <c r="AG149">
        <v>44</v>
      </c>
      <c r="AH149">
        <v>4</v>
      </c>
      <c r="AI149">
        <v>4</v>
      </c>
      <c r="AJ149">
        <v>0</v>
      </c>
      <c r="AK149">
        <v>11</v>
      </c>
      <c r="AL149" t="s">
        <v>2486</v>
      </c>
      <c r="AM149" t="s">
        <v>2487</v>
      </c>
      <c r="AN149" t="s">
        <v>2488</v>
      </c>
      <c r="AO149" t="s">
        <v>3243</v>
      </c>
      <c r="AP149" t="s">
        <v>3244</v>
      </c>
      <c r="AQ149" t="s">
        <v>74</v>
      </c>
      <c r="AR149" t="s">
        <v>3245</v>
      </c>
      <c r="AS149" t="s">
        <v>3246</v>
      </c>
      <c r="AT149" t="s">
        <v>200</v>
      </c>
      <c r="AU149">
        <v>2015</v>
      </c>
      <c r="AV149">
        <v>162</v>
      </c>
      <c r="AW149">
        <v>1</v>
      </c>
      <c r="AX149" t="s">
        <v>74</v>
      </c>
      <c r="AY149" t="s">
        <v>74</v>
      </c>
      <c r="AZ149" t="s">
        <v>74</v>
      </c>
      <c r="BA149" t="s">
        <v>74</v>
      </c>
      <c r="BB149">
        <v>169</v>
      </c>
      <c r="BC149">
        <v>180</v>
      </c>
      <c r="BD149" t="s">
        <v>74</v>
      </c>
      <c r="BE149" t="s">
        <v>3247</v>
      </c>
      <c r="BF149" t="str">
        <f>HYPERLINK("http://dx.doi.org/10.1007/s00227-014-2573-9","http://dx.doi.org/10.1007/s00227-014-2573-9")</f>
        <v>http://dx.doi.org/10.1007/s00227-014-2573-9</v>
      </c>
      <c r="BG149" t="s">
        <v>74</v>
      </c>
      <c r="BH149" t="s">
        <v>74</v>
      </c>
      <c r="BI149">
        <v>12</v>
      </c>
      <c r="BJ149" t="s">
        <v>1227</v>
      </c>
      <c r="BK149" t="s">
        <v>91</v>
      </c>
      <c r="BL149" t="s">
        <v>1227</v>
      </c>
      <c r="BM149" t="s">
        <v>3248</v>
      </c>
      <c r="BN149" t="s">
        <v>74</v>
      </c>
      <c r="BO149" t="s">
        <v>574</v>
      </c>
      <c r="BP149" t="s">
        <v>74</v>
      </c>
      <c r="BQ149" t="s">
        <v>74</v>
      </c>
      <c r="BR149" t="s">
        <v>93</v>
      </c>
      <c r="BS149" t="s">
        <v>3249</v>
      </c>
      <c r="BT149" t="str">
        <f>HYPERLINK("https%3A%2F%2Fwww.webofscience.com%2Fwos%2Fwoscc%2Ffull-record%2FWOS:000347405400013","View Full Record in Web of Science")</f>
        <v>View Full Record in Web of Science</v>
      </c>
    </row>
    <row r="150" spans="1:72" x14ac:dyDescent="0.15">
      <c r="A150" t="s">
        <v>72</v>
      </c>
      <c r="B150" t="s">
        <v>3250</v>
      </c>
      <c r="C150" t="s">
        <v>74</v>
      </c>
      <c r="D150" t="s">
        <v>74</v>
      </c>
      <c r="E150" t="s">
        <v>74</v>
      </c>
      <c r="F150" t="s">
        <v>3251</v>
      </c>
      <c r="G150" t="s">
        <v>74</v>
      </c>
      <c r="H150" t="s">
        <v>74</v>
      </c>
      <c r="I150" t="s">
        <v>3252</v>
      </c>
      <c r="J150" t="s">
        <v>3253</v>
      </c>
      <c r="K150" t="s">
        <v>74</v>
      </c>
      <c r="L150" t="s">
        <v>74</v>
      </c>
      <c r="M150" t="s">
        <v>78</v>
      </c>
      <c r="N150" t="s">
        <v>99</v>
      </c>
      <c r="O150" t="s">
        <v>74</v>
      </c>
      <c r="P150" t="s">
        <v>74</v>
      </c>
      <c r="Q150" t="s">
        <v>74</v>
      </c>
      <c r="R150" t="s">
        <v>74</v>
      </c>
      <c r="S150" t="s">
        <v>74</v>
      </c>
      <c r="T150" t="s">
        <v>74</v>
      </c>
      <c r="U150" t="s">
        <v>3254</v>
      </c>
      <c r="V150" t="s">
        <v>3255</v>
      </c>
      <c r="W150" t="s">
        <v>3256</v>
      </c>
      <c r="X150" t="s">
        <v>3257</v>
      </c>
      <c r="Y150" t="s">
        <v>3258</v>
      </c>
      <c r="Z150" t="s">
        <v>3259</v>
      </c>
      <c r="AA150" t="s">
        <v>3260</v>
      </c>
      <c r="AB150" t="s">
        <v>3261</v>
      </c>
      <c r="AC150" t="s">
        <v>3262</v>
      </c>
      <c r="AD150" t="s">
        <v>3263</v>
      </c>
      <c r="AE150" t="s">
        <v>3264</v>
      </c>
      <c r="AF150" t="s">
        <v>74</v>
      </c>
      <c r="AG150">
        <v>50</v>
      </c>
      <c r="AH150">
        <v>96</v>
      </c>
      <c r="AI150">
        <v>105</v>
      </c>
      <c r="AJ150">
        <v>14</v>
      </c>
      <c r="AK150">
        <v>118</v>
      </c>
      <c r="AL150" t="s">
        <v>2439</v>
      </c>
      <c r="AM150" t="s">
        <v>1411</v>
      </c>
      <c r="AN150" t="s">
        <v>2440</v>
      </c>
      <c r="AO150" t="s">
        <v>3265</v>
      </c>
      <c r="AP150" t="s">
        <v>3266</v>
      </c>
      <c r="AQ150" t="s">
        <v>74</v>
      </c>
      <c r="AR150" t="s">
        <v>3267</v>
      </c>
      <c r="AS150" t="s">
        <v>3268</v>
      </c>
      <c r="AT150" t="s">
        <v>2464</v>
      </c>
      <c r="AU150">
        <v>2015</v>
      </c>
      <c r="AV150">
        <v>148</v>
      </c>
      <c r="AW150" t="s">
        <v>74</v>
      </c>
      <c r="AX150" t="s">
        <v>74</v>
      </c>
      <c r="AY150" t="s">
        <v>74</v>
      </c>
      <c r="AZ150" t="s">
        <v>74</v>
      </c>
      <c r="BA150" t="s">
        <v>74</v>
      </c>
      <c r="BB150">
        <v>269</v>
      </c>
      <c r="BC150">
        <v>283</v>
      </c>
      <c r="BD150" t="s">
        <v>74</v>
      </c>
      <c r="BE150" t="s">
        <v>3269</v>
      </c>
      <c r="BF150" t="str">
        <f>HYPERLINK("http://dx.doi.org/10.1016/j.gca.2014.09.032","http://dx.doi.org/10.1016/j.gca.2014.09.032")</f>
        <v>http://dx.doi.org/10.1016/j.gca.2014.09.032</v>
      </c>
      <c r="BG150" t="s">
        <v>74</v>
      </c>
      <c r="BH150" t="s">
        <v>74</v>
      </c>
      <c r="BI150">
        <v>15</v>
      </c>
      <c r="BJ150" t="s">
        <v>1902</v>
      </c>
      <c r="BK150" t="s">
        <v>91</v>
      </c>
      <c r="BL150" t="s">
        <v>1902</v>
      </c>
      <c r="BM150" t="s">
        <v>3270</v>
      </c>
      <c r="BN150" t="s">
        <v>74</v>
      </c>
      <c r="BO150" t="s">
        <v>74</v>
      </c>
      <c r="BP150" t="s">
        <v>74</v>
      </c>
      <c r="BQ150" t="s">
        <v>74</v>
      </c>
      <c r="BR150" t="s">
        <v>93</v>
      </c>
      <c r="BS150" t="s">
        <v>3271</v>
      </c>
      <c r="BT150" t="str">
        <f>HYPERLINK("https%3A%2F%2Fwww.webofscience.com%2Fwos%2Fwoscc%2Ffull-record%2FWOS:000346743900018","View Full Record in Web of Science")</f>
        <v>View Full Record in Web of Science</v>
      </c>
    </row>
    <row r="151" spans="1:72" x14ac:dyDescent="0.15">
      <c r="A151" t="s">
        <v>72</v>
      </c>
      <c r="B151" t="s">
        <v>3272</v>
      </c>
      <c r="C151" t="s">
        <v>74</v>
      </c>
      <c r="D151" t="s">
        <v>74</v>
      </c>
      <c r="E151" t="s">
        <v>74</v>
      </c>
      <c r="F151" t="s">
        <v>3273</v>
      </c>
      <c r="G151" t="s">
        <v>74</v>
      </c>
      <c r="H151" t="s">
        <v>74</v>
      </c>
      <c r="I151" t="s">
        <v>3274</v>
      </c>
      <c r="J151" t="s">
        <v>2526</v>
      </c>
      <c r="K151" t="s">
        <v>74</v>
      </c>
      <c r="L151" t="s">
        <v>74</v>
      </c>
      <c r="M151" t="s">
        <v>78</v>
      </c>
      <c r="N151" t="s">
        <v>99</v>
      </c>
      <c r="O151" t="s">
        <v>74</v>
      </c>
      <c r="P151" t="s">
        <v>74</v>
      </c>
      <c r="Q151" t="s">
        <v>74</v>
      </c>
      <c r="R151" t="s">
        <v>74</v>
      </c>
      <c r="S151" t="s">
        <v>74</v>
      </c>
      <c r="T151" t="s">
        <v>74</v>
      </c>
      <c r="U151" t="s">
        <v>3275</v>
      </c>
      <c r="V151" t="s">
        <v>3276</v>
      </c>
      <c r="W151" t="s">
        <v>3277</v>
      </c>
      <c r="X151" t="s">
        <v>3278</v>
      </c>
      <c r="Y151" t="s">
        <v>3279</v>
      </c>
      <c r="Z151" t="s">
        <v>3280</v>
      </c>
      <c r="AA151" t="s">
        <v>3281</v>
      </c>
      <c r="AB151" t="s">
        <v>3282</v>
      </c>
      <c r="AC151" t="s">
        <v>3283</v>
      </c>
      <c r="AD151" t="s">
        <v>3284</v>
      </c>
      <c r="AE151" t="s">
        <v>3285</v>
      </c>
      <c r="AF151" t="s">
        <v>74</v>
      </c>
      <c r="AG151">
        <v>42</v>
      </c>
      <c r="AH151">
        <v>65</v>
      </c>
      <c r="AI151">
        <v>69</v>
      </c>
      <c r="AJ151">
        <v>1</v>
      </c>
      <c r="AK151">
        <v>40</v>
      </c>
      <c r="AL151" t="s">
        <v>1563</v>
      </c>
      <c r="AM151" t="s">
        <v>1564</v>
      </c>
      <c r="AN151" t="s">
        <v>1565</v>
      </c>
      <c r="AO151" t="s">
        <v>2538</v>
      </c>
      <c r="AP151" t="s">
        <v>2539</v>
      </c>
      <c r="AQ151" t="s">
        <v>74</v>
      </c>
      <c r="AR151" t="s">
        <v>2540</v>
      </c>
      <c r="AS151" t="s">
        <v>2541</v>
      </c>
      <c r="AT151" t="s">
        <v>200</v>
      </c>
      <c r="AU151">
        <v>2015</v>
      </c>
      <c r="AV151">
        <v>28</v>
      </c>
      <c r="AW151">
        <v>1</v>
      </c>
      <c r="AX151" t="s">
        <v>74</v>
      </c>
      <c r="AY151" t="s">
        <v>74</v>
      </c>
      <c r="AZ151" t="s">
        <v>74</v>
      </c>
      <c r="BA151" t="s">
        <v>74</v>
      </c>
      <c r="BB151">
        <v>56</v>
      </c>
      <c r="BC151">
        <v>65</v>
      </c>
      <c r="BD151" t="s">
        <v>74</v>
      </c>
      <c r="BE151" t="s">
        <v>3286</v>
      </c>
      <c r="BF151" t="str">
        <f>HYPERLINK("http://dx.doi.org/10.1175/JCLI-D-14-00438.1","http://dx.doi.org/10.1175/JCLI-D-14-00438.1")</f>
        <v>http://dx.doi.org/10.1175/JCLI-D-14-00438.1</v>
      </c>
      <c r="BG151" t="s">
        <v>74</v>
      </c>
      <c r="BH151" t="s">
        <v>74</v>
      </c>
      <c r="BI151">
        <v>10</v>
      </c>
      <c r="BJ151" t="s">
        <v>226</v>
      </c>
      <c r="BK151" t="s">
        <v>91</v>
      </c>
      <c r="BL151" t="s">
        <v>226</v>
      </c>
      <c r="BM151" t="s">
        <v>3287</v>
      </c>
      <c r="BN151" t="s">
        <v>74</v>
      </c>
      <c r="BO151" t="s">
        <v>375</v>
      </c>
      <c r="BP151" t="s">
        <v>74</v>
      </c>
      <c r="BQ151" t="s">
        <v>74</v>
      </c>
      <c r="BR151" t="s">
        <v>93</v>
      </c>
      <c r="BS151" t="s">
        <v>3288</v>
      </c>
      <c r="BT151" t="str">
        <f>HYPERLINK("https%3A%2F%2Fwww.webofscience.com%2Fwos%2Fwoscc%2Ffull-record%2FWOS:000347061200004","View Full Record in Web of Science")</f>
        <v>View Full Record in Web of Science</v>
      </c>
    </row>
    <row r="152" spans="1:72" x14ac:dyDescent="0.15">
      <c r="A152" t="s">
        <v>72</v>
      </c>
      <c r="B152" t="s">
        <v>3289</v>
      </c>
      <c r="C152" t="s">
        <v>74</v>
      </c>
      <c r="D152" t="s">
        <v>74</v>
      </c>
      <c r="E152" t="s">
        <v>74</v>
      </c>
      <c r="F152" t="s">
        <v>3290</v>
      </c>
      <c r="G152" t="s">
        <v>74</v>
      </c>
      <c r="H152" t="s">
        <v>74</v>
      </c>
      <c r="I152" t="s">
        <v>3291</v>
      </c>
      <c r="J152" t="s">
        <v>2526</v>
      </c>
      <c r="K152" t="s">
        <v>74</v>
      </c>
      <c r="L152" t="s">
        <v>74</v>
      </c>
      <c r="M152" t="s">
        <v>78</v>
      </c>
      <c r="N152" t="s">
        <v>99</v>
      </c>
      <c r="O152" t="s">
        <v>74</v>
      </c>
      <c r="P152" t="s">
        <v>74</v>
      </c>
      <c r="Q152" t="s">
        <v>74</v>
      </c>
      <c r="R152" t="s">
        <v>74</v>
      </c>
      <c r="S152" t="s">
        <v>74</v>
      </c>
      <c r="T152" t="s">
        <v>74</v>
      </c>
      <c r="U152" t="s">
        <v>3292</v>
      </c>
      <c r="V152" t="s">
        <v>3293</v>
      </c>
      <c r="W152" t="s">
        <v>3294</v>
      </c>
      <c r="X152" t="s">
        <v>3295</v>
      </c>
      <c r="Y152" t="s">
        <v>3296</v>
      </c>
      <c r="Z152" t="s">
        <v>3297</v>
      </c>
      <c r="AA152" t="s">
        <v>3298</v>
      </c>
      <c r="AB152" t="s">
        <v>3299</v>
      </c>
      <c r="AC152" t="s">
        <v>74</v>
      </c>
      <c r="AD152" t="s">
        <v>74</v>
      </c>
      <c r="AE152" t="s">
        <v>74</v>
      </c>
      <c r="AF152" t="s">
        <v>74</v>
      </c>
      <c r="AG152">
        <v>33</v>
      </c>
      <c r="AH152">
        <v>54</v>
      </c>
      <c r="AI152">
        <v>60</v>
      </c>
      <c r="AJ152">
        <v>1</v>
      </c>
      <c r="AK152">
        <v>24</v>
      </c>
      <c r="AL152" t="s">
        <v>1563</v>
      </c>
      <c r="AM152" t="s">
        <v>1564</v>
      </c>
      <c r="AN152" t="s">
        <v>1565</v>
      </c>
      <c r="AO152" t="s">
        <v>2538</v>
      </c>
      <c r="AP152" t="s">
        <v>2539</v>
      </c>
      <c r="AQ152" t="s">
        <v>74</v>
      </c>
      <c r="AR152" t="s">
        <v>2540</v>
      </c>
      <c r="AS152" t="s">
        <v>2541</v>
      </c>
      <c r="AT152" t="s">
        <v>200</v>
      </c>
      <c r="AU152">
        <v>2015</v>
      </c>
      <c r="AV152">
        <v>28</v>
      </c>
      <c r="AW152">
        <v>1</v>
      </c>
      <c r="AX152" t="s">
        <v>74</v>
      </c>
      <c r="AY152" t="s">
        <v>74</v>
      </c>
      <c r="AZ152" t="s">
        <v>74</v>
      </c>
      <c r="BA152" t="s">
        <v>74</v>
      </c>
      <c r="BB152">
        <v>204</v>
      </c>
      <c r="BC152">
        <v>217</v>
      </c>
      <c r="BD152" t="s">
        <v>74</v>
      </c>
      <c r="BE152" t="s">
        <v>3300</v>
      </c>
      <c r="BF152" t="str">
        <f>HYPERLINK("http://dx.doi.org/10.1175/JCLI-D-14-00509.1","http://dx.doi.org/10.1175/JCLI-D-14-00509.1")</f>
        <v>http://dx.doi.org/10.1175/JCLI-D-14-00509.1</v>
      </c>
      <c r="BG152" t="s">
        <v>74</v>
      </c>
      <c r="BH152" t="s">
        <v>74</v>
      </c>
      <c r="BI152">
        <v>14</v>
      </c>
      <c r="BJ152" t="s">
        <v>226</v>
      </c>
      <c r="BK152" t="s">
        <v>91</v>
      </c>
      <c r="BL152" t="s">
        <v>226</v>
      </c>
      <c r="BM152" t="s">
        <v>3287</v>
      </c>
      <c r="BN152" t="s">
        <v>74</v>
      </c>
      <c r="BO152" t="s">
        <v>375</v>
      </c>
      <c r="BP152" t="s">
        <v>74</v>
      </c>
      <c r="BQ152" t="s">
        <v>74</v>
      </c>
      <c r="BR152" t="s">
        <v>93</v>
      </c>
      <c r="BS152" t="s">
        <v>3301</v>
      </c>
      <c r="BT152" t="str">
        <f>HYPERLINK("https%3A%2F%2Fwww.webofscience.com%2Fwos%2Fwoscc%2Ffull-record%2FWOS:000347061200012","View Full Record in Web of Science")</f>
        <v>View Full Record in Web of Science</v>
      </c>
    </row>
    <row r="153" spans="1:72" x14ac:dyDescent="0.15">
      <c r="A153" t="s">
        <v>72</v>
      </c>
      <c r="B153" t="s">
        <v>3302</v>
      </c>
      <c r="C153" t="s">
        <v>74</v>
      </c>
      <c r="D153" t="s">
        <v>74</v>
      </c>
      <c r="E153" t="s">
        <v>74</v>
      </c>
      <c r="F153" t="s">
        <v>3303</v>
      </c>
      <c r="G153" t="s">
        <v>74</v>
      </c>
      <c r="H153" t="s">
        <v>74</v>
      </c>
      <c r="I153" t="s">
        <v>3304</v>
      </c>
      <c r="J153" t="s">
        <v>3305</v>
      </c>
      <c r="K153" t="s">
        <v>74</v>
      </c>
      <c r="L153" t="s">
        <v>74</v>
      </c>
      <c r="M153" t="s">
        <v>78</v>
      </c>
      <c r="N153" t="s">
        <v>99</v>
      </c>
      <c r="O153" t="s">
        <v>74</v>
      </c>
      <c r="P153" t="s">
        <v>74</v>
      </c>
      <c r="Q153" t="s">
        <v>74</v>
      </c>
      <c r="R153" t="s">
        <v>74</v>
      </c>
      <c r="S153" t="s">
        <v>74</v>
      </c>
      <c r="T153" t="s">
        <v>3306</v>
      </c>
      <c r="U153" t="s">
        <v>3307</v>
      </c>
      <c r="V153" t="s">
        <v>3308</v>
      </c>
      <c r="W153" t="s">
        <v>3309</v>
      </c>
      <c r="X153" t="s">
        <v>3310</v>
      </c>
      <c r="Y153" t="s">
        <v>3311</v>
      </c>
      <c r="Z153" t="s">
        <v>3312</v>
      </c>
      <c r="AA153" t="s">
        <v>74</v>
      </c>
      <c r="AB153" t="s">
        <v>74</v>
      </c>
      <c r="AC153" t="s">
        <v>3313</v>
      </c>
      <c r="AD153" t="s">
        <v>3314</v>
      </c>
      <c r="AE153" t="s">
        <v>3315</v>
      </c>
      <c r="AF153" t="s">
        <v>74</v>
      </c>
      <c r="AG153">
        <v>46</v>
      </c>
      <c r="AH153">
        <v>2</v>
      </c>
      <c r="AI153">
        <v>2</v>
      </c>
      <c r="AJ153">
        <v>0</v>
      </c>
      <c r="AK153">
        <v>5</v>
      </c>
      <c r="AL153" t="s">
        <v>2439</v>
      </c>
      <c r="AM153" t="s">
        <v>1411</v>
      </c>
      <c r="AN153" t="s">
        <v>2440</v>
      </c>
      <c r="AO153" t="s">
        <v>3316</v>
      </c>
      <c r="AP153" t="s">
        <v>3317</v>
      </c>
      <c r="AQ153" t="s">
        <v>74</v>
      </c>
      <c r="AR153" t="s">
        <v>3318</v>
      </c>
      <c r="AS153" t="s">
        <v>3319</v>
      </c>
      <c r="AT153" t="s">
        <v>200</v>
      </c>
      <c r="AU153">
        <v>2015</v>
      </c>
      <c r="AV153">
        <v>151</v>
      </c>
      <c r="AW153" t="s">
        <v>74</v>
      </c>
      <c r="AX153" t="s">
        <v>74</v>
      </c>
      <c r="AY153" t="s">
        <v>74</v>
      </c>
      <c r="AZ153" t="s">
        <v>74</v>
      </c>
      <c r="BA153" t="s">
        <v>74</v>
      </c>
      <c r="BB153">
        <v>26</v>
      </c>
      <c r="BC153">
        <v>37</v>
      </c>
      <c r="BD153" t="s">
        <v>74</v>
      </c>
      <c r="BE153" t="s">
        <v>3320</v>
      </c>
      <c r="BF153" t="str">
        <f>HYPERLINK("http://dx.doi.org/10.1016/j.jqsrt.2014.09.010","http://dx.doi.org/10.1016/j.jqsrt.2014.09.010")</f>
        <v>http://dx.doi.org/10.1016/j.jqsrt.2014.09.010</v>
      </c>
      <c r="BG153" t="s">
        <v>74</v>
      </c>
      <c r="BH153" t="s">
        <v>74</v>
      </c>
      <c r="BI153">
        <v>12</v>
      </c>
      <c r="BJ153" t="s">
        <v>3321</v>
      </c>
      <c r="BK153" t="s">
        <v>91</v>
      </c>
      <c r="BL153" t="s">
        <v>3321</v>
      </c>
      <c r="BM153" t="s">
        <v>3322</v>
      </c>
      <c r="BN153" t="s">
        <v>74</v>
      </c>
      <c r="BO153" t="s">
        <v>74</v>
      </c>
      <c r="BP153" t="s">
        <v>74</v>
      </c>
      <c r="BQ153" t="s">
        <v>74</v>
      </c>
      <c r="BR153" t="s">
        <v>93</v>
      </c>
      <c r="BS153" t="s">
        <v>3323</v>
      </c>
      <c r="BT153" t="str">
        <f>HYPERLINK("https%3A%2F%2Fwww.webofscience.com%2Fwos%2Fwoscc%2Ffull-record%2FWOS:000347263000005","View Full Record in Web of Science")</f>
        <v>View Full Record in Web of Science</v>
      </c>
    </row>
    <row r="154" spans="1:72" x14ac:dyDescent="0.15">
      <c r="A154" t="s">
        <v>72</v>
      </c>
      <c r="B154" t="s">
        <v>3324</v>
      </c>
      <c r="C154" t="s">
        <v>74</v>
      </c>
      <c r="D154" t="s">
        <v>74</v>
      </c>
      <c r="E154" t="s">
        <v>74</v>
      </c>
      <c r="F154" t="s">
        <v>3325</v>
      </c>
      <c r="G154" t="s">
        <v>74</v>
      </c>
      <c r="H154" t="s">
        <v>74</v>
      </c>
      <c r="I154" t="s">
        <v>3326</v>
      </c>
      <c r="J154" t="s">
        <v>3327</v>
      </c>
      <c r="K154" t="s">
        <v>74</v>
      </c>
      <c r="L154" t="s">
        <v>74</v>
      </c>
      <c r="M154" t="s">
        <v>78</v>
      </c>
      <c r="N154" t="s">
        <v>99</v>
      </c>
      <c r="O154" t="s">
        <v>74</v>
      </c>
      <c r="P154" t="s">
        <v>74</v>
      </c>
      <c r="Q154" t="s">
        <v>74</v>
      </c>
      <c r="R154" t="s">
        <v>74</v>
      </c>
      <c r="S154" t="s">
        <v>74</v>
      </c>
      <c r="T154" t="s">
        <v>3328</v>
      </c>
      <c r="U154" t="s">
        <v>3329</v>
      </c>
      <c r="V154" t="s">
        <v>3330</v>
      </c>
      <c r="W154" t="s">
        <v>3331</v>
      </c>
      <c r="X154" t="s">
        <v>3332</v>
      </c>
      <c r="Y154" t="s">
        <v>3333</v>
      </c>
      <c r="Z154" t="s">
        <v>3334</v>
      </c>
      <c r="AA154" t="s">
        <v>3335</v>
      </c>
      <c r="AB154" t="s">
        <v>3336</v>
      </c>
      <c r="AC154" t="s">
        <v>3337</v>
      </c>
      <c r="AD154" t="s">
        <v>3338</v>
      </c>
      <c r="AE154" t="s">
        <v>3339</v>
      </c>
      <c r="AF154" t="s">
        <v>74</v>
      </c>
      <c r="AG154">
        <v>51</v>
      </c>
      <c r="AH154">
        <v>10</v>
      </c>
      <c r="AI154">
        <v>11</v>
      </c>
      <c r="AJ154">
        <v>0</v>
      </c>
      <c r="AK154">
        <v>19</v>
      </c>
      <c r="AL154" t="s">
        <v>2486</v>
      </c>
      <c r="AM154" t="s">
        <v>2487</v>
      </c>
      <c r="AN154" t="s">
        <v>2488</v>
      </c>
      <c r="AO154" t="s">
        <v>3340</v>
      </c>
      <c r="AP154" t="s">
        <v>3341</v>
      </c>
      <c r="AQ154" t="s">
        <v>74</v>
      </c>
      <c r="AR154" t="s">
        <v>3342</v>
      </c>
      <c r="AS154" t="s">
        <v>3343</v>
      </c>
      <c r="AT154" t="s">
        <v>200</v>
      </c>
      <c r="AU154">
        <v>2015</v>
      </c>
      <c r="AV154">
        <v>65</v>
      </c>
      <c r="AW154">
        <v>1</v>
      </c>
      <c r="AX154" t="s">
        <v>74</v>
      </c>
      <c r="AY154" t="s">
        <v>74</v>
      </c>
      <c r="AZ154" t="s">
        <v>74</v>
      </c>
      <c r="BA154" t="s">
        <v>74</v>
      </c>
      <c r="BB154">
        <v>93</v>
      </c>
      <c r="BC154">
        <v>106</v>
      </c>
      <c r="BD154" t="s">
        <v>74</v>
      </c>
      <c r="BE154" t="s">
        <v>3344</v>
      </c>
      <c r="BF154" t="str">
        <f>HYPERLINK("http://dx.doi.org/10.1007/s10236-014-0787-5","http://dx.doi.org/10.1007/s10236-014-0787-5")</f>
        <v>http://dx.doi.org/10.1007/s10236-014-0787-5</v>
      </c>
      <c r="BG154" t="s">
        <v>74</v>
      </c>
      <c r="BH154" t="s">
        <v>74</v>
      </c>
      <c r="BI154">
        <v>14</v>
      </c>
      <c r="BJ154" t="s">
        <v>2054</v>
      </c>
      <c r="BK154" t="s">
        <v>91</v>
      </c>
      <c r="BL154" t="s">
        <v>2054</v>
      </c>
      <c r="BM154" t="s">
        <v>3345</v>
      </c>
      <c r="BN154" t="s">
        <v>74</v>
      </c>
      <c r="BO154" t="s">
        <v>74</v>
      </c>
      <c r="BP154" t="s">
        <v>74</v>
      </c>
      <c r="BQ154" t="s">
        <v>74</v>
      </c>
      <c r="BR154" t="s">
        <v>93</v>
      </c>
      <c r="BS154" t="s">
        <v>3346</v>
      </c>
      <c r="BT154" t="str">
        <f>HYPERLINK("https%3A%2F%2Fwww.webofscience.com%2Fwos%2Fwoscc%2Ffull-record%2FWOS:000347162900007","View Full Record in Web of Science")</f>
        <v>View Full Record in Web of Science</v>
      </c>
    </row>
    <row r="155" spans="1:72" x14ac:dyDescent="0.15">
      <c r="A155" t="s">
        <v>72</v>
      </c>
      <c r="B155" t="s">
        <v>3347</v>
      </c>
      <c r="C155" t="s">
        <v>74</v>
      </c>
      <c r="D155" t="s">
        <v>74</v>
      </c>
      <c r="E155" t="s">
        <v>74</v>
      </c>
      <c r="F155" t="s">
        <v>3348</v>
      </c>
      <c r="G155" t="s">
        <v>74</v>
      </c>
      <c r="H155" t="s">
        <v>74</v>
      </c>
      <c r="I155" t="s">
        <v>3349</v>
      </c>
      <c r="J155" t="s">
        <v>3350</v>
      </c>
      <c r="K155" t="s">
        <v>74</v>
      </c>
      <c r="L155" t="s">
        <v>74</v>
      </c>
      <c r="M155" t="s">
        <v>78</v>
      </c>
      <c r="N155" t="s">
        <v>99</v>
      </c>
      <c r="O155" t="s">
        <v>74</v>
      </c>
      <c r="P155" t="s">
        <v>74</v>
      </c>
      <c r="Q155" t="s">
        <v>74</v>
      </c>
      <c r="R155" t="s">
        <v>74</v>
      </c>
      <c r="S155" t="s">
        <v>74</v>
      </c>
      <c r="T155" t="s">
        <v>3351</v>
      </c>
      <c r="U155" t="s">
        <v>3352</v>
      </c>
      <c r="V155" t="s">
        <v>3353</v>
      </c>
      <c r="W155" t="s">
        <v>3354</v>
      </c>
      <c r="X155" t="s">
        <v>3355</v>
      </c>
      <c r="Y155" t="s">
        <v>3356</v>
      </c>
      <c r="Z155" t="s">
        <v>3357</v>
      </c>
      <c r="AA155" t="s">
        <v>74</v>
      </c>
      <c r="AB155" t="s">
        <v>74</v>
      </c>
      <c r="AC155" t="s">
        <v>3358</v>
      </c>
      <c r="AD155" t="s">
        <v>3358</v>
      </c>
      <c r="AE155" t="s">
        <v>3359</v>
      </c>
      <c r="AF155" t="s">
        <v>74</v>
      </c>
      <c r="AG155">
        <v>84</v>
      </c>
      <c r="AH155">
        <v>120</v>
      </c>
      <c r="AI155">
        <v>129</v>
      </c>
      <c r="AJ155">
        <v>18</v>
      </c>
      <c r="AK155">
        <v>262</v>
      </c>
      <c r="AL155" t="s">
        <v>3360</v>
      </c>
      <c r="AM155" t="s">
        <v>3361</v>
      </c>
      <c r="AN155" t="s">
        <v>3362</v>
      </c>
      <c r="AO155" t="s">
        <v>3363</v>
      </c>
      <c r="AP155" t="s">
        <v>3364</v>
      </c>
      <c r="AQ155" t="s">
        <v>74</v>
      </c>
      <c r="AR155" t="s">
        <v>3365</v>
      </c>
      <c r="AS155" t="s">
        <v>3366</v>
      </c>
      <c r="AT155" t="s">
        <v>200</v>
      </c>
      <c r="AU155">
        <v>2015</v>
      </c>
      <c r="AV155">
        <v>136</v>
      </c>
      <c r="AW155" t="s">
        <v>74</v>
      </c>
      <c r="AX155" t="s">
        <v>74</v>
      </c>
      <c r="AY155" t="s">
        <v>74</v>
      </c>
      <c r="AZ155" t="s">
        <v>74</v>
      </c>
      <c r="BA155" t="s">
        <v>74</v>
      </c>
      <c r="BB155">
        <v>331</v>
      </c>
      <c r="BC155">
        <v>342</v>
      </c>
      <c r="BD155" t="s">
        <v>74</v>
      </c>
      <c r="BE155" t="s">
        <v>3367</v>
      </c>
      <c r="BF155" t="str">
        <f>HYPERLINK("http://dx.doi.org/10.1016/j.envres.2014.10.019","http://dx.doi.org/10.1016/j.envres.2014.10.019")</f>
        <v>http://dx.doi.org/10.1016/j.envres.2014.10.019</v>
      </c>
      <c r="BG155" t="s">
        <v>74</v>
      </c>
      <c r="BH155" t="s">
        <v>74</v>
      </c>
      <c r="BI155">
        <v>12</v>
      </c>
      <c r="BJ155" t="s">
        <v>3368</v>
      </c>
      <c r="BK155" t="s">
        <v>91</v>
      </c>
      <c r="BL155" t="s">
        <v>3369</v>
      </c>
      <c r="BM155" t="s">
        <v>3370</v>
      </c>
      <c r="BN155">
        <v>25460654</v>
      </c>
      <c r="BO155" t="s">
        <v>74</v>
      </c>
      <c r="BP155" t="s">
        <v>74</v>
      </c>
      <c r="BQ155" t="s">
        <v>74</v>
      </c>
      <c r="BR155" t="s">
        <v>93</v>
      </c>
      <c r="BS155" t="s">
        <v>3371</v>
      </c>
      <c r="BT155" t="str">
        <f>HYPERLINK("https%3A%2F%2Fwww.webofscience.com%2Fwos%2Fwoscc%2Ffull-record%2FWOS:000346755000042","View Full Record in Web of Science")</f>
        <v>View Full Record in Web of Science</v>
      </c>
    </row>
    <row r="156" spans="1:72" x14ac:dyDescent="0.15">
      <c r="A156" t="s">
        <v>72</v>
      </c>
      <c r="B156" t="s">
        <v>3372</v>
      </c>
      <c r="C156" t="s">
        <v>74</v>
      </c>
      <c r="D156" t="s">
        <v>74</v>
      </c>
      <c r="E156" t="s">
        <v>74</v>
      </c>
      <c r="F156" t="s">
        <v>3373</v>
      </c>
      <c r="G156" t="s">
        <v>74</v>
      </c>
      <c r="H156" t="s">
        <v>74</v>
      </c>
      <c r="I156" t="s">
        <v>3374</v>
      </c>
      <c r="J156" t="s">
        <v>3375</v>
      </c>
      <c r="K156" t="s">
        <v>74</v>
      </c>
      <c r="L156" t="s">
        <v>74</v>
      </c>
      <c r="M156" t="s">
        <v>78</v>
      </c>
      <c r="N156" t="s">
        <v>99</v>
      </c>
      <c r="O156" t="s">
        <v>74</v>
      </c>
      <c r="P156" t="s">
        <v>74</v>
      </c>
      <c r="Q156" t="s">
        <v>74</v>
      </c>
      <c r="R156" t="s">
        <v>74</v>
      </c>
      <c r="S156" t="s">
        <v>74</v>
      </c>
      <c r="T156" t="s">
        <v>3376</v>
      </c>
      <c r="U156" t="s">
        <v>3377</v>
      </c>
      <c r="V156" t="s">
        <v>3378</v>
      </c>
      <c r="W156" t="s">
        <v>3379</v>
      </c>
      <c r="X156" t="s">
        <v>3380</v>
      </c>
      <c r="Y156" t="s">
        <v>3381</v>
      </c>
      <c r="Z156" t="s">
        <v>3382</v>
      </c>
      <c r="AA156" t="s">
        <v>3383</v>
      </c>
      <c r="AB156" t="s">
        <v>3384</v>
      </c>
      <c r="AC156" t="s">
        <v>3385</v>
      </c>
      <c r="AD156" t="s">
        <v>3386</v>
      </c>
      <c r="AE156" t="s">
        <v>3387</v>
      </c>
      <c r="AF156" t="s">
        <v>74</v>
      </c>
      <c r="AG156">
        <v>43</v>
      </c>
      <c r="AH156">
        <v>19</v>
      </c>
      <c r="AI156">
        <v>23</v>
      </c>
      <c r="AJ156">
        <v>0</v>
      </c>
      <c r="AK156">
        <v>12</v>
      </c>
      <c r="AL156" t="s">
        <v>2512</v>
      </c>
      <c r="AM156" t="s">
        <v>2171</v>
      </c>
      <c r="AN156" t="s">
        <v>2513</v>
      </c>
      <c r="AO156" t="s">
        <v>3388</v>
      </c>
      <c r="AP156" t="s">
        <v>3389</v>
      </c>
      <c r="AQ156" t="s">
        <v>74</v>
      </c>
      <c r="AR156" t="s">
        <v>3375</v>
      </c>
      <c r="AS156" t="s">
        <v>3390</v>
      </c>
      <c r="AT156" t="s">
        <v>200</v>
      </c>
      <c r="AU156">
        <v>2015</v>
      </c>
      <c r="AV156">
        <v>19</v>
      </c>
      <c r="AW156">
        <v>1</v>
      </c>
      <c r="AX156" t="s">
        <v>74</v>
      </c>
      <c r="AY156" t="s">
        <v>74</v>
      </c>
      <c r="AZ156" t="s">
        <v>74</v>
      </c>
      <c r="BA156" t="s">
        <v>74</v>
      </c>
      <c r="BB156">
        <v>149</v>
      </c>
      <c r="BC156">
        <v>159</v>
      </c>
      <c r="BD156" t="s">
        <v>74</v>
      </c>
      <c r="BE156" t="s">
        <v>3391</v>
      </c>
      <c r="BF156" t="str">
        <f>HYPERLINK("http://dx.doi.org/10.1007/s00792-014-0692-3","http://dx.doi.org/10.1007/s00792-014-0692-3")</f>
        <v>http://dx.doi.org/10.1007/s00792-014-0692-3</v>
      </c>
      <c r="BG156" t="s">
        <v>74</v>
      </c>
      <c r="BH156" t="s">
        <v>74</v>
      </c>
      <c r="BI156">
        <v>11</v>
      </c>
      <c r="BJ156" t="s">
        <v>3392</v>
      </c>
      <c r="BK156" t="s">
        <v>91</v>
      </c>
      <c r="BL156" t="s">
        <v>3392</v>
      </c>
      <c r="BM156" t="s">
        <v>3393</v>
      </c>
      <c r="BN156">
        <v>25239569</v>
      </c>
      <c r="BO156" t="s">
        <v>74</v>
      </c>
      <c r="BP156" t="s">
        <v>74</v>
      </c>
      <c r="BQ156" t="s">
        <v>74</v>
      </c>
      <c r="BR156" t="s">
        <v>93</v>
      </c>
      <c r="BS156" t="s">
        <v>3394</v>
      </c>
      <c r="BT156" t="str">
        <f>HYPERLINK("https%3A%2F%2Fwww.webofscience.com%2Fwos%2Fwoscc%2Ffull-record%2FWOS:000346657500015","View Full Record in Web of Science")</f>
        <v>View Full Record in Web of Science</v>
      </c>
    </row>
    <row r="157" spans="1:72" x14ac:dyDescent="0.15">
      <c r="A157" t="s">
        <v>72</v>
      </c>
      <c r="B157" t="s">
        <v>3395</v>
      </c>
      <c r="C157" t="s">
        <v>74</v>
      </c>
      <c r="D157" t="s">
        <v>74</v>
      </c>
      <c r="E157" t="s">
        <v>74</v>
      </c>
      <c r="F157" t="s">
        <v>3396</v>
      </c>
      <c r="G157" t="s">
        <v>74</v>
      </c>
      <c r="H157" t="s">
        <v>74</v>
      </c>
      <c r="I157" t="s">
        <v>3397</v>
      </c>
      <c r="J157" t="s">
        <v>3375</v>
      </c>
      <c r="K157" t="s">
        <v>74</v>
      </c>
      <c r="L157" t="s">
        <v>74</v>
      </c>
      <c r="M157" t="s">
        <v>78</v>
      </c>
      <c r="N157" t="s">
        <v>99</v>
      </c>
      <c r="O157" t="s">
        <v>74</v>
      </c>
      <c r="P157" t="s">
        <v>74</v>
      </c>
      <c r="Q157" t="s">
        <v>74</v>
      </c>
      <c r="R157" t="s">
        <v>74</v>
      </c>
      <c r="S157" t="s">
        <v>74</v>
      </c>
      <c r="T157" t="s">
        <v>3398</v>
      </c>
      <c r="U157" t="s">
        <v>3399</v>
      </c>
      <c r="V157" t="s">
        <v>3400</v>
      </c>
      <c r="W157" t="s">
        <v>3401</v>
      </c>
      <c r="X157" t="s">
        <v>3402</v>
      </c>
      <c r="Y157" t="s">
        <v>3403</v>
      </c>
      <c r="Z157" t="s">
        <v>3404</v>
      </c>
      <c r="AA157" t="s">
        <v>3405</v>
      </c>
      <c r="AB157" t="s">
        <v>3406</v>
      </c>
      <c r="AC157" t="s">
        <v>3407</v>
      </c>
      <c r="AD157" t="s">
        <v>3408</v>
      </c>
      <c r="AE157" t="s">
        <v>3409</v>
      </c>
      <c r="AF157" t="s">
        <v>74</v>
      </c>
      <c r="AG157">
        <v>59</v>
      </c>
      <c r="AH157">
        <v>16</v>
      </c>
      <c r="AI157">
        <v>17</v>
      </c>
      <c r="AJ157">
        <v>2</v>
      </c>
      <c r="AK157">
        <v>38</v>
      </c>
      <c r="AL157" t="s">
        <v>2512</v>
      </c>
      <c r="AM157" t="s">
        <v>2171</v>
      </c>
      <c r="AN157" t="s">
        <v>3410</v>
      </c>
      <c r="AO157" t="s">
        <v>3388</v>
      </c>
      <c r="AP157" t="s">
        <v>3389</v>
      </c>
      <c r="AQ157" t="s">
        <v>74</v>
      </c>
      <c r="AR157" t="s">
        <v>3375</v>
      </c>
      <c r="AS157" t="s">
        <v>3390</v>
      </c>
      <c r="AT157" t="s">
        <v>200</v>
      </c>
      <c r="AU157">
        <v>2015</v>
      </c>
      <c r="AV157">
        <v>19</v>
      </c>
      <c r="AW157">
        <v>1</v>
      </c>
      <c r="AX157" t="s">
        <v>74</v>
      </c>
      <c r="AY157" t="s">
        <v>74</v>
      </c>
      <c r="AZ157" t="s">
        <v>74</v>
      </c>
      <c r="BA157" t="s">
        <v>74</v>
      </c>
      <c r="BB157">
        <v>197</v>
      </c>
      <c r="BC157">
        <v>206</v>
      </c>
      <c r="BD157" t="s">
        <v>74</v>
      </c>
      <c r="BE157" t="s">
        <v>3411</v>
      </c>
      <c r="BF157" t="str">
        <f>HYPERLINK("http://dx.doi.org/10.1007/s00792-014-0699-9","http://dx.doi.org/10.1007/s00792-014-0699-9")</f>
        <v>http://dx.doi.org/10.1007/s00792-014-0699-9</v>
      </c>
      <c r="BG157" t="s">
        <v>74</v>
      </c>
      <c r="BH157" t="s">
        <v>74</v>
      </c>
      <c r="BI157">
        <v>10</v>
      </c>
      <c r="BJ157" t="s">
        <v>3392</v>
      </c>
      <c r="BK157" t="s">
        <v>91</v>
      </c>
      <c r="BL157" t="s">
        <v>3392</v>
      </c>
      <c r="BM157" t="s">
        <v>3393</v>
      </c>
      <c r="BN157">
        <v>25280551</v>
      </c>
      <c r="BO157" t="s">
        <v>74</v>
      </c>
      <c r="BP157" t="s">
        <v>74</v>
      </c>
      <c r="BQ157" t="s">
        <v>74</v>
      </c>
      <c r="BR157" t="s">
        <v>93</v>
      </c>
      <c r="BS157" t="s">
        <v>3412</v>
      </c>
      <c r="BT157" t="str">
        <f>HYPERLINK("https%3A%2F%2Fwww.webofscience.com%2Fwos%2Fwoscc%2Ffull-record%2FWOS:000346657500020","View Full Record in Web of Science")</f>
        <v>View Full Record in Web of Science</v>
      </c>
    </row>
    <row r="158" spans="1:72" x14ac:dyDescent="0.15">
      <c r="A158" t="s">
        <v>72</v>
      </c>
      <c r="B158" t="s">
        <v>3413</v>
      </c>
      <c r="C158" t="s">
        <v>74</v>
      </c>
      <c r="D158" t="s">
        <v>74</v>
      </c>
      <c r="E158" t="s">
        <v>74</v>
      </c>
      <c r="F158" t="s">
        <v>3414</v>
      </c>
      <c r="G158" t="s">
        <v>74</v>
      </c>
      <c r="H158" t="s">
        <v>74</v>
      </c>
      <c r="I158" t="s">
        <v>3415</v>
      </c>
      <c r="J158" t="s">
        <v>3416</v>
      </c>
      <c r="K158" t="s">
        <v>74</v>
      </c>
      <c r="L158" t="s">
        <v>74</v>
      </c>
      <c r="M158" t="s">
        <v>78</v>
      </c>
      <c r="N158" t="s">
        <v>99</v>
      </c>
      <c r="O158" t="s">
        <v>74</v>
      </c>
      <c r="P158" t="s">
        <v>74</v>
      </c>
      <c r="Q158" t="s">
        <v>74</v>
      </c>
      <c r="R158" t="s">
        <v>74</v>
      </c>
      <c r="S158" t="s">
        <v>74</v>
      </c>
      <c r="T158" t="s">
        <v>3417</v>
      </c>
      <c r="U158" t="s">
        <v>3418</v>
      </c>
      <c r="V158" t="s">
        <v>3419</v>
      </c>
      <c r="W158" t="s">
        <v>3420</v>
      </c>
      <c r="X158" t="s">
        <v>3421</v>
      </c>
      <c r="Y158" t="s">
        <v>3422</v>
      </c>
      <c r="Z158" t="s">
        <v>3423</v>
      </c>
      <c r="AA158" t="s">
        <v>74</v>
      </c>
      <c r="AB158" t="s">
        <v>74</v>
      </c>
      <c r="AC158" t="s">
        <v>74</v>
      </c>
      <c r="AD158" t="s">
        <v>74</v>
      </c>
      <c r="AE158" t="s">
        <v>74</v>
      </c>
      <c r="AF158" t="s">
        <v>74</v>
      </c>
      <c r="AG158">
        <v>75</v>
      </c>
      <c r="AH158">
        <v>16</v>
      </c>
      <c r="AI158">
        <v>16</v>
      </c>
      <c r="AJ158">
        <v>0</v>
      </c>
      <c r="AK158">
        <v>18</v>
      </c>
      <c r="AL158" t="s">
        <v>2006</v>
      </c>
      <c r="AM158" t="s">
        <v>2007</v>
      </c>
      <c r="AN158" t="s">
        <v>2008</v>
      </c>
      <c r="AO158" t="s">
        <v>3424</v>
      </c>
      <c r="AP158" t="s">
        <v>3425</v>
      </c>
      <c r="AQ158" t="s">
        <v>74</v>
      </c>
      <c r="AR158" t="s">
        <v>3426</v>
      </c>
      <c r="AS158" t="s">
        <v>3427</v>
      </c>
      <c r="AT158" t="s">
        <v>200</v>
      </c>
      <c r="AU158">
        <v>2015</v>
      </c>
      <c r="AV158">
        <v>79</v>
      </c>
      <c r="AW158">
        <v>1</v>
      </c>
      <c r="AX158" t="s">
        <v>74</v>
      </c>
      <c r="AY158" t="s">
        <v>74</v>
      </c>
      <c r="AZ158" t="s">
        <v>74</v>
      </c>
      <c r="BA158" t="s">
        <v>74</v>
      </c>
      <c r="BB158">
        <v>31</v>
      </c>
      <c r="BC158">
        <v>38</v>
      </c>
      <c r="BD158" t="s">
        <v>74</v>
      </c>
      <c r="BE158" t="s">
        <v>3428</v>
      </c>
      <c r="BF158" t="str">
        <f>HYPERLINK("http://dx.doi.org/10.1002/jwmg.815","http://dx.doi.org/10.1002/jwmg.815")</f>
        <v>http://dx.doi.org/10.1002/jwmg.815</v>
      </c>
      <c r="BG158" t="s">
        <v>74</v>
      </c>
      <c r="BH158" t="s">
        <v>74</v>
      </c>
      <c r="BI158">
        <v>8</v>
      </c>
      <c r="BJ158" t="s">
        <v>3429</v>
      </c>
      <c r="BK158" t="s">
        <v>91</v>
      </c>
      <c r="BL158" t="s">
        <v>3430</v>
      </c>
      <c r="BM158" t="s">
        <v>3431</v>
      </c>
      <c r="BN158" t="s">
        <v>74</v>
      </c>
      <c r="BO158" t="s">
        <v>74</v>
      </c>
      <c r="BP158" t="s">
        <v>74</v>
      </c>
      <c r="BQ158" t="s">
        <v>74</v>
      </c>
      <c r="BR158" t="s">
        <v>93</v>
      </c>
      <c r="BS158" t="s">
        <v>3432</v>
      </c>
      <c r="BT158" t="str">
        <f>HYPERLINK("https%3A%2F%2Fwww.webofscience.com%2Fwos%2Fwoscc%2Ffull-record%2FWOS:000346611800005","View Full Record in Web of Science")</f>
        <v>View Full Record in Web of Science</v>
      </c>
    </row>
    <row r="159" spans="1:72" x14ac:dyDescent="0.15">
      <c r="A159" t="s">
        <v>72</v>
      </c>
      <c r="B159" t="s">
        <v>3433</v>
      </c>
      <c r="C159" t="s">
        <v>74</v>
      </c>
      <c r="D159" t="s">
        <v>74</v>
      </c>
      <c r="E159" t="s">
        <v>74</v>
      </c>
      <c r="F159" t="s">
        <v>3434</v>
      </c>
      <c r="G159" t="s">
        <v>74</v>
      </c>
      <c r="H159" t="s">
        <v>74</v>
      </c>
      <c r="I159" t="s">
        <v>3435</v>
      </c>
      <c r="J159" t="s">
        <v>3436</v>
      </c>
      <c r="K159" t="s">
        <v>74</v>
      </c>
      <c r="L159" t="s">
        <v>74</v>
      </c>
      <c r="M159" t="s">
        <v>78</v>
      </c>
      <c r="N159" t="s">
        <v>99</v>
      </c>
      <c r="O159" t="s">
        <v>74</v>
      </c>
      <c r="P159" t="s">
        <v>74</v>
      </c>
      <c r="Q159" t="s">
        <v>74</v>
      </c>
      <c r="R159" t="s">
        <v>74</v>
      </c>
      <c r="S159" t="s">
        <v>74</v>
      </c>
      <c r="T159" t="s">
        <v>3437</v>
      </c>
      <c r="U159" t="s">
        <v>3438</v>
      </c>
      <c r="V159" t="s">
        <v>3439</v>
      </c>
      <c r="W159" t="s">
        <v>3440</v>
      </c>
      <c r="X159" t="s">
        <v>3441</v>
      </c>
      <c r="Y159" t="s">
        <v>3442</v>
      </c>
      <c r="Z159" t="s">
        <v>3443</v>
      </c>
      <c r="AA159" t="s">
        <v>3444</v>
      </c>
      <c r="AB159" t="s">
        <v>3445</v>
      </c>
      <c r="AC159" t="s">
        <v>3446</v>
      </c>
      <c r="AD159" t="s">
        <v>3447</v>
      </c>
      <c r="AE159" t="s">
        <v>3448</v>
      </c>
      <c r="AF159" t="s">
        <v>74</v>
      </c>
      <c r="AG159">
        <v>48</v>
      </c>
      <c r="AH159">
        <v>1</v>
      </c>
      <c r="AI159">
        <v>1</v>
      </c>
      <c r="AJ159">
        <v>0</v>
      </c>
      <c r="AK159">
        <v>19</v>
      </c>
      <c r="AL159" t="s">
        <v>2458</v>
      </c>
      <c r="AM159" t="s">
        <v>1411</v>
      </c>
      <c r="AN159" t="s">
        <v>2459</v>
      </c>
      <c r="AO159" t="s">
        <v>3449</v>
      </c>
      <c r="AP159" t="s">
        <v>3450</v>
      </c>
      <c r="AQ159" t="s">
        <v>74</v>
      </c>
      <c r="AR159" t="s">
        <v>3451</v>
      </c>
      <c r="AS159" t="s">
        <v>3452</v>
      </c>
      <c r="AT159" t="s">
        <v>200</v>
      </c>
      <c r="AU159">
        <v>2015</v>
      </c>
      <c r="AV159">
        <v>85</v>
      </c>
      <c r="AW159" t="s">
        <v>74</v>
      </c>
      <c r="AX159" t="s">
        <v>74</v>
      </c>
      <c r="AY159" t="s">
        <v>74</v>
      </c>
      <c r="AZ159" t="s">
        <v>74</v>
      </c>
      <c r="BA159" t="s">
        <v>74</v>
      </c>
      <c r="BB159">
        <v>56</v>
      </c>
      <c r="BC159">
        <v>67</v>
      </c>
      <c r="BD159" t="s">
        <v>74</v>
      </c>
      <c r="BE159" t="s">
        <v>3453</v>
      </c>
      <c r="BF159" t="str">
        <f>HYPERLINK("http://dx.doi.org/10.1016/j.ocemod.2014.11.004","http://dx.doi.org/10.1016/j.ocemod.2014.11.004")</f>
        <v>http://dx.doi.org/10.1016/j.ocemod.2014.11.004</v>
      </c>
      <c r="BG159" t="s">
        <v>74</v>
      </c>
      <c r="BH159" t="s">
        <v>74</v>
      </c>
      <c r="BI159">
        <v>12</v>
      </c>
      <c r="BJ159" t="s">
        <v>1537</v>
      </c>
      <c r="BK159" t="s">
        <v>91</v>
      </c>
      <c r="BL159" t="s">
        <v>1537</v>
      </c>
      <c r="BM159" t="s">
        <v>3454</v>
      </c>
      <c r="BN159" t="s">
        <v>74</v>
      </c>
      <c r="BO159" t="s">
        <v>2056</v>
      </c>
      <c r="BP159" t="s">
        <v>74</v>
      </c>
      <c r="BQ159" t="s">
        <v>74</v>
      </c>
      <c r="BR159" t="s">
        <v>93</v>
      </c>
      <c r="BS159" t="s">
        <v>3455</v>
      </c>
      <c r="BT159" t="str">
        <f>HYPERLINK("https%3A%2F%2Fwww.webofscience.com%2Fwos%2Fwoscc%2Ffull-record%2FWOS:000346737500005","View Full Record in Web of Science")</f>
        <v>View Full Record in Web of Science</v>
      </c>
    </row>
    <row r="160" spans="1:72" x14ac:dyDescent="0.15">
      <c r="A160" t="s">
        <v>72</v>
      </c>
      <c r="B160" t="s">
        <v>3456</v>
      </c>
      <c r="C160" t="s">
        <v>74</v>
      </c>
      <c r="D160" t="s">
        <v>74</v>
      </c>
      <c r="E160" t="s">
        <v>74</v>
      </c>
      <c r="F160" t="s">
        <v>3457</v>
      </c>
      <c r="G160" t="s">
        <v>74</v>
      </c>
      <c r="H160" t="s">
        <v>74</v>
      </c>
      <c r="I160" t="s">
        <v>3458</v>
      </c>
      <c r="J160" t="s">
        <v>3459</v>
      </c>
      <c r="K160" t="s">
        <v>74</v>
      </c>
      <c r="L160" t="s">
        <v>74</v>
      </c>
      <c r="M160" t="s">
        <v>78</v>
      </c>
      <c r="N160" t="s">
        <v>99</v>
      </c>
      <c r="O160" t="s">
        <v>74</v>
      </c>
      <c r="P160" t="s">
        <v>74</v>
      </c>
      <c r="Q160" t="s">
        <v>74</v>
      </c>
      <c r="R160" t="s">
        <v>74</v>
      </c>
      <c r="S160" t="s">
        <v>74</v>
      </c>
      <c r="T160" t="s">
        <v>3460</v>
      </c>
      <c r="U160" t="s">
        <v>3461</v>
      </c>
      <c r="V160" t="s">
        <v>3462</v>
      </c>
      <c r="W160" t="s">
        <v>3463</v>
      </c>
      <c r="X160" t="s">
        <v>3464</v>
      </c>
      <c r="Y160" t="s">
        <v>3465</v>
      </c>
      <c r="Z160" t="s">
        <v>3466</v>
      </c>
      <c r="AA160" t="s">
        <v>3467</v>
      </c>
      <c r="AB160" t="s">
        <v>3468</v>
      </c>
      <c r="AC160" t="s">
        <v>3469</v>
      </c>
      <c r="AD160" t="s">
        <v>3469</v>
      </c>
      <c r="AE160" t="s">
        <v>3470</v>
      </c>
      <c r="AF160" t="s">
        <v>74</v>
      </c>
      <c r="AG160">
        <v>63</v>
      </c>
      <c r="AH160">
        <v>21</v>
      </c>
      <c r="AI160">
        <v>22</v>
      </c>
      <c r="AJ160">
        <v>1</v>
      </c>
      <c r="AK160">
        <v>44</v>
      </c>
      <c r="AL160" t="s">
        <v>365</v>
      </c>
      <c r="AM160" t="s">
        <v>342</v>
      </c>
      <c r="AN160" t="s">
        <v>2314</v>
      </c>
      <c r="AO160" t="s">
        <v>3471</v>
      </c>
      <c r="AP160" t="s">
        <v>3472</v>
      </c>
      <c r="AQ160" t="s">
        <v>74</v>
      </c>
      <c r="AR160" t="s">
        <v>3459</v>
      </c>
      <c r="AS160" t="s">
        <v>3473</v>
      </c>
      <c r="AT160" t="s">
        <v>200</v>
      </c>
      <c r="AU160">
        <v>2015</v>
      </c>
      <c r="AV160">
        <v>49</v>
      </c>
      <c r="AW160">
        <v>1</v>
      </c>
      <c r="AX160" t="s">
        <v>74</v>
      </c>
      <c r="AY160" t="s">
        <v>74</v>
      </c>
      <c r="AZ160" t="s">
        <v>74</v>
      </c>
      <c r="BA160" t="s">
        <v>74</v>
      </c>
      <c r="BB160">
        <v>30</v>
      </c>
      <c r="BC160">
        <v>41</v>
      </c>
      <c r="BD160" t="s">
        <v>74</v>
      </c>
      <c r="BE160" t="s">
        <v>3474</v>
      </c>
      <c r="BF160" t="str">
        <f>HYPERLINK("http://dx.doi.org/10.1017/S0030605312001238","http://dx.doi.org/10.1017/S0030605312001238")</f>
        <v>http://dx.doi.org/10.1017/S0030605312001238</v>
      </c>
      <c r="BG160" t="s">
        <v>74</v>
      </c>
      <c r="BH160" t="s">
        <v>74</v>
      </c>
      <c r="BI160">
        <v>12</v>
      </c>
      <c r="BJ160" t="s">
        <v>3475</v>
      </c>
      <c r="BK160" t="s">
        <v>91</v>
      </c>
      <c r="BL160" t="s">
        <v>3476</v>
      </c>
      <c r="BM160" t="s">
        <v>3477</v>
      </c>
      <c r="BN160" t="s">
        <v>74</v>
      </c>
      <c r="BO160" t="s">
        <v>3478</v>
      </c>
      <c r="BP160" t="s">
        <v>74</v>
      </c>
      <c r="BQ160" t="s">
        <v>74</v>
      </c>
      <c r="BR160" t="s">
        <v>93</v>
      </c>
      <c r="BS160" t="s">
        <v>3479</v>
      </c>
      <c r="BT160" t="str">
        <f>HYPERLINK("https%3A%2F%2Fwww.webofscience.com%2Fwos%2Fwoscc%2Ffull-record%2FWOS:000346770000011","View Full Record in Web of Science")</f>
        <v>View Full Record in Web of Science</v>
      </c>
    </row>
    <row r="161" spans="1:72" x14ac:dyDescent="0.15">
      <c r="A161" t="s">
        <v>72</v>
      </c>
      <c r="B161" t="s">
        <v>3480</v>
      </c>
      <c r="C161" t="s">
        <v>74</v>
      </c>
      <c r="D161" t="s">
        <v>74</v>
      </c>
      <c r="E161" t="s">
        <v>74</v>
      </c>
      <c r="F161" t="s">
        <v>3481</v>
      </c>
      <c r="G161" t="s">
        <v>74</v>
      </c>
      <c r="H161" t="s">
        <v>74</v>
      </c>
      <c r="I161" t="s">
        <v>3482</v>
      </c>
      <c r="J161" t="s">
        <v>3483</v>
      </c>
      <c r="K161" t="s">
        <v>74</v>
      </c>
      <c r="L161" t="s">
        <v>74</v>
      </c>
      <c r="M161" t="s">
        <v>78</v>
      </c>
      <c r="N161" t="s">
        <v>99</v>
      </c>
      <c r="O161" t="s">
        <v>74</v>
      </c>
      <c r="P161" t="s">
        <v>74</v>
      </c>
      <c r="Q161" t="s">
        <v>74</v>
      </c>
      <c r="R161" t="s">
        <v>74</v>
      </c>
      <c r="S161" t="s">
        <v>74</v>
      </c>
      <c r="T161" t="s">
        <v>3484</v>
      </c>
      <c r="U161" t="s">
        <v>3485</v>
      </c>
      <c r="V161" t="s">
        <v>3486</v>
      </c>
      <c r="W161" t="s">
        <v>3487</v>
      </c>
      <c r="X161" t="s">
        <v>3488</v>
      </c>
      <c r="Y161" t="s">
        <v>3489</v>
      </c>
      <c r="Z161" t="s">
        <v>3490</v>
      </c>
      <c r="AA161" t="s">
        <v>3491</v>
      </c>
      <c r="AB161" t="s">
        <v>3492</v>
      </c>
      <c r="AC161" t="s">
        <v>3493</v>
      </c>
      <c r="AD161" t="s">
        <v>3494</v>
      </c>
      <c r="AE161" t="s">
        <v>3495</v>
      </c>
      <c r="AF161" t="s">
        <v>74</v>
      </c>
      <c r="AG161">
        <v>40</v>
      </c>
      <c r="AH161">
        <v>15</v>
      </c>
      <c r="AI161">
        <v>17</v>
      </c>
      <c r="AJ161">
        <v>0</v>
      </c>
      <c r="AK161">
        <v>31</v>
      </c>
      <c r="AL161" t="s">
        <v>2006</v>
      </c>
      <c r="AM161" t="s">
        <v>2007</v>
      </c>
      <c r="AN161" t="s">
        <v>2008</v>
      </c>
      <c r="AO161" t="s">
        <v>3496</v>
      </c>
      <c r="AP161" t="s">
        <v>3497</v>
      </c>
      <c r="AQ161" t="s">
        <v>74</v>
      </c>
      <c r="AR161" t="s">
        <v>3498</v>
      </c>
      <c r="AS161" t="s">
        <v>3499</v>
      </c>
      <c r="AT161" t="s">
        <v>200</v>
      </c>
      <c r="AU161">
        <v>2015</v>
      </c>
      <c r="AV161">
        <v>31</v>
      </c>
      <c r="AW161">
        <v>1</v>
      </c>
      <c r="AX161" t="s">
        <v>74</v>
      </c>
      <c r="AY161" t="s">
        <v>74</v>
      </c>
      <c r="AZ161" t="s">
        <v>74</v>
      </c>
      <c r="BA161" t="s">
        <v>74</v>
      </c>
      <c r="BB161">
        <v>90</v>
      </c>
      <c r="BC161">
        <v>105</v>
      </c>
      <c r="BD161" t="s">
        <v>74</v>
      </c>
      <c r="BE161" t="s">
        <v>3500</v>
      </c>
      <c r="BF161" t="str">
        <f>HYPERLINK("http://dx.doi.org/10.1111/mms.12136","http://dx.doi.org/10.1111/mms.12136")</f>
        <v>http://dx.doi.org/10.1111/mms.12136</v>
      </c>
      <c r="BG161" t="s">
        <v>74</v>
      </c>
      <c r="BH161" t="s">
        <v>74</v>
      </c>
      <c r="BI161">
        <v>16</v>
      </c>
      <c r="BJ161" t="s">
        <v>2344</v>
      </c>
      <c r="BK161" t="s">
        <v>91</v>
      </c>
      <c r="BL161" t="s">
        <v>2344</v>
      </c>
      <c r="BM161" t="s">
        <v>3501</v>
      </c>
      <c r="BN161" t="s">
        <v>74</v>
      </c>
      <c r="BO161" t="s">
        <v>74</v>
      </c>
      <c r="BP161" t="s">
        <v>74</v>
      </c>
      <c r="BQ161" t="s">
        <v>74</v>
      </c>
      <c r="BR161" t="s">
        <v>93</v>
      </c>
      <c r="BS161" t="s">
        <v>3502</v>
      </c>
      <c r="BT161" t="str">
        <f>HYPERLINK("https%3A%2F%2Fwww.webofscience.com%2Fwos%2Fwoscc%2Ffull-record%2FWOS:000346769200005","View Full Record in Web of Science")</f>
        <v>View Full Record in Web of Science</v>
      </c>
    </row>
    <row r="162" spans="1:72" x14ac:dyDescent="0.15">
      <c r="A162" t="s">
        <v>72</v>
      </c>
      <c r="B162" t="s">
        <v>3503</v>
      </c>
      <c r="C162" t="s">
        <v>74</v>
      </c>
      <c r="D162" t="s">
        <v>74</v>
      </c>
      <c r="E162" t="s">
        <v>74</v>
      </c>
      <c r="F162" t="s">
        <v>3504</v>
      </c>
      <c r="G162" t="s">
        <v>74</v>
      </c>
      <c r="H162" t="s">
        <v>74</v>
      </c>
      <c r="I162" t="s">
        <v>3505</v>
      </c>
      <c r="J162" t="s">
        <v>3506</v>
      </c>
      <c r="K162" t="s">
        <v>74</v>
      </c>
      <c r="L162" t="s">
        <v>74</v>
      </c>
      <c r="M162" t="s">
        <v>78</v>
      </c>
      <c r="N162" t="s">
        <v>99</v>
      </c>
      <c r="O162" t="s">
        <v>74</v>
      </c>
      <c r="P162" t="s">
        <v>74</v>
      </c>
      <c r="Q162" t="s">
        <v>74</v>
      </c>
      <c r="R162" t="s">
        <v>74</v>
      </c>
      <c r="S162" t="s">
        <v>74</v>
      </c>
      <c r="T162" t="s">
        <v>74</v>
      </c>
      <c r="U162" t="s">
        <v>3507</v>
      </c>
      <c r="V162" t="s">
        <v>3508</v>
      </c>
      <c r="W162" t="s">
        <v>3509</v>
      </c>
      <c r="X162" t="s">
        <v>3510</v>
      </c>
      <c r="Y162" t="s">
        <v>3511</v>
      </c>
      <c r="Z162" t="s">
        <v>3512</v>
      </c>
      <c r="AA162" t="s">
        <v>3513</v>
      </c>
      <c r="AB162" t="s">
        <v>3514</v>
      </c>
      <c r="AC162" t="s">
        <v>3515</v>
      </c>
      <c r="AD162" t="s">
        <v>3516</v>
      </c>
      <c r="AE162" t="s">
        <v>3517</v>
      </c>
      <c r="AF162" t="s">
        <v>74</v>
      </c>
      <c r="AG162">
        <v>70</v>
      </c>
      <c r="AH162">
        <v>6</v>
      </c>
      <c r="AI162">
        <v>6</v>
      </c>
      <c r="AJ162">
        <v>0</v>
      </c>
      <c r="AK162">
        <v>21</v>
      </c>
      <c r="AL162" t="s">
        <v>2439</v>
      </c>
      <c r="AM162" t="s">
        <v>1411</v>
      </c>
      <c r="AN162" t="s">
        <v>2440</v>
      </c>
      <c r="AO162" t="s">
        <v>3518</v>
      </c>
      <c r="AP162" t="s">
        <v>74</v>
      </c>
      <c r="AQ162" t="s">
        <v>74</v>
      </c>
      <c r="AR162" t="s">
        <v>3519</v>
      </c>
      <c r="AS162" t="s">
        <v>3520</v>
      </c>
      <c r="AT162" t="s">
        <v>200</v>
      </c>
      <c r="AU162">
        <v>2015</v>
      </c>
      <c r="AV162">
        <v>52</v>
      </c>
      <c r="AW162" t="s">
        <v>74</v>
      </c>
      <c r="AX162" t="s">
        <v>74</v>
      </c>
      <c r="AY162" t="s">
        <v>74</v>
      </c>
      <c r="AZ162" t="s">
        <v>74</v>
      </c>
      <c r="BA162" t="s">
        <v>74</v>
      </c>
      <c r="BB162">
        <v>31</v>
      </c>
      <c r="BC162">
        <v>42</v>
      </c>
      <c r="BD162" t="s">
        <v>74</v>
      </c>
      <c r="BE162" t="s">
        <v>3521</v>
      </c>
      <c r="BF162" t="str">
        <f>HYPERLINK("http://dx.doi.org/10.1016/j.apgeochem.2014.11.005","http://dx.doi.org/10.1016/j.apgeochem.2014.11.005")</f>
        <v>http://dx.doi.org/10.1016/j.apgeochem.2014.11.005</v>
      </c>
      <c r="BG162" t="s">
        <v>74</v>
      </c>
      <c r="BH162" t="s">
        <v>74</v>
      </c>
      <c r="BI162">
        <v>12</v>
      </c>
      <c r="BJ162" t="s">
        <v>1902</v>
      </c>
      <c r="BK162" t="s">
        <v>91</v>
      </c>
      <c r="BL162" t="s">
        <v>1902</v>
      </c>
      <c r="BM162" t="s">
        <v>3522</v>
      </c>
      <c r="BN162" t="s">
        <v>74</v>
      </c>
      <c r="BO162" t="s">
        <v>74</v>
      </c>
      <c r="BP162" t="s">
        <v>74</v>
      </c>
      <c r="BQ162" t="s">
        <v>74</v>
      </c>
      <c r="BR162" t="s">
        <v>93</v>
      </c>
      <c r="BS162" t="s">
        <v>3523</v>
      </c>
      <c r="BT162" t="str">
        <f>HYPERLINK("https%3A%2F%2Fwww.webofscience.com%2Fwos%2Fwoscc%2Ffull-record%2FWOS:000346850700004","View Full Record in Web of Science")</f>
        <v>View Full Record in Web of Science</v>
      </c>
    </row>
    <row r="163" spans="1:72" x14ac:dyDescent="0.15">
      <c r="A163" t="s">
        <v>72</v>
      </c>
      <c r="B163" t="s">
        <v>3524</v>
      </c>
      <c r="C163" t="s">
        <v>74</v>
      </c>
      <c r="D163" t="s">
        <v>74</v>
      </c>
      <c r="E163" t="s">
        <v>74</v>
      </c>
      <c r="F163" t="s">
        <v>3525</v>
      </c>
      <c r="G163" t="s">
        <v>74</v>
      </c>
      <c r="H163" t="s">
        <v>74</v>
      </c>
      <c r="I163" t="s">
        <v>3526</v>
      </c>
      <c r="J163" t="s">
        <v>3527</v>
      </c>
      <c r="K163" t="s">
        <v>74</v>
      </c>
      <c r="L163" t="s">
        <v>74</v>
      </c>
      <c r="M163" t="s">
        <v>78</v>
      </c>
      <c r="N163" t="s">
        <v>99</v>
      </c>
      <c r="O163" t="s">
        <v>74</v>
      </c>
      <c r="P163" t="s">
        <v>74</v>
      </c>
      <c r="Q163" t="s">
        <v>74</v>
      </c>
      <c r="R163" t="s">
        <v>74</v>
      </c>
      <c r="S163" t="s">
        <v>74</v>
      </c>
      <c r="T163" t="s">
        <v>3528</v>
      </c>
      <c r="U163" t="s">
        <v>3529</v>
      </c>
      <c r="V163" t="s">
        <v>3530</v>
      </c>
      <c r="W163" t="s">
        <v>3531</v>
      </c>
      <c r="X163" t="s">
        <v>3532</v>
      </c>
      <c r="Y163" t="s">
        <v>3533</v>
      </c>
      <c r="Z163" t="s">
        <v>3534</v>
      </c>
      <c r="AA163" t="s">
        <v>3535</v>
      </c>
      <c r="AB163" t="s">
        <v>3536</v>
      </c>
      <c r="AC163" t="s">
        <v>3537</v>
      </c>
      <c r="AD163" t="s">
        <v>3538</v>
      </c>
      <c r="AE163" t="s">
        <v>3539</v>
      </c>
      <c r="AF163" t="s">
        <v>74</v>
      </c>
      <c r="AG163">
        <v>136</v>
      </c>
      <c r="AH163">
        <v>57</v>
      </c>
      <c r="AI163">
        <v>59</v>
      </c>
      <c r="AJ163">
        <v>3</v>
      </c>
      <c r="AK163">
        <v>27</v>
      </c>
      <c r="AL163" t="s">
        <v>3360</v>
      </c>
      <c r="AM163" t="s">
        <v>3361</v>
      </c>
      <c r="AN163" t="s">
        <v>3362</v>
      </c>
      <c r="AO163" t="s">
        <v>3540</v>
      </c>
      <c r="AP163" t="s">
        <v>3541</v>
      </c>
      <c r="AQ163" t="s">
        <v>74</v>
      </c>
      <c r="AR163" t="s">
        <v>3542</v>
      </c>
      <c r="AS163" t="s">
        <v>3543</v>
      </c>
      <c r="AT163" t="s">
        <v>200</v>
      </c>
      <c r="AU163">
        <v>2015</v>
      </c>
      <c r="AV163">
        <v>82</v>
      </c>
      <c r="AW163" t="s">
        <v>74</v>
      </c>
      <c r="AX163" t="s">
        <v>3544</v>
      </c>
      <c r="AY163" t="s">
        <v>74</v>
      </c>
      <c r="AZ163" t="s">
        <v>74</v>
      </c>
      <c r="BA163" t="s">
        <v>74</v>
      </c>
      <c r="BB163">
        <v>60</v>
      </c>
      <c r="BC163">
        <v>74</v>
      </c>
      <c r="BD163" t="s">
        <v>74</v>
      </c>
      <c r="BE163" t="s">
        <v>3545</v>
      </c>
      <c r="BF163" t="str">
        <f>HYPERLINK("http://dx.doi.org/10.1016/j.ympev.2014.10.002","http://dx.doi.org/10.1016/j.ympev.2014.10.002")</f>
        <v>http://dx.doi.org/10.1016/j.ympev.2014.10.002</v>
      </c>
      <c r="BG163" t="s">
        <v>74</v>
      </c>
      <c r="BH163" t="s">
        <v>74</v>
      </c>
      <c r="BI163">
        <v>15</v>
      </c>
      <c r="BJ163" t="s">
        <v>3546</v>
      </c>
      <c r="BK163" t="s">
        <v>91</v>
      </c>
      <c r="BL163" t="s">
        <v>3546</v>
      </c>
      <c r="BM163" t="s">
        <v>3547</v>
      </c>
      <c r="BN163">
        <v>25451805</v>
      </c>
      <c r="BO163" t="s">
        <v>2056</v>
      </c>
      <c r="BP163" t="s">
        <v>74</v>
      </c>
      <c r="BQ163" t="s">
        <v>74</v>
      </c>
      <c r="BR163" t="s">
        <v>93</v>
      </c>
      <c r="BS163" t="s">
        <v>3548</v>
      </c>
      <c r="BT163" t="str">
        <f>HYPERLINK("https%3A%2F%2Fwww.webofscience.com%2Fwos%2Fwoscc%2Ffull-record%2FWOS:000346219800005","View Full Record in Web of Science")</f>
        <v>View Full Record in Web of Science</v>
      </c>
    </row>
    <row r="164" spans="1:72" x14ac:dyDescent="0.15">
      <c r="A164" t="s">
        <v>72</v>
      </c>
      <c r="B164" t="s">
        <v>3549</v>
      </c>
      <c r="C164" t="s">
        <v>74</v>
      </c>
      <c r="D164" t="s">
        <v>74</v>
      </c>
      <c r="E164" t="s">
        <v>74</v>
      </c>
      <c r="F164" t="s">
        <v>3550</v>
      </c>
      <c r="G164" t="s">
        <v>74</v>
      </c>
      <c r="H164" t="s">
        <v>74</v>
      </c>
      <c r="I164" t="s">
        <v>3551</v>
      </c>
      <c r="J164" t="s">
        <v>3552</v>
      </c>
      <c r="K164" t="s">
        <v>74</v>
      </c>
      <c r="L164" t="s">
        <v>74</v>
      </c>
      <c r="M164" t="s">
        <v>78</v>
      </c>
      <c r="N164" t="s">
        <v>99</v>
      </c>
      <c r="O164" t="s">
        <v>74</v>
      </c>
      <c r="P164" t="s">
        <v>74</v>
      </c>
      <c r="Q164" t="s">
        <v>74</v>
      </c>
      <c r="R164" t="s">
        <v>74</v>
      </c>
      <c r="S164" t="s">
        <v>74</v>
      </c>
      <c r="T164" t="s">
        <v>74</v>
      </c>
      <c r="U164" t="s">
        <v>3553</v>
      </c>
      <c r="V164" t="s">
        <v>3554</v>
      </c>
      <c r="W164" t="s">
        <v>3555</v>
      </c>
      <c r="X164" t="s">
        <v>3556</v>
      </c>
      <c r="Y164" t="s">
        <v>3557</v>
      </c>
      <c r="Z164" t="s">
        <v>3558</v>
      </c>
      <c r="AA164" t="s">
        <v>3559</v>
      </c>
      <c r="AB164" t="s">
        <v>3560</v>
      </c>
      <c r="AC164" t="s">
        <v>3561</v>
      </c>
      <c r="AD164" t="s">
        <v>3562</v>
      </c>
      <c r="AE164" t="s">
        <v>3563</v>
      </c>
      <c r="AF164" t="s">
        <v>74</v>
      </c>
      <c r="AG164">
        <v>101</v>
      </c>
      <c r="AH164">
        <v>3</v>
      </c>
      <c r="AI164">
        <v>4</v>
      </c>
      <c r="AJ164">
        <v>0</v>
      </c>
      <c r="AK164">
        <v>22</v>
      </c>
      <c r="AL164" t="s">
        <v>111</v>
      </c>
      <c r="AM164" t="s">
        <v>112</v>
      </c>
      <c r="AN164" t="s">
        <v>113</v>
      </c>
      <c r="AO164" t="s">
        <v>3564</v>
      </c>
      <c r="AP164" t="s">
        <v>3565</v>
      </c>
      <c r="AQ164" t="s">
        <v>74</v>
      </c>
      <c r="AR164" t="s">
        <v>3566</v>
      </c>
      <c r="AS164" t="s">
        <v>3567</v>
      </c>
      <c r="AT164" t="s">
        <v>74</v>
      </c>
      <c r="AU164">
        <v>2015</v>
      </c>
      <c r="AV164">
        <v>13</v>
      </c>
      <c r="AW164">
        <v>3</v>
      </c>
      <c r="AX164" t="s">
        <v>74</v>
      </c>
      <c r="AY164" t="s">
        <v>74</v>
      </c>
      <c r="AZ164" t="s">
        <v>74</v>
      </c>
      <c r="BA164" t="s">
        <v>74</v>
      </c>
      <c r="BB164">
        <v>776</v>
      </c>
      <c r="BC164">
        <v>782</v>
      </c>
      <c r="BD164" t="s">
        <v>74</v>
      </c>
      <c r="BE164" t="s">
        <v>3568</v>
      </c>
      <c r="BF164" t="str">
        <f>HYPERLINK("http://dx.doi.org/10.1039/c4ob02123a","http://dx.doi.org/10.1039/c4ob02123a")</f>
        <v>http://dx.doi.org/10.1039/c4ob02123a</v>
      </c>
      <c r="BG164" t="s">
        <v>74</v>
      </c>
      <c r="BH164" t="s">
        <v>74</v>
      </c>
      <c r="BI164">
        <v>7</v>
      </c>
      <c r="BJ164" t="s">
        <v>3569</v>
      </c>
      <c r="BK164" t="s">
        <v>3570</v>
      </c>
      <c r="BL164" t="s">
        <v>181</v>
      </c>
      <c r="BM164" t="s">
        <v>3571</v>
      </c>
      <c r="BN164">
        <v>25388008</v>
      </c>
      <c r="BO164" t="s">
        <v>74</v>
      </c>
      <c r="BP164" t="s">
        <v>74</v>
      </c>
      <c r="BQ164" t="s">
        <v>74</v>
      </c>
      <c r="BR164" t="s">
        <v>93</v>
      </c>
      <c r="BS164" t="s">
        <v>3572</v>
      </c>
      <c r="BT164" t="str">
        <f>HYPERLINK("https%3A%2F%2Fwww.webofscience.com%2Fwos%2Fwoscc%2Ffull-record%2FWOS:000346483700016","View Full Record in Web of Science")</f>
        <v>View Full Record in Web of Science</v>
      </c>
    </row>
    <row r="165" spans="1:72" x14ac:dyDescent="0.15">
      <c r="A165" t="s">
        <v>72</v>
      </c>
      <c r="B165" t="s">
        <v>3573</v>
      </c>
      <c r="C165" t="s">
        <v>74</v>
      </c>
      <c r="D165" t="s">
        <v>74</v>
      </c>
      <c r="E165" t="s">
        <v>74</v>
      </c>
      <c r="F165" t="s">
        <v>3574</v>
      </c>
      <c r="G165" t="s">
        <v>74</v>
      </c>
      <c r="H165" t="s">
        <v>74</v>
      </c>
      <c r="I165" t="s">
        <v>3575</v>
      </c>
      <c r="J165" t="s">
        <v>3576</v>
      </c>
      <c r="K165" t="s">
        <v>74</v>
      </c>
      <c r="L165" t="s">
        <v>74</v>
      </c>
      <c r="M165" t="s">
        <v>78</v>
      </c>
      <c r="N165" t="s">
        <v>99</v>
      </c>
      <c r="O165" t="s">
        <v>74</v>
      </c>
      <c r="P165" t="s">
        <v>74</v>
      </c>
      <c r="Q165" t="s">
        <v>74</v>
      </c>
      <c r="R165" t="s">
        <v>74</v>
      </c>
      <c r="S165" t="s">
        <v>74</v>
      </c>
      <c r="T165" t="s">
        <v>74</v>
      </c>
      <c r="U165" t="s">
        <v>74</v>
      </c>
      <c r="V165" t="s">
        <v>3577</v>
      </c>
      <c r="W165" t="s">
        <v>3578</v>
      </c>
      <c r="X165" t="s">
        <v>3579</v>
      </c>
      <c r="Y165" t="s">
        <v>3580</v>
      </c>
      <c r="Z165" t="s">
        <v>3581</v>
      </c>
      <c r="AA165" t="s">
        <v>74</v>
      </c>
      <c r="AB165" t="s">
        <v>74</v>
      </c>
      <c r="AC165" t="s">
        <v>74</v>
      </c>
      <c r="AD165" t="s">
        <v>74</v>
      </c>
      <c r="AE165" t="s">
        <v>74</v>
      </c>
      <c r="AF165" t="s">
        <v>74</v>
      </c>
      <c r="AG165">
        <v>40</v>
      </c>
      <c r="AH165">
        <v>0</v>
      </c>
      <c r="AI165">
        <v>0</v>
      </c>
      <c r="AJ165">
        <v>0</v>
      </c>
      <c r="AK165">
        <v>1</v>
      </c>
      <c r="AL165" t="s">
        <v>365</v>
      </c>
      <c r="AM165" t="s">
        <v>342</v>
      </c>
      <c r="AN165" t="s">
        <v>2314</v>
      </c>
      <c r="AO165" t="s">
        <v>3582</v>
      </c>
      <c r="AP165" t="s">
        <v>3583</v>
      </c>
      <c r="AQ165" t="s">
        <v>74</v>
      </c>
      <c r="AR165" t="s">
        <v>3584</v>
      </c>
      <c r="AS165" t="s">
        <v>3585</v>
      </c>
      <c r="AT165" t="s">
        <v>200</v>
      </c>
      <c r="AU165">
        <v>2015</v>
      </c>
      <c r="AV165">
        <v>51</v>
      </c>
      <c r="AW165">
        <v>1</v>
      </c>
      <c r="AX165" t="s">
        <v>74</v>
      </c>
      <c r="AY165" t="s">
        <v>74</v>
      </c>
      <c r="AZ165" t="s">
        <v>74</v>
      </c>
      <c r="BA165" t="s">
        <v>74</v>
      </c>
      <c r="BB165">
        <v>49</v>
      </c>
      <c r="BC165">
        <v>57</v>
      </c>
      <c r="BD165" t="s">
        <v>74</v>
      </c>
      <c r="BE165" t="s">
        <v>3586</v>
      </c>
      <c r="BF165" t="str">
        <f>HYPERLINK("http://dx.doi.org/10.1017/S0032247413000570","http://dx.doi.org/10.1017/S0032247413000570")</f>
        <v>http://dx.doi.org/10.1017/S0032247413000570</v>
      </c>
      <c r="BG165" t="s">
        <v>74</v>
      </c>
      <c r="BH165" t="s">
        <v>74</v>
      </c>
      <c r="BI165">
        <v>9</v>
      </c>
      <c r="BJ165" t="s">
        <v>3587</v>
      </c>
      <c r="BK165" t="s">
        <v>91</v>
      </c>
      <c r="BL165" t="s">
        <v>395</v>
      </c>
      <c r="BM165" t="s">
        <v>3588</v>
      </c>
      <c r="BN165" t="s">
        <v>74</v>
      </c>
      <c r="BO165" t="s">
        <v>74</v>
      </c>
      <c r="BP165" t="s">
        <v>74</v>
      </c>
      <c r="BQ165" t="s">
        <v>74</v>
      </c>
      <c r="BR165" t="s">
        <v>93</v>
      </c>
      <c r="BS165" t="s">
        <v>3589</v>
      </c>
      <c r="BT165" t="str">
        <f>HYPERLINK("https%3A%2F%2Fwww.webofscience.com%2Fwos%2Fwoscc%2Ffull-record%2FWOS:000346191200005","View Full Record in Web of Science")</f>
        <v>View Full Record in Web of Science</v>
      </c>
    </row>
    <row r="166" spans="1:72" x14ac:dyDescent="0.15">
      <c r="A166" t="s">
        <v>72</v>
      </c>
      <c r="B166" t="s">
        <v>3590</v>
      </c>
      <c r="C166" t="s">
        <v>74</v>
      </c>
      <c r="D166" t="s">
        <v>74</v>
      </c>
      <c r="E166" t="s">
        <v>74</v>
      </c>
      <c r="F166" t="s">
        <v>3591</v>
      </c>
      <c r="G166" t="s">
        <v>74</v>
      </c>
      <c r="H166" t="s">
        <v>74</v>
      </c>
      <c r="I166" t="s">
        <v>3592</v>
      </c>
      <c r="J166" t="s">
        <v>3593</v>
      </c>
      <c r="K166" t="s">
        <v>74</v>
      </c>
      <c r="L166" t="s">
        <v>74</v>
      </c>
      <c r="M166" t="s">
        <v>78</v>
      </c>
      <c r="N166" t="s">
        <v>99</v>
      </c>
      <c r="O166" t="s">
        <v>74</v>
      </c>
      <c r="P166" t="s">
        <v>74</v>
      </c>
      <c r="Q166" t="s">
        <v>74</v>
      </c>
      <c r="R166" t="s">
        <v>74</v>
      </c>
      <c r="S166" t="s">
        <v>74</v>
      </c>
      <c r="T166" t="s">
        <v>3594</v>
      </c>
      <c r="U166" t="s">
        <v>3595</v>
      </c>
      <c r="V166" t="s">
        <v>3596</v>
      </c>
      <c r="W166" t="s">
        <v>3597</v>
      </c>
      <c r="X166" t="s">
        <v>3598</v>
      </c>
      <c r="Y166" t="s">
        <v>3599</v>
      </c>
      <c r="Z166" t="s">
        <v>3600</v>
      </c>
      <c r="AA166" t="s">
        <v>3601</v>
      </c>
      <c r="AB166" t="s">
        <v>3602</v>
      </c>
      <c r="AC166" t="s">
        <v>3603</v>
      </c>
      <c r="AD166" t="s">
        <v>3603</v>
      </c>
      <c r="AE166" t="s">
        <v>3604</v>
      </c>
      <c r="AF166" t="s">
        <v>74</v>
      </c>
      <c r="AG166">
        <v>32</v>
      </c>
      <c r="AH166">
        <v>3</v>
      </c>
      <c r="AI166">
        <v>3</v>
      </c>
      <c r="AJ166">
        <v>0</v>
      </c>
      <c r="AK166">
        <v>19</v>
      </c>
      <c r="AL166" t="s">
        <v>3605</v>
      </c>
      <c r="AM166" t="s">
        <v>3606</v>
      </c>
      <c r="AN166" t="s">
        <v>3607</v>
      </c>
      <c r="AO166" t="s">
        <v>3608</v>
      </c>
      <c r="AP166" t="s">
        <v>3609</v>
      </c>
      <c r="AQ166" t="s">
        <v>74</v>
      </c>
      <c r="AR166" t="s">
        <v>3610</v>
      </c>
      <c r="AS166" t="s">
        <v>3611</v>
      </c>
      <c r="AT166" t="s">
        <v>74</v>
      </c>
      <c r="AU166">
        <v>2015</v>
      </c>
      <c r="AV166">
        <v>11</v>
      </c>
      <c r="AW166">
        <v>2</v>
      </c>
      <c r="AX166" t="s">
        <v>74</v>
      </c>
      <c r="AY166" t="s">
        <v>74</v>
      </c>
      <c r="AZ166" t="s">
        <v>74</v>
      </c>
      <c r="BA166" t="s">
        <v>74</v>
      </c>
      <c r="BB166">
        <v>180</v>
      </c>
      <c r="BC166">
        <v>187</v>
      </c>
      <c r="BD166" t="s">
        <v>74</v>
      </c>
      <c r="BE166" t="s">
        <v>3612</v>
      </c>
      <c r="BF166" t="str">
        <f>HYPERLINK("http://dx.doi.org/10.1080/17451000.2014.894245","http://dx.doi.org/10.1080/17451000.2014.894245")</f>
        <v>http://dx.doi.org/10.1080/17451000.2014.894245</v>
      </c>
      <c r="BG166" t="s">
        <v>74</v>
      </c>
      <c r="BH166" t="s">
        <v>74</v>
      </c>
      <c r="BI166">
        <v>8</v>
      </c>
      <c r="BJ166" t="s">
        <v>3613</v>
      </c>
      <c r="BK166" t="s">
        <v>91</v>
      </c>
      <c r="BL166" t="s">
        <v>2674</v>
      </c>
      <c r="BM166" t="s">
        <v>3614</v>
      </c>
      <c r="BN166" t="s">
        <v>74</v>
      </c>
      <c r="BO166" t="s">
        <v>74</v>
      </c>
      <c r="BP166" t="s">
        <v>74</v>
      </c>
      <c r="BQ166" t="s">
        <v>74</v>
      </c>
      <c r="BR166" t="s">
        <v>93</v>
      </c>
      <c r="BS166" t="s">
        <v>3615</v>
      </c>
      <c r="BT166" t="str">
        <f>HYPERLINK("https%3A%2F%2Fwww.webofscience.com%2Fwos%2Fwoscc%2Ffull-record%2FWOS:000345920300006","View Full Record in Web of Science")</f>
        <v>View Full Record in Web of Science</v>
      </c>
    </row>
    <row r="167" spans="1:72" x14ac:dyDescent="0.15">
      <c r="A167" t="s">
        <v>295</v>
      </c>
      <c r="B167" t="s">
        <v>3616</v>
      </c>
      <c r="C167" t="s">
        <v>74</v>
      </c>
      <c r="D167" t="s">
        <v>74</v>
      </c>
      <c r="E167" t="s">
        <v>3617</v>
      </c>
      <c r="F167" t="s">
        <v>3618</v>
      </c>
      <c r="G167" t="s">
        <v>74</v>
      </c>
      <c r="H167" t="s">
        <v>74</v>
      </c>
      <c r="I167" t="s">
        <v>3619</v>
      </c>
      <c r="J167" t="s">
        <v>3620</v>
      </c>
      <c r="K167" t="s">
        <v>3621</v>
      </c>
      <c r="L167" t="s">
        <v>74</v>
      </c>
      <c r="M167" t="s">
        <v>78</v>
      </c>
      <c r="N167" t="s">
        <v>301</v>
      </c>
      <c r="O167" t="s">
        <v>3622</v>
      </c>
      <c r="P167" t="s">
        <v>3623</v>
      </c>
      <c r="Q167" t="s">
        <v>3624</v>
      </c>
      <c r="R167" t="s">
        <v>74</v>
      </c>
      <c r="S167" t="s">
        <v>74</v>
      </c>
      <c r="T167" t="s">
        <v>3625</v>
      </c>
      <c r="U167" t="s">
        <v>74</v>
      </c>
      <c r="V167" t="s">
        <v>3626</v>
      </c>
      <c r="W167" t="s">
        <v>3627</v>
      </c>
      <c r="X167" t="s">
        <v>3628</v>
      </c>
      <c r="Y167" t="s">
        <v>3629</v>
      </c>
      <c r="Z167" t="s">
        <v>74</v>
      </c>
      <c r="AA167" t="s">
        <v>74</v>
      </c>
      <c r="AB167" t="s">
        <v>74</v>
      </c>
      <c r="AC167" t="s">
        <v>74</v>
      </c>
      <c r="AD167" t="s">
        <v>74</v>
      </c>
      <c r="AE167" t="s">
        <v>74</v>
      </c>
      <c r="AF167" t="s">
        <v>74</v>
      </c>
      <c r="AG167">
        <v>5</v>
      </c>
      <c r="AH167">
        <v>0</v>
      </c>
      <c r="AI167">
        <v>0</v>
      </c>
      <c r="AJ167">
        <v>0</v>
      </c>
      <c r="AK167">
        <v>0</v>
      </c>
      <c r="AL167" t="s">
        <v>3617</v>
      </c>
      <c r="AM167" t="s">
        <v>342</v>
      </c>
      <c r="AN167" t="s">
        <v>3630</v>
      </c>
      <c r="AO167" t="s">
        <v>3631</v>
      </c>
      <c r="AP167" t="s">
        <v>74</v>
      </c>
      <c r="AQ167" t="s">
        <v>3632</v>
      </c>
      <c r="AR167" t="s">
        <v>3633</v>
      </c>
      <c r="AS167" t="s">
        <v>74</v>
      </c>
      <c r="AT167" t="s">
        <v>74</v>
      </c>
      <c r="AU167">
        <v>2015</v>
      </c>
      <c r="AV167" t="s">
        <v>74</v>
      </c>
      <c r="AW167" t="s">
        <v>74</v>
      </c>
      <c r="AX167" t="s">
        <v>74</v>
      </c>
      <c r="AY167" t="s">
        <v>74</v>
      </c>
      <c r="AZ167" t="s">
        <v>74</v>
      </c>
      <c r="BA167" t="s">
        <v>74</v>
      </c>
      <c r="BB167">
        <v>2080</v>
      </c>
      <c r="BC167">
        <v>2082</v>
      </c>
      <c r="BD167" t="s">
        <v>74</v>
      </c>
      <c r="BE167" t="s">
        <v>74</v>
      </c>
      <c r="BF167" t="s">
        <v>74</v>
      </c>
      <c r="BG167" t="s">
        <v>74</v>
      </c>
      <c r="BH167" t="s">
        <v>74</v>
      </c>
      <c r="BI167">
        <v>3</v>
      </c>
      <c r="BJ167" t="s">
        <v>3634</v>
      </c>
      <c r="BK167" t="s">
        <v>320</v>
      </c>
      <c r="BL167" t="s">
        <v>3635</v>
      </c>
      <c r="BM167" t="s">
        <v>3636</v>
      </c>
      <c r="BN167" t="s">
        <v>74</v>
      </c>
      <c r="BO167" t="s">
        <v>74</v>
      </c>
      <c r="BP167" t="s">
        <v>74</v>
      </c>
      <c r="BQ167" t="s">
        <v>74</v>
      </c>
      <c r="BR167" t="s">
        <v>93</v>
      </c>
      <c r="BS167" t="s">
        <v>3637</v>
      </c>
      <c r="BT167" t="str">
        <f>HYPERLINK("https%3A%2F%2Fwww.webofscience.com%2Fwos%2Fwoscc%2Ffull-record%2FWOS:000371696702045","View Full Record in Web of Science")</f>
        <v>View Full Record in Web of Science</v>
      </c>
    </row>
    <row r="168" spans="1:72" x14ac:dyDescent="0.15">
      <c r="A168" t="s">
        <v>295</v>
      </c>
      <c r="B168" t="s">
        <v>3638</v>
      </c>
      <c r="C168" t="s">
        <v>74</v>
      </c>
      <c r="D168" t="s">
        <v>74</v>
      </c>
      <c r="E168" t="s">
        <v>3617</v>
      </c>
      <c r="F168" t="s">
        <v>3639</v>
      </c>
      <c r="G168" t="s">
        <v>74</v>
      </c>
      <c r="H168" t="s">
        <v>74</v>
      </c>
      <c r="I168" t="s">
        <v>3640</v>
      </c>
      <c r="J168" t="s">
        <v>3620</v>
      </c>
      <c r="K168" t="s">
        <v>3621</v>
      </c>
      <c r="L168" t="s">
        <v>74</v>
      </c>
      <c r="M168" t="s">
        <v>78</v>
      </c>
      <c r="N168" t="s">
        <v>301</v>
      </c>
      <c r="O168" t="s">
        <v>3622</v>
      </c>
      <c r="P168" t="s">
        <v>3623</v>
      </c>
      <c r="Q168" t="s">
        <v>3624</v>
      </c>
      <c r="R168" t="s">
        <v>74</v>
      </c>
      <c r="S168" t="s">
        <v>74</v>
      </c>
      <c r="T168" t="s">
        <v>3641</v>
      </c>
      <c r="U168" t="s">
        <v>3642</v>
      </c>
      <c r="V168" t="s">
        <v>3643</v>
      </c>
      <c r="W168" t="s">
        <v>3644</v>
      </c>
      <c r="X168" t="s">
        <v>3645</v>
      </c>
      <c r="Y168" t="s">
        <v>3646</v>
      </c>
      <c r="Z168" t="s">
        <v>3647</v>
      </c>
      <c r="AA168" t="s">
        <v>3648</v>
      </c>
      <c r="AB168" t="s">
        <v>3649</v>
      </c>
      <c r="AC168" t="s">
        <v>74</v>
      </c>
      <c r="AD168" t="s">
        <v>74</v>
      </c>
      <c r="AE168" t="s">
        <v>74</v>
      </c>
      <c r="AF168" t="s">
        <v>74</v>
      </c>
      <c r="AG168">
        <v>13</v>
      </c>
      <c r="AH168">
        <v>2</v>
      </c>
      <c r="AI168">
        <v>2</v>
      </c>
      <c r="AJ168">
        <v>0</v>
      </c>
      <c r="AK168">
        <v>3</v>
      </c>
      <c r="AL168" t="s">
        <v>3617</v>
      </c>
      <c r="AM168" t="s">
        <v>342</v>
      </c>
      <c r="AN168" t="s">
        <v>3630</v>
      </c>
      <c r="AO168" t="s">
        <v>3631</v>
      </c>
      <c r="AP168" t="s">
        <v>74</v>
      </c>
      <c r="AQ168" t="s">
        <v>3632</v>
      </c>
      <c r="AR168" t="s">
        <v>3633</v>
      </c>
      <c r="AS168" t="s">
        <v>74</v>
      </c>
      <c r="AT168" t="s">
        <v>74</v>
      </c>
      <c r="AU168">
        <v>2015</v>
      </c>
      <c r="AV168" t="s">
        <v>74</v>
      </c>
      <c r="AW168" t="s">
        <v>74</v>
      </c>
      <c r="AX168" t="s">
        <v>74</v>
      </c>
      <c r="AY168" t="s">
        <v>74</v>
      </c>
      <c r="AZ168" t="s">
        <v>74</v>
      </c>
      <c r="BA168" t="s">
        <v>74</v>
      </c>
      <c r="BB168">
        <v>3458</v>
      </c>
      <c r="BC168">
        <v>3461</v>
      </c>
      <c r="BD168" t="s">
        <v>74</v>
      </c>
      <c r="BE168" t="s">
        <v>74</v>
      </c>
      <c r="BF168" t="s">
        <v>74</v>
      </c>
      <c r="BG168" t="s">
        <v>74</v>
      </c>
      <c r="BH168" t="s">
        <v>74</v>
      </c>
      <c r="BI168">
        <v>4</v>
      </c>
      <c r="BJ168" t="s">
        <v>3634</v>
      </c>
      <c r="BK168" t="s">
        <v>320</v>
      </c>
      <c r="BL168" t="s">
        <v>3635</v>
      </c>
      <c r="BM168" t="s">
        <v>3636</v>
      </c>
      <c r="BN168" t="s">
        <v>74</v>
      </c>
      <c r="BO168" t="s">
        <v>74</v>
      </c>
      <c r="BP168" t="s">
        <v>74</v>
      </c>
      <c r="BQ168" t="s">
        <v>74</v>
      </c>
      <c r="BR168" t="s">
        <v>93</v>
      </c>
      <c r="BS168" t="s">
        <v>3650</v>
      </c>
      <c r="BT168" t="str">
        <f>HYPERLINK("https%3A%2F%2Fwww.webofscience.com%2Fwos%2Fwoscc%2Ffull-record%2FWOS:000371696703139","View Full Record in Web of Science")</f>
        <v>View Full Record in Web of Science</v>
      </c>
    </row>
    <row r="169" spans="1:72" x14ac:dyDescent="0.15">
      <c r="A169" t="s">
        <v>295</v>
      </c>
      <c r="B169" t="s">
        <v>3651</v>
      </c>
      <c r="C169" t="s">
        <v>74</v>
      </c>
      <c r="D169" t="s">
        <v>74</v>
      </c>
      <c r="E169" t="s">
        <v>3617</v>
      </c>
      <c r="F169" t="s">
        <v>3652</v>
      </c>
      <c r="G169" t="s">
        <v>74</v>
      </c>
      <c r="H169" t="s">
        <v>74</v>
      </c>
      <c r="I169" t="s">
        <v>3653</v>
      </c>
      <c r="J169" t="s">
        <v>3620</v>
      </c>
      <c r="K169" t="s">
        <v>3621</v>
      </c>
      <c r="L169" t="s">
        <v>74</v>
      </c>
      <c r="M169" t="s">
        <v>78</v>
      </c>
      <c r="N169" t="s">
        <v>301</v>
      </c>
      <c r="O169" t="s">
        <v>3622</v>
      </c>
      <c r="P169" t="s">
        <v>3623</v>
      </c>
      <c r="Q169" t="s">
        <v>3624</v>
      </c>
      <c r="R169" t="s">
        <v>74</v>
      </c>
      <c r="S169" t="s">
        <v>74</v>
      </c>
      <c r="T169" t="s">
        <v>3654</v>
      </c>
      <c r="U169" t="s">
        <v>3655</v>
      </c>
      <c r="V169" t="s">
        <v>3656</v>
      </c>
      <c r="W169" t="s">
        <v>3657</v>
      </c>
      <c r="X169" t="s">
        <v>3658</v>
      </c>
      <c r="Y169" t="s">
        <v>3659</v>
      </c>
      <c r="Z169" t="s">
        <v>74</v>
      </c>
      <c r="AA169" t="s">
        <v>74</v>
      </c>
      <c r="AB169" t="s">
        <v>3660</v>
      </c>
      <c r="AC169" t="s">
        <v>74</v>
      </c>
      <c r="AD169" t="s">
        <v>74</v>
      </c>
      <c r="AE169" t="s">
        <v>74</v>
      </c>
      <c r="AF169" t="s">
        <v>74</v>
      </c>
      <c r="AG169">
        <v>7</v>
      </c>
      <c r="AH169">
        <v>3</v>
      </c>
      <c r="AI169">
        <v>3</v>
      </c>
      <c r="AJ169">
        <v>0</v>
      </c>
      <c r="AK169">
        <v>0</v>
      </c>
      <c r="AL169" t="s">
        <v>3617</v>
      </c>
      <c r="AM169" t="s">
        <v>342</v>
      </c>
      <c r="AN169" t="s">
        <v>3630</v>
      </c>
      <c r="AO169" t="s">
        <v>3631</v>
      </c>
      <c r="AP169" t="s">
        <v>74</v>
      </c>
      <c r="AQ169" t="s">
        <v>3632</v>
      </c>
      <c r="AR169" t="s">
        <v>3633</v>
      </c>
      <c r="AS169" t="s">
        <v>74</v>
      </c>
      <c r="AT169" t="s">
        <v>74</v>
      </c>
      <c r="AU169">
        <v>2015</v>
      </c>
      <c r="AV169" t="s">
        <v>74</v>
      </c>
      <c r="AW169" t="s">
        <v>74</v>
      </c>
      <c r="AX169" t="s">
        <v>74</v>
      </c>
      <c r="AY169" t="s">
        <v>74</v>
      </c>
      <c r="AZ169" t="s">
        <v>74</v>
      </c>
      <c r="BA169" t="s">
        <v>74</v>
      </c>
      <c r="BB169">
        <v>5216</v>
      </c>
      <c r="BC169">
        <v>5219</v>
      </c>
      <c r="BD169" t="s">
        <v>74</v>
      </c>
      <c r="BE169" t="s">
        <v>74</v>
      </c>
      <c r="BF169" t="s">
        <v>74</v>
      </c>
      <c r="BG169" t="s">
        <v>74</v>
      </c>
      <c r="BH169" t="s">
        <v>74</v>
      </c>
      <c r="BI169">
        <v>4</v>
      </c>
      <c r="BJ169" t="s">
        <v>3634</v>
      </c>
      <c r="BK169" t="s">
        <v>320</v>
      </c>
      <c r="BL169" t="s">
        <v>3635</v>
      </c>
      <c r="BM169" t="s">
        <v>3636</v>
      </c>
      <c r="BN169" t="s">
        <v>74</v>
      </c>
      <c r="BO169" t="s">
        <v>74</v>
      </c>
      <c r="BP169" t="s">
        <v>74</v>
      </c>
      <c r="BQ169" t="s">
        <v>74</v>
      </c>
      <c r="BR169" t="s">
        <v>93</v>
      </c>
      <c r="BS169" t="s">
        <v>3661</v>
      </c>
      <c r="BT169" t="str">
        <f>HYPERLINK("https%3A%2F%2Fwww.webofscience.com%2Fwos%2Fwoscc%2Ffull-record%2FWOS:000371696705072","View Full Record in Web of Science")</f>
        <v>View Full Record in Web of Science</v>
      </c>
    </row>
    <row r="170" spans="1:72" x14ac:dyDescent="0.15">
      <c r="A170" t="s">
        <v>295</v>
      </c>
      <c r="B170" t="s">
        <v>3662</v>
      </c>
      <c r="C170" t="s">
        <v>74</v>
      </c>
      <c r="D170" t="s">
        <v>74</v>
      </c>
      <c r="E170" t="s">
        <v>3617</v>
      </c>
      <c r="F170" t="s">
        <v>3663</v>
      </c>
      <c r="G170" t="s">
        <v>74</v>
      </c>
      <c r="H170" t="s">
        <v>74</v>
      </c>
      <c r="I170" t="s">
        <v>3664</v>
      </c>
      <c r="J170" t="s">
        <v>3665</v>
      </c>
      <c r="K170" t="s">
        <v>74</v>
      </c>
      <c r="L170" t="s">
        <v>74</v>
      </c>
      <c r="M170" t="s">
        <v>78</v>
      </c>
      <c r="N170" t="s">
        <v>301</v>
      </c>
      <c r="O170" t="s">
        <v>3666</v>
      </c>
      <c r="P170" t="s">
        <v>3667</v>
      </c>
      <c r="Q170" t="s">
        <v>3668</v>
      </c>
      <c r="R170" t="s">
        <v>74</v>
      </c>
      <c r="S170" t="s">
        <v>74</v>
      </c>
      <c r="T170" t="s">
        <v>3669</v>
      </c>
      <c r="U170" t="s">
        <v>3670</v>
      </c>
      <c r="V170" t="s">
        <v>3671</v>
      </c>
      <c r="W170" t="s">
        <v>3672</v>
      </c>
      <c r="X170" t="s">
        <v>3673</v>
      </c>
      <c r="Y170" t="s">
        <v>3674</v>
      </c>
      <c r="Z170" t="s">
        <v>3675</v>
      </c>
      <c r="AA170" t="s">
        <v>3676</v>
      </c>
      <c r="AB170" t="s">
        <v>3677</v>
      </c>
      <c r="AC170" t="s">
        <v>3678</v>
      </c>
      <c r="AD170" t="s">
        <v>3679</v>
      </c>
      <c r="AE170" t="s">
        <v>3680</v>
      </c>
      <c r="AF170" t="s">
        <v>74</v>
      </c>
      <c r="AG170">
        <v>17</v>
      </c>
      <c r="AH170">
        <v>0</v>
      </c>
      <c r="AI170">
        <v>0</v>
      </c>
      <c r="AJ170">
        <v>0</v>
      </c>
      <c r="AK170">
        <v>1</v>
      </c>
      <c r="AL170" t="s">
        <v>3617</v>
      </c>
      <c r="AM170" t="s">
        <v>342</v>
      </c>
      <c r="AN170" t="s">
        <v>3630</v>
      </c>
      <c r="AO170" t="s">
        <v>74</v>
      </c>
      <c r="AP170" t="s">
        <v>74</v>
      </c>
      <c r="AQ170" t="s">
        <v>3681</v>
      </c>
      <c r="AR170" t="s">
        <v>74</v>
      </c>
      <c r="AS170" t="s">
        <v>74</v>
      </c>
      <c r="AT170" t="s">
        <v>74</v>
      </c>
      <c r="AU170">
        <v>2015</v>
      </c>
      <c r="AV170" t="s">
        <v>74</v>
      </c>
      <c r="AW170" t="s">
        <v>74</v>
      </c>
      <c r="AX170" t="s">
        <v>74</v>
      </c>
      <c r="AY170" t="s">
        <v>74</v>
      </c>
      <c r="AZ170" t="s">
        <v>74</v>
      </c>
      <c r="BA170" t="s">
        <v>74</v>
      </c>
      <c r="BB170" t="s">
        <v>74</v>
      </c>
      <c r="BC170" t="s">
        <v>74</v>
      </c>
      <c r="BD170" t="s">
        <v>74</v>
      </c>
      <c r="BE170" t="s">
        <v>74</v>
      </c>
      <c r="BF170" t="s">
        <v>74</v>
      </c>
      <c r="BG170" t="s">
        <v>74</v>
      </c>
      <c r="BH170" t="s">
        <v>74</v>
      </c>
      <c r="BI170">
        <v>6</v>
      </c>
      <c r="BJ170" t="s">
        <v>3682</v>
      </c>
      <c r="BK170" t="s">
        <v>320</v>
      </c>
      <c r="BL170" t="s">
        <v>3683</v>
      </c>
      <c r="BM170" t="s">
        <v>3684</v>
      </c>
      <c r="BN170" t="s">
        <v>74</v>
      </c>
      <c r="BO170" t="s">
        <v>74</v>
      </c>
      <c r="BP170" t="s">
        <v>74</v>
      </c>
      <c r="BQ170" t="s">
        <v>74</v>
      </c>
      <c r="BR170" t="s">
        <v>93</v>
      </c>
      <c r="BS170" t="s">
        <v>3685</v>
      </c>
      <c r="BT170" t="str">
        <f>HYPERLINK("https%3A%2F%2Fwww.webofscience.com%2Fwos%2Fwoscc%2Ffull-record%2FWOS:000412164600031","View Full Record in Web of Science")</f>
        <v>View Full Record in Web of Science</v>
      </c>
    </row>
    <row r="171" spans="1:72" x14ac:dyDescent="0.15">
      <c r="A171" t="s">
        <v>295</v>
      </c>
      <c r="B171" t="s">
        <v>3686</v>
      </c>
      <c r="C171" t="s">
        <v>74</v>
      </c>
      <c r="D171" t="s">
        <v>3687</v>
      </c>
      <c r="E171" t="s">
        <v>74</v>
      </c>
      <c r="F171" t="s">
        <v>3688</v>
      </c>
      <c r="G171" t="s">
        <v>74</v>
      </c>
      <c r="H171" t="s">
        <v>74</v>
      </c>
      <c r="I171" t="s">
        <v>3689</v>
      </c>
      <c r="J171" t="s">
        <v>3690</v>
      </c>
      <c r="K171" t="s">
        <v>3691</v>
      </c>
      <c r="L171" t="s">
        <v>74</v>
      </c>
      <c r="M171" t="s">
        <v>78</v>
      </c>
      <c r="N171" t="s">
        <v>301</v>
      </c>
      <c r="O171" t="s">
        <v>3692</v>
      </c>
      <c r="P171" t="s">
        <v>3693</v>
      </c>
      <c r="Q171" t="s">
        <v>3694</v>
      </c>
      <c r="R171" t="s">
        <v>74</v>
      </c>
      <c r="S171" t="s">
        <v>74</v>
      </c>
      <c r="T171" t="s">
        <v>3695</v>
      </c>
      <c r="U171" t="s">
        <v>74</v>
      </c>
      <c r="V171" t="s">
        <v>3696</v>
      </c>
      <c r="W171" t="s">
        <v>3697</v>
      </c>
      <c r="X171" t="s">
        <v>3698</v>
      </c>
      <c r="Y171" t="s">
        <v>3699</v>
      </c>
      <c r="Z171" t="s">
        <v>3700</v>
      </c>
      <c r="AA171" t="s">
        <v>3701</v>
      </c>
      <c r="AB171" t="s">
        <v>3702</v>
      </c>
      <c r="AC171" t="s">
        <v>74</v>
      </c>
      <c r="AD171" t="s">
        <v>74</v>
      </c>
      <c r="AE171" t="s">
        <v>74</v>
      </c>
      <c r="AF171" t="s">
        <v>74</v>
      </c>
      <c r="AG171">
        <v>5</v>
      </c>
      <c r="AH171">
        <v>4</v>
      </c>
      <c r="AI171">
        <v>4</v>
      </c>
      <c r="AJ171">
        <v>1</v>
      </c>
      <c r="AK171">
        <v>10</v>
      </c>
      <c r="AL171" t="s">
        <v>3617</v>
      </c>
      <c r="AM171" t="s">
        <v>342</v>
      </c>
      <c r="AN171" t="s">
        <v>3630</v>
      </c>
      <c r="AO171" t="s">
        <v>3703</v>
      </c>
      <c r="AP171" t="s">
        <v>74</v>
      </c>
      <c r="AQ171" t="s">
        <v>3704</v>
      </c>
      <c r="AR171" t="s">
        <v>3705</v>
      </c>
      <c r="AS171" t="s">
        <v>74</v>
      </c>
      <c r="AT171" t="s">
        <v>74</v>
      </c>
      <c r="AU171">
        <v>2015</v>
      </c>
      <c r="AV171" t="s">
        <v>74</v>
      </c>
      <c r="AW171" t="s">
        <v>74</v>
      </c>
      <c r="AX171" t="s">
        <v>74</v>
      </c>
      <c r="AY171" t="s">
        <v>74</v>
      </c>
      <c r="AZ171" t="s">
        <v>74</v>
      </c>
      <c r="BA171" t="s">
        <v>74</v>
      </c>
      <c r="BB171">
        <v>493</v>
      </c>
      <c r="BC171">
        <v>497</v>
      </c>
      <c r="BD171" t="s">
        <v>74</v>
      </c>
      <c r="BE171" t="s">
        <v>74</v>
      </c>
      <c r="BF171" t="s">
        <v>74</v>
      </c>
      <c r="BG171" t="s">
        <v>74</v>
      </c>
      <c r="BH171" t="s">
        <v>74</v>
      </c>
      <c r="BI171">
        <v>5</v>
      </c>
      <c r="BJ171" t="s">
        <v>3706</v>
      </c>
      <c r="BK171" t="s">
        <v>320</v>
      </c>
      <c r="BL171" t="s">
        <v>3707</v>
      </c>
      <c r="BM171" t="s">
        <v>3708</v>
      </c>
      <c r="BN171" t="s">
        <v>74</v>
      </c>
      <c r="BO171" t="s">
        <v>74</v>
      </c>
      <c r="BP171" t="s">
        <v>74</v>
      </c>
      <c r="BQ171" t="s">
        <v>74</v>
      </c>
      <c r="BR171" t="s">
        <v>93</v>
      </c>
      <c r="BS171" t="s">
        <v>3709</v>
      </c>
      <c r="BT171" t="str">
        <f>HYPERLINK("https%3A%2F%2Fwww.webofscience.com%2Fwos%2Fwoscc%2Ffull-record%2FWOS:000382974000103","View Full Record in Web of Science")</f>
        <v>View Full Record in Web of Science</v>
      </c>
    </row>
    <row r="172" spans="1:72" x14ac:dyDescent="0.15">
      <c r="A172" t="s">
        <v>295</v>
      </c>
      <c r="B172" t="s">
        <v>3710</v>
      </c>
      <c r="C172" t="s">
        <v>74</v>
      </c>
      <c r="D172" t="s">
        <v>74</v>
      </c>
      <c r="E172" t="s">
        <v>3617</v>
      </c>
      <c r="F172" t="s">
        <v>3711</v>
      </c>
      <c r="G172" t="s">
        <v>74</v>
      </c>
      <c r="H172" t="s">
        <v>74</v>
      </c>
      <c r="I172" t="s">
        <v>3712</v>
      </c>
      <c r="J172" t="s">
        <v>3713</v>
      </c>
      <c r="K172" t="s">
        <v>74</v>
      </c>
      <c r="L172" t="s">
        <v>74</v>
      </c>
      <c r="M172" t="s">
        <v>3714</v>
      </c>
      <c r="N172" t="s">
        <v>301</v>
      </c>
      <c r="O172" t="s">
        <v>3715</v>
      </c>
      <c r="P172" t="s">
        <v>3716</v>
      </c>
      <c r="Q172" t="s">
        <v>3717</v>
      </c>
      <c r="R172" t="s">
        <v>74</v>
      </c>
      <c r="S172" t="s">
        <v>74</v>
      </c>
      <c r="T172" t="s">
        <v>3718</v>
      </c>
      <c r="U172" t="s">
        <v>74</v>
      </c>
      <c r="V172" t="s">
        <v>3719</v>
      </c>
      <c r="W172" t="s">
        <v>3720</v>
      </c>
      <c r="X172" t="s">
        <v>3721</v>
      </c>
      <c r="Y172" t="s">
        <v>3722</v>
      </c>
      <c r="Z172" t="s">
        <v>3723</v>
      </c>
      <c r="AA172" t="s">
        <v>74</v>
      </c>
      <c r="AB172" t="s">
        <v>74</v>
      </c>
      <c r="AC172" t="s">
        <v>74</v>
      </c>
      <c r="AD172" t="s">
        <v>74</v>
      </c>
      <c r="AE172" t="s">
        <v>74</v>
      </c>
      <c r="AF172" t="s">
        <v>74</v>
      </c>
      <c r="AG172">
        <v>13</v>
      </c>
      <c r="AH172">
        <v>0</v>
      </c>
      <c r="AI172">
        <v>0</v>
      </c>
      <c r="AJ172">
        <v>0</v>
      </c>
      <c r="AK172">
        <v>1</v>
      </c>
      <c r="AL172" t="s">
        <v>3617</v>
      </c>
      <c r="AM172" t="s">
        <v>342</v>
      </c>
      <c r="AN172" t="s">
        <v>3630</v>
      </c>
      <c r="AO172" t="s">
        <v>74</v>
      </c>
      <c r="AP172" t="s">
        <v>74</v>
      </c>
      <c r="AQ172" t="s">
        <v>3724</v>
      </c>
      <c r="AR172" t="s">
        <v>74</v>
      </c>
      <c r="AS172" t="s">
        <v>74</v>
      </c>
      <c r="AT172" t="s">
        <v>74</v>
      </c>
      <c r="AU172">
        <v>2015</v>
      </c>
      <c r="AV172" t="s">
        <v>74</v>
      </c>
      <c r="AW172" t="s">
        <v>74</v>
      </c>
      <c r="AX172" t="s">
        <v>74</v>
      </c>
      <c r="AY172" t="s">
        <v>74</v>
      </c>
      <c r="AZ172" t="s">
        <v>74</v>
      </c>
      <c r="BA172" t="s">
        <v>74</v>
      </c>
      <c r="BB172" t="s">
        <v>74</v>
      </c>
      <c r="BC172" t="s">
        <v>74</v>
      </c>
      <c r="BD172" t="s">
        <v>74</v>
      </c>
      <c r="BE172" t="s">
        <v>74</v>
      </c>
      <c r="BF172" t="s">
        <v>74</v>
      </c>
      <c r="BG172" t="s">
        <v>74</v>
      </c>
      <c r="BH172" t="s">
        <v>74</v>
      </c>
      <c r="BI172">
        <v>5</v>
      </c>
      <c r="BJ172" t="s">
        <v>3725</v>
      </c>
      <c r="BK172" t="s">
        <v>320</v>
      </c>
      <c r="BL172" t="s">
        <v>3726</v>
      </c>
      <c r="BM172" t="s">
        <v>3727</v>
      </c>
      <c r="BN172" t="s">
        <v>74</v>
      </c>
      <c r="BO172" t="s">
        <v>74</v>
      </c>
      <c r="BP172" t="s">
        <v>74</v>
      </c>
      <c r="BQ172" t="s">
        <v>74</v>
      </c>
      <c r="BR172" t="s">
        <v>93</v>
      </c>
      <c r="BS172" t="s">
        <v>3728</v>
      </c>
      <c r="BT172" t="str">
        <f>HYPERLINK("https%3A%2F%2Fwww.webofscience.com%2Fwos%2Fwoscc%2Ffull-record%2FWOS:000399132800043","View Full Record in Web of Science")</f>
        <v>View Full Record in Web of Science</v>
      </c>
    </row>
    <row r="173" spans="1:72" x14ac:dyDescent="0.15">
      <c r="A173" t="s">
        <v>295</v>
      </c>
      <c r="B173" t="s">
        <v>3729</v>
      </c>
      <c r="C173" t="s">
        <v>74</v>
      </c>
      <c r="D173" t="s">
        <v>3730</v>
      </c>
      <c r="E173" t="s">
        <v>74</v>
      </c>
      <c r="F173" t="s">
        <v>3731</v>
      </c>
      <c r="G173" t="s">
        <v>74</v>
      </c>
      <c r="H173" t="s">
        <v>74</v>
      </c>
      <c r="I173" t="s">
        <v>3732</v>
      </c>
      <c r="J173" t="s">
        <v>3733</v>
      </c>
      <c r="K173" t="s">
        <v>74</v>
      </c>
      <c r="L173" t="s">
        <v>74</v>
      </c>
      <c r="M173" t="s">
        <v>78</v>
      </c>
      <c r="N173" t="s">
        <v>301</v>
      </c>
      <c r="O173" t="s">
        <v>3734</v>
      </c>
      <c r="P173" t="s">
        <v>3735</v>
      </c>
      <c r="Q173" t="s">
        <v>3736</v>
      </c>
      <c r="R173" t="s">
        <v>74</v>
      </c>
      <c r="S173" t="s">
        <v>74</v>
      </c>
      <c r="T173" t="s">
        <v>3737</v>
      </c>
      <c r="U173" t="s">
        <v>3738</v>
      </c>
      <c r="V173" t="s">
        <v>3739</v>
      </c>
      <c r="W173" t="s">
        <v>3740</v>
      </c>
      <c r="X173" t="s">
        <v>3741</v>
      </c>
      <c r="Y173" t="s">
        <v>3742</v>
      </c>
      <c r="Z173" t="s">
        <v>3743</v>
      </c>
      <c r="AA173" t="s">
        <v>3744</v>
      </c>
      <c r="AB173" t="s">
        <v>74</v>
      </c>
      <c r="AC173" t="s">
        <v>3745</v>
      </c>
      <c r="AD173" t="s">
        <v>3746</v>
      </c>
      <c r="AE173" t="s">
        <v>3747</v>
      </c>
      <c r="AF173" t="s">
        <v>74</v>
      </c>
      <c r="AG173">
        <v>13</v>
      </c>
      <c r="AH173">
        <v>0</v>
      </c>
      <c r="AI173">
        <v>0</v>
      </c>
      <c r="AJ173">
        <v>1</v>
      </c>
      <c r="AK173">
        <v>3</v>
      </c>
      <c r="AL173" t="s">
        <v>3748</v>
      </c>
      <c r="AM173" t="s">
        <v>3749</v>
      </c>
      <c r="AN173" t="s">
        <v>3750</v>
      </c>
      <c r="AO173" t="s">
        <v>74</v>
      </c>
      <c r="AP173" t="s">
        <v>74</v>
      </c>
      <c r="AQ173" t="s">
        <v>3751</v>
      </c>
      <c r="AR173" t="s">
        <v>74</v>
      </c>
      <c r="AS173" t="s">
        <v>74</v>
      </c>
      <c r="AT173" t="s">
        <v>74</v>
      </c>
      <c r="AU173">
        <v>2015</v>
      </c>
      <c r="AV173" t="s">
        <v>74</v>
      </c>
      <c r="AW173" t="s">
        <v>74</v>
      </c>
      <c r="AX173" t="s">
        <v>74</v>
      </c>
      <c r="AY173" t="s">
        <v>74</v>
      </c>
      <c r="AZ173" t="s">
        <v>74</v>
      </c>
      <c r="BA173" t="s">
        <v>74</v>
      </c>
      <c r="BB173">
        <v>1226</v>
      </c>
      <c r="BC173">
        <v>1232</v>
      </c>
      <c r="BD173" t="s">
        <v>74</v>
      </c>
      <c r="BE173" t="s">
        <v>74</v>
      </c>
      <c r="BF173" t="s">
        <v>74</v>
      </c>
      <c r="BG173" t="s">
        <v>74</v>
      </c>
      <c r="BH173" t="s">
        <v>74</v>
      </c>
      <c r="BI173">
        <v>7</v>
      </c>
      <c r="BJ173" t="s">
        <v>3752</v>
      </c>
      <c r="BK173" t="s">
        <v>320</v>
      </c>
      <c r="BL173" t="s">
        <v>3753</v>
      </c>
      <c r="BM173" t="s">
        <v>3754</v>
      </c>
      <c r="BN173" t="s">
        <v>74</v>
      </c>
      <c r="BO173" t="s">
        <v>74</v>
      </c>
      <c r="BP173" t="s">
        <v>74</v>
      </c>
      <c r="BQ173" t="s">
        <v>74</v>
      </c>
      <c r="BR173" t="s">
        <v>93</v>
      </c>
      <c r="BS173" t="s">
        <v>3755</v>
      </c>
      <c r="BT173" t="str">
        <f>HYPERLINK("https%3A%2F%2Fwww.webofscience.com%2Fwos%2Fwoscc%2Ffull-record%2FWOS:000410535400175","View Full Record in Web of Science")</f>
        <v>View Full Record in Web of Science</v>
      </c>
    </row>
    <row r="174" spans="1:72" x14ac:dyDescent="0.15">
      <c r="A174" t="s">
        <v>1395</v>
      </c>
      <c r="B174" t="s">
        <v>3756</v>
      </c>
      <c r="C174" t="s">
        <v>74</v>
      </c>
      <c r="D174" t="s">
        <v>3757</v>
      </c>
      <c r="E174" t="s">
        <v>74</v>
      </c>
      <c r="F174" t="s">
        <v>3758</v>
      </c>
      <c r="G174" t="s">
        <v>74</v>
      </c>
      <c r="H174" t="s">
        <v>74</v>
      </c>
      <c r="I174" t="s">
        <v>3759</v>
      </c>
      <c r="J174" t="s">
        <v>3760</v>
      </c>
      <c r="K174" t="s">
        <v>3761</v>
      </c>
      <c r="L174" t="s">
        <v>74</v>
      </c>
      <c r="M174" t="s">
        <v>78</v>
      </c>
      <c r="N174" t="s">
        <v>3762</v>
      </c>
      <c r="O174" t="s">
        <v>74</v>
      </c>
      <c r="P174" t="s">
        <v>74</v>
      </c>
      <c r="Q174" t="s">
        <v>74</v>
      </c>
      <c r="R174" t="s">
        <v>74</v>
      </c>
      <c r="S174" t="s">
        <v>74</v>
      </c>
      <c r="T174" t="s">
        <v>74</v>
      </c>
      <c r="U174" t="s">
        <v>74</v>
      </c>
      <c r="V174" t="s">
        <v>74</v>
      </c>
      <c r="W174" t="s">
        <v>3763</v>
      </c>
      <c r="X174" t="s">
        <v>3764</v>
      </c>
      <c r="Y174" t="s">
        <v>3765</v>
      </c>
      <c r="Z174" t="s">
        <v>74</v>
      </c>
      <c r="AA174" t="s">
        <v>74</v>
      </c>
      <c r="AB174" t="s">
        <v>74</v>
      </c>
      <c r="AC174" t="s">
        <v>74</v>
      </c>
      <c r="AD174" t="s">
        <v>74</v>
      </c>
      <c r="AE174" t="s">
        <v>74</v>
      </c>
      <c r="AF174" t="s">
        <v>74</v>
      </c>
      <c r="AG174">
        <v>0</v>
      </c>
      <c r="AH174">
        <v>0</v>
      </c>
      <c r="AI174">
        <v>0</v>
      </c>
      <c r="AJ174">
        <v>0</v>
      </c>
      <c r="AK174">
        <v>0</v>
      </c>
      <c r="AL174" t="s">
        <v>1945</v>
      </c>
      <c r="AM174" t="s">
        <v>1946</v>
      </c>
      <c r="AN174" t="s">
        <v>1947</v>
      </c>
      <c r="AO174" t="s">
        <v>74</v>
      </c>
      <c r="AP174" t="s">
        <v>74</v>
      </c>
      <c r="AQ174" t="s">
        <v>3766</v>
      </c>
      <c r="AR174" t="s">
        <v>3767</v>
      </c>
      <c r="AS174" t="s">
        <v>74</v>
      </c>
      <c r="AT174" t="s">
        <v>74</v>
      </c>
      <c r="AU174">
        <v>2015</v>
      </c>
      <c r="AV174">
        <v>68</v>
      </c>
      <c r="AW174" t="s">
        <v>74</v>
      </c>
      <c r="AX174" t="s">
        <v>74</v>
      </c>
      <c r="AY174" t="s">
        <v>74</v>
      </c>
      <c r="AZ174" t="s">
        <v>74</v>
      </c>
      <c r="BA174" t="s">
        <v>74</v>
      </c>
      <c r="BB174" t="s">
        <v>3768</v>
      </c>
      <c r="BC174" t="s">
        <v>3769</v>
      </c>
      <c r="BD174" t="s">
        <v>74</v>
      </c>
      <c r="BE174" t="s">
        <v>74</v>
      </c>
      <c r="BF174" t="s">
        <v>74</v>
      </c>
      <c r="BG174" t="s">
        <v>74</v>
      </c>
      <c r="BH174" t="s">
        <v>74</v>
      </c>
      <c r="BI174">
        <v>2</v>
      </c>
      <c r="BJ174" t="s">
        <v>3770</v>
      </c>
      <c r="BK174" t="s">
        <v>936</v>
      </c>
      <c r="BL174" t="s">
        <v>3770</v>
      </c>
      <c r="BM174" t="s">
        <v>3771</v>
      </c>
      <c r="BN174" t="s">
        <v>74</v>
      </c>
      <c r="BO174" t="s">
        <v>74</v>
      </c>
      <c r="BP174" t="s">
        <v>74</v>
      </c>
      <c r="BQ174" t="s">
        <v>74</v>
      </c>
      <c r="BR174" t="s">
        <v>93</v>
      </c>
      <c r="BS174" t="s">
        <v>3772</v>
      </c>
      <c r="BT174" t="str">
        <f>HYPERLINK("https%3A%2F%2Fwww.webofscience.com%2Fwos%2Fwoscc%2Ffull-record%2FWOS:000362338600001","View Full Record in Web of Science")</f>
        <v>View Full Record in Web of Science</v>
      </c>
    </row>
    <row r="175" spans="1:72" x14ac:dyDescent="0.15">
      <c r="A175" t="s">
        <v>1395</v>
      </c>
      <c r="B175" t="s">
        <v>3773</v>
      </c>
      <c r="C175" t="s">
        <v>74</v>
      </c>
      <c r="D175" t="s">
        <v>3757</v>
      </c>
      <c r="E175" t="s">
        <v>74</v>
      </c>
      <c r="F175" t="s">
        <v>3774</v>
      </c>
      <c r="G175" t="s">
        <v>74</v>
      </c>
      <c r="H175" t="s">
        <v>74</v>
      </c>
      <c r="I175" t="s">
        <v>3775</v>
      </c>
      <c r="J175" t="s">
        <v>3760</v>
      </c>
      <c r="K175" t="s">
        <v>3761</v>
      </c>
      <c r="L175" t="s">
        <v>74</v>
      </c>
      <c r="M175" t="s">
        <v>78</v>
      </c>
      <c r="N175" t="s">
        <v>918</v>
      </c>
      <c r="O175" t="s">
        <v>74</v>
      </c>
      <c r="P175" t="s">
        <v>74</v>
      </c>
      <c r="Q175" t="s">
        <v>74</v>
      </c>
      <c r="R175" t="s">
        <v>74</v>
      </c>
      <c r="S175" t="s">
        <v>74</v>
      </c>
      <c r="T175" t="s">
        <v>74</v>
      </c>
      <c r="U175" t="s">
        <v>3776</v>
      </c>
      <c r="V175" t="s">
        <v>74</v>
      </c>
      <c r="W175" t="s">
        <v>3777</v>
      </c>
      <c r="X175" t="s">
        <v>3778</v>
      </c>
      <c r="Y175" t="s">
        <v>3779</v>
      </c>
      <c r="Z175" t="s">
        <v>74</v>
      </c>
      <c r="AA175" t="s">
        <v>74</v>
      </c>
      <c r="AB175" t="s">
        <v>74</v>
      </c>
      <c r="AC175" t="s">
        <v>74</v>
      </c>
      <c r="AD175" t="s">
        <v>74</v>
      </c>
      <c r="AE175" t="s">
        <v>74</v>
      </c>
      <c r="AF175" t="s">
        <v>74</v>
      </c>
      <c r="AG175">
        <v>107</v>
      </c>
      <c r="AH175">
        <v>0</v>
      </c>
      <c r="AI175">
        <v>0</v>
      </c>
      <c r="AJ175">
        <v>0</v>
      </c>
      <c r="AK175">
        <v>4</v>
      </c>
      <c r="AL175" t="s">
        <v>1945</v>
      </c>
      <c r="AM175" t="s">
        <v>1946</v>
      </c>
      <c r="AN175" t="s">
        <v>1947</v>
      </c>
      <c r="AO175" t="s">
        <v>74</v>
      </c>
      <c r="AP175" t="s">
        <v>74</v>
      </c>
      <c r="AQ175" t="s">
        <v>3766</v>
      </c>
      <c r="AR175" t="s">
        <v>3767</v>
      </c>
      <c r="AS175" t="s">
        <v>74</v>
      </c>
      <c r="AT175" t="s">
        <v>74</v>
      </c>
      <c r="AU175">
        <v>2015</v>
      </c>
      <c r="AV175">
        <v>68</v>
      </c>
      <c r="AW175" t="s">
        <v>74</v>
      </c>
      <c r="AX175" t="s">
        <v>74</v>
      </c>
      <c r="AY175" t="s">
        <v>74</v>
      </c>
      <c r="AZ175" t="s">
        <v>74</v>
      </c>
      <c r="BA175" t="s">
        <v>74</v>
      </c>
      <c r="BB175">
        <v>131</v>
      </c>
      <c r="BC175">
        <v>143</v>
      </c>
      <c r="BD175" t="s">
        <v>74</v>
      </c>
      <c r="BE175" t="s">
        <v>74</v>
      </c>
      <c r="BF175" t="s">
        <v>74</v>
      </c>
      <c r="BG175" t="s">
        <v>74</v>
      </c>
      <c r="BH175" t="s">
        <v>74</v>
      </c>
      <c r="BI175">
        <v>13</v>
      </c>
      <c r="BJ175" t="s">
        <v>3770</v>
      </c>
      <c r="BK175" t="s">
        <v>936</v>
      </c>
      <c r="BL175" t="s">
        <v>3770</v>
      </c>
      <c r="BM175" t="s">
        <v>3771</v>
      </c>
      <c r="BN175" t="s">
        <v>74</v>
      </c>
      <c r="BO175" t="s">
        <v>74</v>
      </c>
      <c r="BP175" t="s">
        <v>74</v>
      </c>
      <c r="BQ175" t="s">
        <v>74</v>
      </c>
      <c r="BR175" t="s">
        <v>93</v>
      </c>
      <c r="BS175" t="s">
        <v>3780</v>
      </c>
      <c r="BT175" t="str">
        <f>HYPERLINK("https%3A%2F%2Fwww.webofscience.com%2Fwos%2Fwoscc%2Ffull-record%2FWOS:000362338600008","View Full Record in Web of Science")</f>
        <v>View Full Record in Web of Science</v>
      </c>
    </row>
    <row r="176" spans="1:72" x14ac:dyDescent="0.15">
      <c r="A176" t="s">
        <v>295</v>
      </c>
      <c r="B176" t="s">
        <v>3781</v>
      </c>
      <c r="C176" t="s">
        <v>74</v>
      </c>
      <c r="D176" t="s">
        <v>3782</v>
      </c>
      <c r="E176" t="s">
        <v>74</v>
      </c>
      <c r="F176" t="s">
        <v>3783</v>
      </c>
      <c r="G176" t="s">
        <v>74</v>
      </c>
      <c r="H176" t="s">
        <v>74</v>
      </c>
      <c r="I176" t="s">
        <v>3784</v>
      </c>
      <c r="J176" t="s">
        <v>3785</v>
      </c>
      <c r="K176" t="s">
        <v>3786</v>
      </c>
      <c r="L176" t="s">
        <v>74</v>
      </c>
      <c r="M176" t="s">
        <v>78</v>
      </c>
      <c r="N176" t="s">
        <v>301</v>
      </c>
      <c r="O176" t="s">
        <v>3787</v>
      </c>
      <c r="P176" t="s">
        <v>3788</v>
      </c>
      <c r="Q176" t="s">
        <v>3789</v>
      </c>
      <c r="R176" t="s">
        <v>74</v>
      </c>
      <c r="S176" t="s">
        <v>74</v>
      </c>
      <c r="T176" t="s">
        <v>3790</v>
      </c>
      <c r="U176" t="s">
        <v>74</v>
      </c>
      <c r="V176" t="s">
        <v>3791</v>
      </c>
      <c r="W176" t="s">
        <v>3792</v>
      </c>
      <c r="X176" t="s">
        <v>3793</v>
      </c>
      <c r="Y176" t="s">
        <v>3794</v>
      </c>
      <c r="Z176" t="s">
        <v>3795</v>
      </c>
      <c r="AA176" t="s">
        <v>3796</v>
      </c>
      <c r="AB176" t="s">
        <v>3797</v>
      </c>
      <c r="AC176" t="s">
        <v>74</v>
      </c>
      <c r="AD176" t="s">
        <v>74</v>
      </c>
      <c r="AE176" t="s">
        <v>74</v>
      </c>
      <c r="AF176" t="s">
        <v>74</v>
      </c>
      <c r="AG176">
        <v>9</v>
      </c>
      <c r="AH176">
        <v>1</v>
      </c>
      <c r="AI176">
        <v>1</v>
      </c>
      <c r="AJ176">
        <v>0</v>
      </c>
      <c r="AK176">
        <v>2</v>
      </c>
      <c r="AL176" t="s">
        <v>244</v>
      </c>
      <c r="AM176" t="s">
        <v>245</v>
      </c>
      <c r="AN176" t="s">
        <v>3798</v>
      </c>
      <c r="AO176" t="s">
        <v>3799</v>
      </c>
      <c r="AP176" t="s">
        <v>74</v>
      </c>
      <c r="AQ176" t="s">
        <v>74</v>
      </c>
      <c r="AR176" t="s">
        <v>3800</v>
      </c>
      <c r="AS176" t="s">
        <v>74</v>
      </c>
      <c r="AT176" t="s">
        <v>74</v>
      </c>
      <c r="AU176">
        <v>2015</v>
      </c>
      <c r="AV176">
        <v>47</v>
      </c>
      <c r="AW176" t="s">
        <v>3801</v>
      </c>
      <c r="AX176" t="s">
        <v>74</v>
      </c>
      <c r="AY176" t="s">
        <v>74</v>
      </c>
      <c r="AZ176" t="s">
        <v>74</v>
      </c>
      <c r="BA176" t="s">
        <v>74</v>
      </c>
      <c r="BB176">
        <v>1035</v>
      </c>
      <c r="BC176">
        <v>1039</v>
      </c>
      <c r="BD176" t="s">
        <v>74</v>
      </c>
      <c r="BE176" t="s">
        <v>3802</v>
      </c>
      <c r="BF176" t="str">
        <f>HYPERLINK("http://dx.doi.org/10.5194/isprsarchives-XL-7-W3-1035-2015","http://dx.doi.org/10.5194/isprsarchives-XL-7-W3-1035-2015")</f>
        <v>http://dx.doi.org/10.5194/isprsarchives-XL-7-W3-1035-2015</v>
      </c>
      <c r="BG176" t="s">
        <v>74</v>
      </c>
      <c r="BH176" t="s">
        <v>74</v>
      </c>
      <c r="BI176">
        <v>5</v>
      </c>
      <c r="BJ176" t="s">
        <v>3803</v>
      </c>
      <c r="BK176" t="s">
        <v>320</v>
      </c>
      <c r="BL176" t="s">
        <v>3804</v>
      </c>
      <c r="BM176" t="s">
        <v>3805</v>
      </c>
      <c r="BN176" t="s">
        <v>74</v>
      </c>
      <c r="BO176" t="s">
        <v>720</v>
      </c>
      <c r="BP176" t="s">
        <v>74</v>
      </c>
      <c r="BQ176" t="s">
        <v>74</v>
      </c>
      <c r="BR176" t="s">
        <v>93</v>
      </c>
      <c r="BS176" t="s">
        <v>3806</v>
      </c>
      <c r="BT176" t="str">
        <f>HYPERLINK("https%3A%2F%2Fwww.webofscience.com%2Fwos%2Fwoscc%2Ffull-record%2FWOS:000380531900154","View Full Record in Web of Science")</f>
        <v>View Full Record in Web of Science</v>
      </c>
    </row>
    <row r="177" spans="1:72" x14ac:dyDescent="0.15">
      <c r="A177" t="s">
        <v>72</v>
      </c>
      <c r="B177" t="s">
        <v>3807</v>
      </c>
      <c r="C177" t="s">
        <v>74</v>
      </c>
      <c r="D177" t="s">
        <v>74</v>
      </c>
      <c r="E177" t="s">
        <v>74</v>
      </c>
      <c r="F177" t="s">
        <v>3808</v>
      </c>
      <c r="G177" t="s">
        <v>74</v>
      </c>
      <c r="H177" t="s">
        <v>74</v>
      </c>
      <c r="I177" t="s">
        <v>3809</v>
      </c>
      <c r="J177" t="s">
        <v>3810</v>
      </c>
      <c r="K177" t="s">
        <v>74</v>
      </c>
      <c r="L177" t="s">
        <v>74</v>
      </c>
      <c r="M177" t="s">
        <v>3714</v>
      </c>
      <c r="N177" t="s">
        <v>99</v>
      </c>
      <c r="O177" t="s">
        <v>74</v>
      </c>
      <c r="P177" t="s">
        <v>74</v>
      </c>
      <c r="Q177" t="s">
        <v>74</v>
      </c>
      <c r="R177" t="s">
        <v>74</v>
      </c>
      <c r="S177" t="s">
        <v>74</v>
      </c>
      <c r="T177" t="s">
        <v>3811</v>
      </c>
      <c r="U177" t="s">
        <v>74</v>
      </c>
      <c r="V177" t="s">
        <v>3812</v>
      </c>
      <c r="W177" t="s">
        <v>3813</v>
      </c>
      <c r="X177" t="s">
        <v>3814</v>
      </c>
      <c r="Y177" t="s">
        <v>3815</v>
      </c>
      <c r="Z177" t="s">
        <v>3816</v>
      </c>
      <c r="AA177" t="s">
        <v>74</v>
      </c>
      <c r="AB177" t="s">
        <v>74</v>
      </c>
      <c r="AC177" t="s">
        <v>74</v>
      </c>
      <c r="AD177" t="s">
        <v>74</v>
      </c>
      <c r="AE177" t="s">
        <v>74</v>
      </c>
      <c r="AF177" t="s">
        <v>74</v>
      </c>
      <c r="AG177">
        <v>64</v>
      </c>
      <c r="AH177">
        <v>3</v>
      </c>
      <c r="AI177">
        <v>3</v>
      </c>
      <c r="AJ177">
        <v>0</v>
      </c>
      <c r="AK177">
        <v>12</v>
      </c>
      <c r="AL177" t="s">
        <v>3817</v>
      </c>
      <c r="AM177" t="s">
        <v>3818</v>
      </c>
      <c r="AN177" t="s">
        <v>3819</v>
      </c>
      <c r="AO177" t="s">
        <v>3820</v>
      </c>
      <c r="AP177" t="s">
        <v>3821</v>
      </c>
      <c r="AQ177" t="s">
        <v>74</v>
      </c>
      <c r="AR177" t="s">
        <v>3822</v>
      </c>
      <c r="AS177" t="s">
        <v>3823</v>
      </c>
      <c r="AT177" t="s">
        <v>74</v>
      </c>
      <c r="AU177">
        <v>2015</v>
      </c>
      <c r="AV177">
        <v>35</v>
      </c>
      <c r="AW177">
        <v>1</v>
      </c>
      <c r="AX177" t="s">
        <v>74</v>
      </c>
      <c r="AY177" t="s">
        <v>74</v>
      </c>
      <c r="AZ177" t="s">
        <v>74</v>
      </c>
      <c r="BA177" t="s">
        <v>74</v>
      </c>
      <c r="BB177">
        <v>139</v>
      </c>
      <c r="BC177">
        <v>168</v>
      </c>
      <c r="BD177" t="s">
        <v>74</v>
      </c>
      <c r="BE177" t="s">
        <v>3824</v>
      </c>
      <c r="BF177" t="str">
        <f>HYPERLINK("http://dx.doi.org/10.5209/rev_AGUC.2015.v35.n1.48967","http://dx.doi.org/10.5209/rev_AGUC.2015.v35.n1.48967")</f>
        <v>http://dx.doi.org/10.5209/rev_AGUC.2015.v35.n1.48967</v>
      </c>
      <c r="BG177" t="s">
        <v>74</v>
      </c>
      <c r="BH177" t="s">
        <v>74</v>
      </c>
      <c r="BI177">
        <v>30</v>
      </c>
      <c r="BJ177" t="s">
        <v>3825</v>
      </c>
      <c r="BK177" t="s">
        <v>202</v>
      </c>
      <c r="BL177" t="s">
        <v>3825</v>
      </c>
      <c r="BM177" t="s">
        <v>3826</v>
      </c>
      <c r="BN177" t="s">
        <v>74</v>
      </c>
      <c r="BO177" t="s">
        <v>255</v>
      </c>
      <c r="BP177" t="s">
        <v>74</v>
      </c>
      <c r="BQ177" t="s">
        <v>74</v>
      </c>
      <c r="BR177" t="s">
        <v>93</v>
      </c>
      <c r="BS177" t="s">
        <v>3827</v>
      </c>
      <c r="BT177" t="str">
        <f>HYPERLINK("https%3A%2F%2Fwww.webofscience.com%2Fwos%2Fwoscc%2Ffull-record%2FWOS:000215057000007","View Full Record in Web of Science")</f>
        <v>View Full Record in Web of Science</v>
      </c>
    </row>
    <row r="178" spans="1:72" x14ac:dyDescent="0.15">
      <c r="A178" t="s">
        <v>72</v>
      </c>
      <c r="B178" t="s">
        <v>123</v>
      </c>
      <c r="C178" t="s">
        <v>74</v>
      </c>
      <c r="D178" t="s">
        <v>74</v>
      </c>
      <c r="E178" t="s">
        <v>74</v>
      </c>
      <c r="F178" t="s">
        <v>124</v>
      </c>
      <c r="G178" t="s">
        <v>74</v>
      </c>
      <c r="H178" t="s">
        <v>74</v>
      </c>
      <c r="I178" t="s">
        <v>3828</v>
      </c>
      <c r="J178" t="s">
        <v>98</v>
      </c>
      <c r="K178" t="s">
        <v>74</v>
      </c>
      <c r="L178" t="s">
        <v>74</v>
      </c>
      <c r="M178" t="s">
        <v>78</v>
      </c>
      <c r="N178" t="s">
        <v>99</v>
      </c>
      <c r="O178" t="s">
        <v>74</v>
      </c>
      <c r="P178" t="s">
        <v>74</v>
      </c>
      <c r="Q178" t="s">
        <v>74</v>
      </c>
      <c r="R178" t="s">
        <v>74</v>
      </c>
      <c r="S178" t="s">
        <v>74</v>
      </c>
      <c r="T178" t="s">
        <v>74</v>
      </c>
      <c r="U178" t="s">
        <v>3829</v>
      </c>
      <c r="V178" t="s">
        <v>3830</v>
      </c>
      <c r="W178" t="s">
        <v>127</v>
      </c>
      <c r="X178" t="s">
        <v>128</v>
      </c>
      <c r="Y178" t="s">
        <v>129</v>
      </c>
      <c r="Z178" t="s">
        <v>130</v>
      </c>
      <c r="AA178" t="s">
        <v>3831</v>
      </c>
      <c r="AB178" t="s">
        <v>3832</v>
      </c>
      <c r="AC178" t="s">
        <v>3833</v>
      </c>
      <c r="AD178" t="s">
        <v>3833</v>
      </c>
      <c r="AE178" t="s">
        <v>3834</v>
      </c>
      <c r="AF178" t="s">
        <v>74</v>
      </c>
      <c r="AG178">
        <v>38</v>
      </c>
      <c r="AH178">
        <v>10</v>
      </c>
      <c r="AI178">
        <v>10</v>
      </c>
      <c r="AJ178">
        <v>0</v>
      </c>
      <c r="AK178">
        <v>20</v>
      </c>
      <c r="AL178" t="s">
        <v>111</v>
      </c>
      <c r="AM178" t="s">
        <v>112</v>
      </c>
      <c r="AN178" t="s">
        <v>113</v>
      </c>
      <c r="AO178" t="s">
        <v>114</v>
      </c>
      <c r="AP178" t="s">
        <v>115</v>
      </c>
      <c r="AQ178" t="s">
        <v>74</v>
      </c>
      <c r="AR178" t="s">
        <v>116</v>
      </c>
      <c r="AS178" t="s">
        <v>117</v>
      </c>
      <c r="AT178" t="s">
        <v>74</v>
      </c>
      <c r="AU178">
        <v>2015</v>
      </c>
      <c r="AV178">
        <v>7</v>
      </c>
      <c r="AW178">
        <v>13</v>
      </c>
      <c r="AX178" t="s">
        <v>74</v>
      </c>
      <c r="AY178" t="s">
        <v>74</v>
      </c>
      <c r="AZ178" t="s">
        <v>74</v>
      </c>
      <c r="BA178" t="s">
        <v>74</v>
      </c>
      <c r="BB178">
        <v>5490</v>
      </c>
      <c r="BC178">
        <v>5496</v>
      </c>
      <c r="BD178" t="s">
        <v>74</v>
      </c>
      <c r="BE178" t="s">
        <v>3835</v>
      </c>
      <c r="BF178" t="str">
        <f>HYPERLINK("http://dx.doi.org/10.1039/c5ay00730e","http://dx.doi.org/10.1039/c5ay00730e")</f>
        <v>http://dx.doi.org/10.1039/c5ay00730e</v>
      </c>
      <c r="BG178" t="s">
        <v>74</v>
      </c>
      <c r="BH178" t="s">
        <v>74</v>
      </c>
      <c r="BI178">
        <v>7</v>
      </c>
      <c r="BJ178" t="s">
        <v>119</v>
      </c>
      <c r="BK178" t="s">
        <v>91</v>
      </c>
      <c r="BL178" t="s">
        <v>120</v>
      </c>
      <c r="BM178" t="s">
        <v>3836</v>
      </c>
      <c r="BN178" t="s">
        <v>74</v>
      </c>
      <c r="BO178" t="s">
        <v>574</v>
      </c>
      <c r="BP178" t="s">
        <v>74</v>
      </c>
      <c r="BQ178" t="s">
        <v>74</v>
      </c>
      <c r="BR178" t="s">
        <v>93</v>
      </c>
      <c r="BS178" t="s">
        <v>3837</v>
      </c>
      <c r="BT178" t="str">
        <f>HYPERLINK("https%3A%2F%2Fwww.webofscience.com%2Fwos%2Fwoscc%2Ffull-record%2FWOS:000356959000019","View Full Record in Web of Science")</f>
        <v>View Full Record in Web of Science</v>
      </c>
    </row>
    <row r="179" spans="1:72" x14ac:dyDescent="0.15">
      <c r="A179" t="s">
        <v>72</v>
      </c>
      <c r="B179" t="s">
        <v>3838</v>
      </c>
      <c r="C179" t="s">
        <v>74</v>
      </c>
      <c r="D179" t="s">
        <v>74</v>
      </c>
      <c r="E179" t="s">
        <v>74</v>
      </c>
      <c r="F179" t="s">
        <v>3839</v>
      </c>
      <c r="G179" t="s">
        <v>74</v>
      </c>
      <c r="H179" t="s">
        <v>74</v>
      </c>
      <c r="I179" t="s">
        <v>3840</v>
      </c>
      <c r="J179" t="s">
        <v>3841</v>
      </c>
      <c r="K179" t="s">
        <v>74</v>
      </c>
      <c r="L179" t="s">
        <v>74</v>
      </c>
      <c r="M179" t="s">
        <v>78</v>
      </c>
      <c r="N179" t="s">
        <v>99</v>
      </c>
      <c r="O179" t="s">
        <v>74</v>
      </c>
      <c r="P179" t="s">
        <v>74</v>
      </c>
      <c r="Q179" t="s">
        <v>74</v>
      </c>
      <c r="R179" t="s">
        <v>74</v>
      </c>
      <c r="S179" t="s">
        <v>74</v>
      </c>
      <c r="T179" t="s">
        <v>3842</v>
      </c>
      <c r="U179" t="s">
        <v>3843</v>
      </c>
      <c r="V179" t="s">
        <v>3844</v>
      </c>
      <c r="W179" t="s">
        <v>3845</v>
      </c>
      <c r="X179" t="s">
        <v>3846</v>
      </c>
      <c r="Y179" t="s">
        <v>3847</v>
      </c>
      <c r="Z179" t="s">
        <v>3848</v>
      </c>
      <c r="AA179" t="s">
        <v>3849</v>
      </c>
      <c r="AB179" t="s">
        <v>3850</v>
      </c>
      <c r="AC179" t="s">
        <v>3851</v>
      </c>
      <c r="AD179" t="s">
        <v>3852</v>
      </c>
      <c r="AE179" t="s">
        <v>3853</v>
      </c>
      <c r="AF179" t="s">
        <v>74</v>
      </c>
      <c r="AG179">
        <v>60</v>
      </c>
      <c r="AH179">
        <v>4</v>
      </c>
      <c r="AI179">
        <v>5</v>
      </c>
      <c r="AJ179">
        <v>0</v>
      </c>
      <c r="AK179">
        <v>3</v>
      </c>
      <c r="AL179" t="s">
        <v>3854</v>
      </c>
      <c r="AM179" t="s">
        <v>3855</v>
      </c>
      <c r="AN179" t="s">
        <v>3856</v>
      </c>
      <c r="AO179" t="s">
        <v>3857</v>
      </c>
      <c r="AP179" t="s">
        <v>3858</v>
      </c>
      <c r="AQ179" t="s">
        <v>74</v>
      </c>
      <c r="AR179" t="s">
        <v>3859</v>
      </c>
      <c r="AS179" t="s">
        <v>3860</v>
      </c>
      <c r="AT179" t="s">
        <v>74</v>
      </c>
      <c r="AU179">
        <v>2015</v>
      </c>
      <c r="AV179">
        <v>51</v>
      </c>
      <c r="AW179">
        <v>4</v>
      </c>
      <c r="AX179" t="s">
        <v>74</v>
      </c>
      <c r="AY179" t="s">
        <v>74</v>
      </c>
      <c r="AZ179" t="s">
        <v>74</v>
      </c>
      <c r="BA179" t="s">
        <v>74</v>
      </c>
      <c r="BB179">
        <v>297</v>
      </c>
      <c r="BC179">
        <v>313</v>
      </c>
      <c r="BD179" t="s">
        <v>74</v>
      </c>
      <c r="BE179" t="s">
        <v>3861</v>
      </c>
      <c r="BF179" t="str">
        <f>HYPERLINK("http://dx.doi.org/10.1051/limn/2015028","http://dx.doi.org/10.1051/limn/2015028")</f>
        <v>http://dx.doi.org/10.1051/limn/2015028</v>
      </c>
      <c r="BG179" t="s">
        <v>74</v>
      </c>
      <c r="BH179" t="s">
        <v>74</v>
      </c>
      <c r="BI179">
        <v>17</v>
      </c>
      <c r="BJ179" t="s">
        <v>3862</v>
      </c>
      <c r="BK179" t="s">
        <v>91</v>
      </c>
      <c r="BL179" t="s">
        <v>1227</v>
      </c>
      <c r="BM179" t="s">
        <v>3863</v>
      </c>
      <c r="BN179" t="s">
        <v>74</v>
      </c>
      <c r="BO179" t="s">
        <v>991</v>
      </c>
      <c r="BP179" t="s">
        <v>74</v>
      </c>
      <c r="BQ179" t="s">
        <v>74</v>
      </c>
      <c r="BR179" t="s">
        <v>93</v>
      </c>
      <c r="BS179" t="s">
        <v>3864</v>
      </c>
      <c r="BT179" t="str">
        <f>HYPERLINK("https%3A%2F%2Fwww.webofscience.com%2Fwos%2Fwoscc%2Ffull-record%2FWOS:000369034200002","View Full Record in Web of Science")</f>
        <v>View Full Record in Web of Science</v>
      </c>
    </row>
    <row r="180" spans="1:72" x14ac:dyDescent="0.15">
      <c r="A180" t="s">
        <v>72</v>
      </c>
      <c r="B180" t="s">
        <v>3865</v>
      </c>
      <c r="C180" t="s">
        <v>74</v>
      </c>
      <c r="D180" t="s">
        <v>74</v>
      </c>
      <c r="E180" t="s">
        <v>74</v>
      </c>
      <c r="F180" t="s">
        <v>3866</v>
      </c>
      <c r="G180" t="s">
        <v>74</v>
      </c>
      <c r="H180" t="s">
        <v>74</v>
      </c>
      <c r="I180" t="s">
        <v>3867</v>
      </c>
      <c r="J180" t="s">
        <v>233</v>
      </c>
      <c r="K180" t="s">
        <v>74</v>
      </c>
      <c r="L180" t="s">
        <v>74</v>
      </c>
      <c r="M180" t="s">
        <v>78</v>
      </c>
      <c r="N180" t="s">
        <v>99</v>
      </c>
      <c r="O180" t="s">
        <v>74</v>
      </c>
      <c r="P180" t="s">
        <v>74</v>
      </c>
      <c r="Q180" t="s">
        <v>74</v>
      </c>
      <c r="R180" t="s">
        <v>74</v>
      </c>
      <c r="S180" t="s">
        <v>74</v>
      </c>
      <c r="T180" t="s">
        <v>3868</v>
      </c>
      <c r="U180" t="s">
        <v>3869</v>
      </c>
      <c r="V180" t="s">
        <v>3870</v>
      </c>
      <c r="W180" t="s">
        <v>3871</v>
      </c>
      <c r="X180" t="s">
        <v>3872</v>
      </c>
      <c r="Y180" t="s">
        <v>3873</v>
      </c>
      <c r="Z180" t="s">
        <v>3874</v>
      </c>
      <c r="AA180" t="s">
        <v>74</v>
      </c>
      <c r="AB180" t="s">
        <v>3875</v>
      </c>
      <c r="AC180" t="s">
        <v>3876</v>
      </c>
      <c r="AD180" t="s">
        <v>3877</v>
      </c>
      <c r="AE180" t="s">
        <v>3878</v>
      </c>
      <c r="AF180" t="s">
        <v>74</v>
      </c>
      <c r="AG180">
        <v>40</v>
      </c>
      <c r="AH180">
        <v>9</v>
      </c>
      <c r="AI180">
        <v>10</v>
      </c>
      <c r="AJ180">
        <v>0</v>
      </c>
      <c r="AK180">
        <v>7</v>
      </c>
      <c r="AL180" t="s">
        <v>244</v>
      </c>
      <c r="AM180" t="s">
        <v>245</v>
      </c>
      <c r="AN180" t="s">
        <v>246</v>
      </c>
      <c r="AO180" t="s">
        <v>247</v>
      </c>
      <c r="AP180" t="s">
        <v>248</v>
      </c>
      <c r="AQ180" t="s">
        <v>74</v>
      </c>
      <c r="AR180" t="s">
        <v>249</v>
      </c>
      <c r="AS180" t="s">
        <v>250</v>
      </c>
      <c r="AT180" t="s">
        <v>74</v>
      </c>
      <c r="AU180">
        <v>2015</v>
      </c>
      <c r="AV180">
        <v>33</v>
      </c>
      <c r="AW180">
        <v>6</v>
      </c>
      <c r="AX180" t="s">
        <v>74</v>
      </c>
      <c r="AY180" t="s">
        <v>74</v>
      </c>
      <c r="AZ180" t="s">
        <v>74</v>
      </c>
      <c r="BA180" t="s">
        <v>74</v>
      </c>
      <c r="BB180">
        <v>609</v>
      </c>
      <c r="BC180">
        <v>622</v>
      </c>
      <c r="BD180" t="s">
        <v>74</v>
      </c>
      <c r="BE180" t="s">
        <v>3879</v>
      </c>
      <c r="BF180" t="str">
        <f>HYPERLINK("http://dx.doi.org/10.5194/angeo-33-609-2015","http://dx.doi.org/10.5194/angeo-33-609-2015")</f>
        <v>http://dx.doi.org/10.5194/angeo-33-609-2015</v>
      </c>
      <c r="BG180" t="s">
        <v>74</v>
      </c>
      <c r="BH180" t="s">
        <v>74</v>
      </c>
      <c r="BI180">
        <v>14</v>
      </c>
      <c r="BJ180" t="s">
        <v>252</v>
      </c>
      <c r="BK180" t="s">
        <v>91</v>
      </c>
      <c r="BL180" t="s">
        <v>253</v>
      </c>
      <c r="BM180" t="s">
        <v>3880</v>
      </c>
      <c r="BN180" t="s">
        <v>74</v>
      </c>
      <c r="BO180" t="s">
        <v>255</v>
      </c>
      <c r="BP180" t="s">
        <v>74</v>
      </c>
      <c r="BQ180" t="s">
        <v>74</v>
      </c>
      <c r="BR180" t="s">
        <v>93</v>
      </c>
      <c r="BS180" t="s">
        <v>3881</v>
      </c>
      <c r="BT180" t="str">
        <f>HYPERLINK("https%3A%2F%2Fwww.webofscience.com%2Fwos%2Fwoscc%2Ffull-record%2FWOS:000357118400001","View Full Record in Web of Science")</f>
        <v>View Full Record in Web of Science</v>
      </c>
    </row>
    <row r="181" spans="1:72" x14ac:dyDescent="0.15">
      <c r="A181" t="s">
        <v>72</v>
      </c>
      <c r="B181" t="s">
        <v>3882</v>
      </c>
      <c r="C181" t="s">
        <v>74</v>
      </c>
      <c r="D181" t="s">
        <v>74</v>
      </c>
      <c r="E181" t="s">
        <v>74</v>
      </c>
      <c r="F181" t="s">
        <v>3883</v>
      </c>
      <c r="G181" t="s">
        <v>74</v>
      </c>
      <c r="H181" t="s">
        <v>74</v>
      </c>
      <c r="I181" t="s">
        <v>3884</v>
      </c>
      <c r="J181" t="s">
        <v>233</v>
      </c>
      <c r="K181" t="s">
        <v>74</v>
      </c>
      <c r="L181" t="s">
        <v>74</v>
      </c>
      <c r="M181" t="s">
        <v>78</v>
      </c>
      <c r="N181" t="s">
        <v>99</v>
      </c>
      <c r="O181" t="s">
        <v>74</v>
      </c>
      <c r="P181" t="s">
        <v>74</v>
      </c>
      <c r="Q181" t="s">
        <v>74</v>
      </c>
      <c r="R181" t="s">
        <v>74</v>
      </c>
      <c r="S181" t="s">
        <v>74</v>
      </c>
      <c r="T181" t="s">
        <v>3885</v>
      </c>
      <c r="U181" t="s">
        <v>3886</v>
      </c>
      <c r="V181" t="s">
        <v>3887</v>
      </c>
      <c r="W181" t="s">
        <v>3888</v>
      </c>
      <c r="X181" t="s">
        <v>3889</v>
      </c>
      <c r="Y181" t="s">
        <v>3890</v>
      </c>
      <c r="Z181" t="s">
        <v>3891</v>
      </c>
      <c r="AA181" t="s">
        <v>3892</v>
      </c>
      <c r="AB181" t="s">
        <v>3893</v>
      </c>
      <c r="AC181" t="s">
        <v>3894</v>
      </c>
      <c r="AD181" t="s">
        <v>3895</v>
      </c>
      <c r="AE181" t="s">
        <v>3896</v>
      </c>
      <c r="AF181" t="s">
        <v>74</v>
      </c>
      <c r="AG181">
        <v>63</v>
      </c>
      <c r="AH181">
        <v>12</v>
      </c>
      <c r="AI181">
        <v>12</v>
      </c>
      <c r="AJ181">
        <v>2</v>
      </c>
      <c r="AK181">
        <v>19</v>
      </c>
      <c r="AL181" t="s">
        <v>244</v>
      </c>
      <c r="AM181" t="s">
        <v>245</v>
      </c>
      <c r="AN181" t="s">
        <v>246</v>
      </c>
      <c r="AO181" t="s">
        <v>247</v>
      </c>
      <c r="AP181" t="s">
        <v>248</v>
      </c>
      <c r="AQ181" t="s">
        <v>74</v>
      </c>
      <c r="AR181" t="s">
        <v>249</v>
      </c>
      <c r="AS181" t="s">
        <v>250</v>
      </c>
      <c r="AT181" t="s">
        <v>74</v>
      </c>
      <c r="AU181">
        <v>2015</v>
      </c>
      <c r="AV181">
        <v>33</v>
      </c>
      <c r="AW181">
        <v>6</v>
      </c>
      <c r="AX181" t="s">
        <v>74</v>
      </c>
      <c r="AY181" t="s">
        <v>74</v>
      </c>
      <c r="AZ181" t="s">
        <v>74</v>
      </c>
      <c r="BA181" t="s">
        <v>74</v>
      </c>
      <c r="BB181">
        <v>657</v>
      </c>
      <c r="BC181">
        <v>670</v>
      </c>
      <c r="BD181" t="s">
        <v>74</v>
      </c>
      <c r="BE181" t="s">
        <v>3897</v>
      </c>
      <c r="BF181" t="str">
        <f>HYPERLINK("http://dx.doi.org/10.5194/angeo-33-657-2015","http://dx.doi.org/10.5194/angeo-33-657-2015")</f>
        <v>http://dx.doi.org/10.5194/angeo-33-657-2015</v>
      </c>
      <c r="BG181" t="s">
        <v>74</v>
      </c>
      <c r="BH181" t="s">
        <v>74</v>
      </c>
      <c r="BI181">
        <v>14</v>
      </c>
      <c r="BJ181" t="s">
        <v>252</v>
      </c>
      <c r="BK181" t="s">
        <v>91</v>
      </c>
      <c r="BL181" t="s">
        <v>253</v>
      </c>
      <c r="BM181" t="s">
        <v>3880</v>
      </c>
      <c r="BN181" t="s">
        <v>74</v>
      </c>
      <c r="BO181" t="s">
        <v>1557</v>
      </c>
      <c r="BP181" t="s">
        <v>74</v>
      </c>
      <c r="BQ181" t="s">
        <v>74</v>
      </c>
      <c r="BR181" t="s">
        <v>93</v>
      </c>
      <c r="BS181" t="s">
        <v>3898</v>
      </c>
      <c r="BT181" t="str">
        <f>HYPERLINK("https%3A%2F%2Fwww.webofscience.com%2Fwos%2Fwoscc%2Ffull-record%2FWOS:000357118400004","View Full Record in Web of Science")</f>
        <v>View Full Record in Web of Science</v>
      </c>
    </row>
    <row r="182" spans="1:72" x14ac:dyDescent="0.15">
      <c r="A182" t="s">
        <v>72</v>
      </c>
      <c r="B182" t="s">
        <v>3899</v>
      </c>
      <c r="C182" t="s">
        <v>74</v>
      </c>
      <c r="D182" t="s">
        <v>74</v>
      </c>
      <c r="E182" t="s">
        <v>74</v>
      </c>
      <c r="F182" t="s">
        <v>3900</v>
      </c>
      <c r="G182" t="s">
        <v>74</v>
      </c>
      <c r="H182" t="s">
        <v>74</v>
      </c>
      <c r="I182" t="s">
        <v>3901</v>
      </c>
      <c r="J182" t="s">
        <v>3902</v>
      </c>
      <c r="K182" t="s">
        <v>74</v>
      </c>
      <c r="L182" t="s">
        <v>74</v>
      </c>
      <c r="M182" t="s">
        <v>78</v>
      </c>
      <c r="N182" t="s">
        <v>99</v>
      </c>
      <c r="O182" t="s">
        <v>74</v>
      </c>
      <c r="P182" t="s">
        <v>74</v>
      </c>
      <c r="Q182" t="s">
        <v>74</v>
      </c>
      <c r="R182" t="s">
        <v>74</v>
      </c>
      <c r="S182" t="s">
        <v>74</v>
      </c>
      <c r="T182" t="s">
        <v>3903</v>
      </c>
      <c r="U182" t="s">
        <v>3904</v>
      </c>
      <c r="V182" t="s">
        <v>3905</v>
      </c>
      <c r="W182" t="s">
        <v>3906</v>
      </c>
      <c r="X182" t="s">
        <v>3907</v>
      </c>
      <c r="Y182" t="s">
        <v>3908</v>
      </c>
      <c r="Z182" t="s">
        <v>3909</v>
      </c>
      <c r="AA182" t="s">
        <v>3910</v>
      </c>
      <c r="AB182" t="s">
        <v>3911</v>
      </c>
      <c r="AC182" t="s">
        <v>3912</v>
      </c>
      <c r="AD182" t="s">
        <v>3913</v>
      </c>
      <c r="AE182" t="s">
        <v>3914</v>
      </c>
      <c r="AF182" t="s">
        <v>74</v>
      </c>
      <c r="AG182">
        <v>25</v>
      </c>
      <c r="AH182">
        <v>7</v>
      </c>
      <c r="AI182">
        <v>7</v>
      </c>
      <c r="AJ182">
        <v>0</v>
      </c>
      <c r="AK182">
        <v>9</v>
      </c>
      <c r="AL182" t="s">
        <v>954</v>
      </c>
      <c r="AM182" t="s">
        <v>112</v>
      </c>
      <c r="AN182" t="s">
        <v>955</v>
      </c>
      <c r="AO182" t="s">
        <v>3915</v>
      </c>
      <c r="AP182" t="s">
        <v>3916</v>
      </c>
      <c r="AQ182" t="s">
        <v>74</v>
      </c>
      <c r="AR182" t="s">
        <v>3917</v>
      </c>
      <c r="AS182" t="s">
        <v>3918</v>
      </c>
      <c r="AT182" t="s">
        <v>74</v>
      </c>
      <c r="AU182">
        <v>2015</v>
      </c>
      <c r="AV182">
        <v>56</v>
      </c>
      <c r="AW182">
        <v>70</v>
      </c>
      <c r="AX182" t="s">
        <v>74</v>
      </c>
      <c r="AY182" t="s">
        <v>74</v>
      </c>
      <c r="AZ182" t="s">
        <v>74</v>
      </c>
      <c r="BA182" t="s">
        <v>74</v>
      </c>
      <c r="BB182">
        <v>63</v>
      </c>
      <c r="BC182">
        <v>69</v>
      </c>
      <c r="BD182" t="s">
        <v>74</v>
      </c>
      <c r="BE182" t="s">
        <v>3919</v>
      </c>
      <c r="BF182" t="str">
        <f>HYPERLINK("http://dx.doi.org/10.3189/2015AoG70A010","http://dx.doi.org/10.3189/2015AoG70A010")</f>
        <v>http://dx.doi.org/10.3189/2015AoG70A010</v>
      </c>
      <c r="BG182" t="s">
        <v>74</v>
      </c>
      <c r="BH182" t="s">
        <v>74</v>
      </c>
      <c r="BI182">
        <v>7</v>
      </c>
      <c r="BJ182" t="s">
        <v>372</v>
      </c>
      <c r="BK182" t="s">
        <v>91</v>
      </c>
      <c r="BL182" t="s">
        <v>373</v>
      </c>
      <c r="BM182" t="s">
        <v>3920</v>
      </c>
      <c r="BN182" t="s">
        <v>74</v>
      </c>
      <c r="BO182" t="s">
        <v>375</v>
      </c>
      <c r="BP182" t="s">
        <v>74</v>
      </c>
      <c r="BQ182" t="s">
        <v>74</v>
      </c>
      <c r="BR182" t="s">
        <v>93</v>
      </c>
      <c r="BS182" t="s">
        <v>3921</v>
      </c>
      <c r="BT182" t="str">
        <f>HYPERLINK("https%3A%2F%2Fwww.webofscience.com%2Fwos%2Fwoscc%2Ffull-record%2FWOS:000363001700009","View Full Record in Web of Science")</f>
        <v>View Full Record in Web of Science</v>
      </c>
    </row>
    <row r="183" spans="1:72" x14ac:dyDescent="0.15">
      <c r="A183" t="s">
        <v>72</v>
      </c>
      <c r="B183" t="s">
        <v>3922</v>
      </c>
      <c r="C183" t="s">
        <v>74</v>
      </c>
      <c r="D183" t="s">
        <v>74</v>
      </c>
      <c r="E183" t="s">
        <v>74</v>
      </c>
      <c r="F183" t="s">
        <v>3923</v>
      </c>
      <c r="G183" t="s">
        <v>74</v>
      </c>
      <c r="H183" t="s">
        <v>74</v>
      </c>
      <c r="I183" t="s">
        <v>3924</v>
      </c>
      <c r="J183" t="s">
        <v>3902</v>
      </c>
      <c r="K183" t="s">
        <v>74</v>
      </c>
      <c r="L183" t="s">
        <v>74</v>
      </c>
      <c r="M183" t="s">
        <v>78</v>
      </c>
      <c r="N183" t="s">
        <v>99</v>
      </c>
      <c r="O183" t="s">
        <v>74</v>
      </c>
      <c r="P183" t="s">
        <v>74</v>
      </c>
      <c r="Q183" t="s">
        <v>74</v>
      </c>
      <c r="R183" t="s">
        <v>74</v>
      </c>
      <c r="S183" t="s">
        <v>74</v>
      </c>
      <c r="T183" t="s">
        <v>3925</v>
      </c>
      <c r="U183" t="s">
        <v>3926</v>
      </c>
      <c r="V183" t="s">
        <v>3927</v>
      </c>
      <c r="W183" t="s">
        <v>3928</v>
      </c>
      <c r="X183" t="s">
        <v>3929</v>
      </c>
      <c r="Y183" t="s">
        <v>3930</v>
      </c>
      <c r="Z183" t="s">
        <v>3931</v>
      </c>
      <c r="AA183" t="s">
        <v>3932</v>
      </c>
      <c r="AB183" t="s">
        <v>3933</v>
      </c>
      <c r="AC183" t="s">
        <v>3934</v>
      </c>
      <c r="AD183" t="s">
        <v>3935</v>
      </c>
      <c r="AE183" t="s">
        <v>3936</v>
      </c>
      <c r="AF183" t="s">
        <v>74</v>
      </c>
      <c r="AG183">
        <v>18</v>
      </c>
      <c r="AH183">
        <v>10</v>
      </c>
      <c r="AI183">
        <v>11</v>
      </c>
      <c r="AJ183">
        <v>0</v>
      </c>
      <c r="AK183">
        <v>21</v>
      </c>
      <c r="AL183" t="s">
        <v>954</v>
      </c>
      <c r="AM183" t="s">
        <v>112</v>
      </c>
      <c r="AN183" t="s">
        <v>955</v>
      </c>
      <c r="AO183" t="s">
        <v>3915</v>
      </c>
      <c r="AP183" t="s">
        <v>3916</v>
      </c>
      <c r="AQ183" t="s">
        <v>74</v>
      </c>
      <c r="AR183" t="s">
        <v>3917</v>
      </c>
      <c r="AS183" t="s">
        <v>3918</v>
      </c>
      <c r="AT183" t="s">
        <v>74</v>
      </c>
      <c r="AU183">
        <v>2015</v>
      </c>
      <c r="AV183">
        <v>56</v>
      </c>
      <c r="AW183">
        <v>69</v>
      </c>
      <c r="AX183">
        <v>1</v>
      </c>
      <c r="AY183" t="s">
        <v>74</v>
      </c>
      <c r="AZ183" t="s">
        <v>74</v>
      </c>
      <c r="BA183" t="s">
        <v>74</v>
      </c>
      <c r="BB183">
        <v>77</v>
      </c>
      <c r="BC183">
        <v>82</v>
      </c>
      <c r="BD183" t="s">
        <v>74</v>
      </c>
      <c r="BE183" t="s">
        <v>3937</v>
      </c>
      <c r="BF183" t="str">
        <f>HYPERLINK("http://dx.doi.org/10.3189/2015AoG69A814","http://dx.doi.org/10.3189/2015AoG69A814")</f>
        <v>http://dx.doi.org/10.3189/2015AoG69A814</v>
      </c>
      <c r="BG183" t="s">
        <v>74</v>
      </c>
      <c r="BH183" t="s">
        <v>74</v>
      </c>
      <c r="BI183">
        <v>6</v>
      </c>
      <c r="BJ183" t="s">
        <v>372</v>
      </c>
      <c r="BK183" t="s">
        <v>91</v>
      </c>
      <c r="BL183" t="s">
        <v>373</v>
      </c>
      <c r="BM183" t="s">
        <v>3938</v>
      </c>
      <c r="BN183" t="s">
        <v>74</v>
      </c>
      <c r="BO183" t="s">
        <v>375</v>
      </c>
      <c r="BP183" t="s">
        <v>74</v>
      </c>
      <c r="BQ183" t="s">
        <v>74</v>
      </c>
      <c r="BR183" t="s">
        <v>93</v>
      </c>
      <c r="BS183" t="s">
        <v>3939</v>
      </c>
      <c r="BT183" t="str">
        <f>HYPERLINK("https%3A%2F%2Fwww.webofscience.com%2Fwos%2Fwoscc%2Ffull-record%2FWOS:000363082900010","View Full Record in Web of Science")</f>
        <v>View Full Record in Web of Science</v>
      </c>
    </row>
    <row r="184" spans="1:72" x14ac:dyDescent="0.15">
      <c r="A184" t="s">
        <v>72</v>
      </c>
      <c r="B184" t="s">
        <v>3940</v>
      </c>
      <c r="C184" t="s">
        <v>74</v>
      </c>
      <c r="D184" t="s">
        <v>74</v>
      </c>
      <c r="E184" t="s">
        <v>74</v>
      </c>
      <c r="F184" t="s">
        <v>3941</v>
      </c>
      <c r="G184" t="s">
        <v>74</v>
      </c>
      <c r="H184" t="s">
        <v>74</v>
      </c>
      <c r="I184" t="s">
        <v>3942</v>
      </c>
      <c r="J184" t="s">
        <v>3902</v>
      </c>
      <c r="K184" t="s">
        <v>74</v>
      </c>
      <c r="L184" t="s">
        <v>74</v>
      </c>
      <c r="M184" t="s">
        <v>78</v>
      </c>
      <c r="N184" t="s">
        <v>99</v>
      </c>
      <c r="O184" t="s">
        <v>74</v>
      </c>
      <c r="P184" t="s">
        <v>74</v>
      </c>
      <c r="Q184" t="s">
        <v>74</v>
      </c>
      <c r="R184" t="s">
        <v>74</v>
      </c>
      <c r="S184" t="s">
        <v>74</v>
      </c>
      <c r="T184" t="s">
        <v>3943</v>
      </c>
      <c r="U184" t="s">
        <v>3944</v>
      </c>
      <c r="V184" t="s">
        <v>3945</v>
      </c>
      <c r="W184" t="s">
        <v>3946</v>
      </c>
      <c r="X184" t="s">
        <v>3947</v>
      </c>
      <c r="Y184" t="s">
        <v>3948</v>
      </c>
      <c r="Z184" t="s">
        <v>1776</v>
      </c>
      <c r="AA184" t="s">
        <v>3949</v>
      </c>
      <c r="AB184" t="s">
        <v>3950</v>
      </c>
      <c r="AC184" t="s">
        <v>3951</v>
      </c>
      <c r="AD184" t="s">
        <v>3952</v>
      </c>
      <c r="AE184" t="s">
        <v>3953</v>
      </c>
      <c r="AF184" t="s">
        <v>74</v>
      </c>
      <c r="AG184">
        <v>43</v>
      </c>
      <c r="AH184">
        <v>40</v>
      </c>
      <c r="AI184">
        <v>47</v>
      </c>
      <c r="AJ184">
        <v>1</v>
      </c>
      <c r="AK184">
        <v>24</v>
      </c>
      <c r="AL184" t="s">
        <v>365</v>
      </c>
      <c r="AM184" t="s">
        <v>112</v>
      </c>
      <c r="AN184" t="s">
        <v>366</v>
      </c>
      <c r="AO184" t="s">
        <v>3915</v>
      </c>
      <c r="AP184" t="s">
        <v>3916</v>
      </c>
      <c r="AQ184" t="s">
        <v>74</v>
      </c>
      <c r="AR184" t="s">
        <v>3917</v>
      </c>
      <c r="AS184" t="s">
        <v>3918</v>
      </c>
      <c r="AT184" t="s">
        <v>74</v>
      </c>
      <c r="AU184">
        <v>2015</v>
      </c>
      <c r="AV184">
        <v>56</v>
      </c>
      <c r="AW184">
        <v>69</v>
      </c>
      <c r="AX184">
        <v>1</v>
      </c>
      <c r="AY184" t="s">
        <v>74</v>
      </c>
      <c r="AZ184" t="s">
        <v>74</v>
      </c>
      <c r="BA184" t="s">
        <v>74</v>
      </c>
      <c r="BB184">
        <v>107</v>
      </c>
      <c r="BC184">
        <v>119</v>
      </c>
      <c r="BD184" t="s">
        <v>74</v>
      </c>
      <c r="BE184" t="s">
        <v>3954</v>
      </c>
      <c r="BF184" t="str">
        <f>HYPERLINK("http://dx.doi.org/10.3189/2015AoG69A736","http://dx.doi.org/10.3189/2015AoG69A736")</f>
        <v>http://dx.doi.org/10.3189/2015AoG69A736</v>
      </c>
      <c r="BG184" t="s">
        <v>74</v>
      </c>
      <c r="BH184" t="s">
        <v>74</v>
      </c>
      <c r="BI184">
        <v>13</v>
      </c>
      <c r="BJ184" t="s">
        <v>372</v>
      </c>
      <c r="BK184" t="s">
        <v>91</v>
      </c>
      <c r="BL184" t="s">
        <v>373</v>
      </c>
      <c r="BM184" t="s">
        <v>3938</v>
      </c>
      <c r="BN184" t="s">
        <v>74</v>
      </c>
      <c r="BO184" t="s">
        <v>375</v>
      </c>
      <c r="BP184" t="s">
        <v>74</v>
      </c>
      <c r="BQ184" t="s">
        <v>74</v>
      </c>
      <c r="BR184" t="s">
        <v>93</v>
      </c>
      <c r="BS184" t="s">
        <v>3955</v>
      </c>
      <c r="BT184" t="str">
        <f>HYPERLINK("https%3A%2F%2Fwww.webofscience.com%2Fwos%2Fwoscc%2Ffull-record%2FWOS:000363082900014","View Full Record in Web of Science")</f>
        <v>View Full Record in Web of Science</v>
      </c>
    </row>
    <row r="185" spans="1:72" x14ac:dyDescent="0.15">
      <c r="A185" t="s">
        <v>72</v>
      </c>
      <c r="B185" t="s">
        <v>3956</v>
      </c>
      <c r="C185" t="s">
        <v>74</v>
      </c>
      <c r="D185" t="s">
        <v>74</v>
      </c>
      <c r="E185" t="s">
        <v>74</v>
      </c>
      <c r="F185" t="s">
        <v>3957</v>
      </c>
      <c r="G185" t="s">
        <v>74</v>
      </c>
      <c r="H185" t="s">
        <v>74</v>
      </c>
      <c r="I185" t="s">
        <v>3958</v>
      </c>
      <c r="J185" t="s">
        <v>3902</v>
      </c>
      <c r="K185" t="s">
        <v>74</v>
      </c>
      <c r="L185" t="s">
        <v>74</v>
      </c>
      <c r="M185" t="s">
        <v>78</v>
      </c>
      <c r="N185" t="s">
        <v>99</v>
      </c>
      <c r="O185" t="s">
        <v>74</v>
      </c>
      <c r="P185" t="s">
        <v>74</v>
      </c>
      <c r="Q185" t="s">
        <v>74</v>
      </c>
      <c r="R185" t="s">
        <v>74</v>
      </c>
      <c r="S185" t="s">
        <v>74</v>
      </c>
      <c r="T185" t="s">
        <v>3925</v>
      </c>
      <c r="U185" t="s">
        <v>3959</v>
      </c>
      <c r="V185" t="s">
        <v>3960</v>
      </c>
      <c r="W185" t="s">
        <v>3961</v>
      </c>
      <c r="X185" t="s">
        <v>2600</v>
      </c>
      <c r="Y185" t="s">
        <v>3962</v>
      </c>
      <c r="Z185" t="s">
        <v>3963</v>
      </c>
      <c r="AA185" t="s">
        <v>3964</v>
      </c>
      <c r="AB185" t="s">
        <v>3965</v>
      </c>
      <c r="AC185" t="s">
        <v>74</v>
      </c>
      <c r="AD185" t="s">
        <v>74</v>
      </c>
      <c r="AE185" t="s">
        <v>74</v>
      </c>
      <c r="AF185" t="s">
        <v>74</v>
      </c>
      <c r="AG185">
        <v>28</v>
      </c>
      <c r="AH185">
        <v>62</v>
      </c>
      <c r="AI185">
        <v>67</v>
      </c>
      <c r="AJ185">
        <v>1</v>
      </c>
      <c r="AK185">
        <v>44</v>
      </c>
      <c r="AL185" t="s">
        <v>365</v>
      </c>
      <c r="AM185" t="s">
        <v>112</v>
      </c>
      <c r="AN185" t="s">
        <v>366</v>
      </c>
      <c r="AO185" t="s">
        <v>3915</v>
      </c>
      <c r="AP185" t="s">
        <v>3916</v>
      </c>
      <c r="AQ185" t="s">
        <v>74</v>
      </c>
      <c r="AR185" t="s">
        <v>3917</v>
      </c>
      <c r="AS185" t="s">
        <v>3918</v>
      </c>
      <c r="AT185" t="s">
        <v>74</v>
      </c>
      <c r="AU185">
        <v>2015</v>
      </c>
      <c r="AV185">
        <v>56</v>
      </c>
      <c r="AW185">
        <v>69</v>
      </c>
      <c r="AX185">
        <v>1</v>
      </c>
      <c r="AY185" t="s">
        <v>74</v>
      </c>
      <c r="AZ185" t="s">
        <v>74</v>
      </c>
      <c r="BA185" t="s">
        <v>74</v>
      </c>
      <c r="BB185">
        <v>120</v>
      </c>
      <c r="BC185">
        <v>126</v>
      </c>
      <c r="BD185" t="s">
        <v>74</v>
      </c>
      <c r="BE185" t="s">
        <v>3966</v>
      </c>
      <c r="BF185" t="str">
        <f>HYPERLINK("http://dx.doi.org/10.3189/2015AoG69A001","http://dx.doi.org/10.3189/2015AoG69A001")</f>
        <v>http://dx.doi.org/10.3189/2015AoG69A001</v>
      </c>
      <c r="BG185" t="s">
        <v>74</v>
      </c>
      <c r="BH185" t="s">
        <v>74</v>
      </c>
      <c r="BI185">
        <v>7</v>
      </c>
      <c r="BJ185" t="s">
        <v>372</v>
      </c>
      <c r="BK185" t="s">
        <v>91</v>
      </c>
      <c r="BL185" t="s">
        <v>373</v>
      </c>
      <c r="BM185" t="s">
        <v>3938</v>
      </c>
      <c r="BN185" t="s">
        <v>74</v>
      </c>
      <c r="BO185" t="s">
        <v>2858</v>
      </c>
      <c r="BP185" t="s">
        <v>74</v>
      </c>
      <c r="BQ185" t="s">
        <v>74</v>
      </c>
      <c r="BR185" t="s">
        <v>93</v>
      </c>
      <c r="BS185" t="s">
        <v>3967</v>
      </c>
      <c r="BT185" t="str">
        <f>HYPERLINK("https%3A%2F%2Fwww.webofscience.com%2Fwos%2Fwoscc%2Ffull-record%2FWOS:000363082900015","View Full Record in Web of Science")</f>
        <v>View Full Record in Web of Science</v>
      </c>
    </row>
    <row r="186" spans="1:72" x14ac:dyDescent="0.15">
      <c r="A186" t="s">
        <v>72</v>
      </c>
      <c r="B186" t="s">
        <v>3968</v>
      </c>
      <c r="C186" t="s">
        <v>74</v>
      </c>
      <c r="D186" t="s">
        <v>74</v>
      </c>
      <c r="E186" t="s">
        <v>74</v>
      </c>
      <c r="F186" t="s">
        <v>3969</v>
      </c>
      <c r="G186" t="s">
        <v>74</v>
      </c>
      <c r="H186" t="s">
        <v>74</v>
      </c>
      <c r="I186" t="s">
        <v>3970</v>
      </c>
      <c r="J186" t="s">
        <v>3902</v>
      </c>
      <c r="K186" t="s">
        <v>74</v>
      </c>
      <c r="L186" t="s">
        <v>74</v>
      </c>
      <c r="M186" t="s">
        <v>78</v>
      </c>
      <c r="N186" t="s">
        <v>99</v>
      </c>
      <c r="O186" t="s">
        <v>74</v>
      </c>
      <c r="P186" t="s">
        <v>74</v>
      </c>
      <c r="Q186" t="s">
        <v>74</v>
      </c>
      <c r="R186" t="s">
        <v>74</v>
      </c>
      <c r="S186" t="s">
        <v>74</v>
      </c>
      <c r="T186" t="s">
        <v>3971</v>
      </c>
      <c r="U186" t="s">
        <v>3972</v>
      </c>
      <c r="V186" t="s">
        <v>3973</v>
      </c>
      <c r="W186" t="s">
        <v>3974</v>
      </c>
      <c r="X186" t="s">
        <v>3975</v>
      </c>
      <c r="Y186" t="s">
        <v>3976</v>
      </c>
      <c r="Z186" t="s">
        <v>3977</v>
      </c>
      <c r="AA186" t="s">
        <v>3978</v>
      </c>
      <c r="AB186" t="s">
        <v>3979</v>
      </c>
      <c r="AC186" t="s">
        <v>3980</v>
      </c>
      <c r="AD186" t="s">
        <v>3981</v>
      </c>
      <c r="AE186" t="s">
        <v>3982</v>
      </c>
      <c r="AF186" t="s">
        <v>74</v>
      </c>
      <c r="AG186">
        <v>30</v>
      </c>
      <c r="AH186">
        <v>22</v>
      </c>
      <c r="AI186">
        <v>25</v>
      </c>
      <c r="AJ186">
        <v>0</v>
      </c>
      <c r="AK186">
        <v>11</v>
      </c>
      <c r="AL186" t="s">
        <v>954</v>
      </c>
      <c r="AM186" t="s">
        <v>112</v>
      </c>
      <c r="AN186" t="s">
        <v>955</v>
      </c>
      <c r="AO186" t="s">
        <v>3915</v>
      </c>
      <c r="AP186" t="s">
        <v>3916</v>
      </c>
      <c r="AQ186" t="s">
        <v>74</v>
      </c>
      <c r="AR186" t="s">
        <v>3917</v>
      </c>
      <c r="AS186" t="s">
        <v>3918</v>
      </c>
      <c r="AT186" t="s">
        <v>74</v>
      </c>
      <c r="AU186">
        <v>2015</v>
      </c>
      <c r="AV186">
        <v>56</v>
      </c>
      <c r="AW186">
        <v>70</v>
      </c>
      <c r="AX186" t="s">
        <v>74</v>
      </c>
      <c r="AY186" t="s">
        <v>74</v>
      </c>
      <c r="AZ186" t="s">
        <v>74</v>
      </c>
      <c r="BA186" t="s">
        <v>74</v>
      </c>
      <c r="BB186">
        <v>155</v>
      </c>
      <c r="BC186">
        <v>166</v>
      </c>
      <c r="BD186" t="s">
        <v>74</v>
      </c>
      <c r="BE186" t="s">
        <v>3983</v>
      </c>
      <c r="BF186" t="str">
        <f>HYPERLINK("http://dx.doi.org/10.3189/2015AoG70A203","http://dx.doi.org/10.3189/2015AoG70A203")</f>
        <v>http://dx.doi.org/10.3189/2015AoG70A203</v>
      </c>
      <c r="BG186" t="s">
        <v>74</v>
      </c>
      <c r="BH186" t="s">
        <v>74</v>
      </c>
      <c r="BI186">
        <v>12</v>
      </c>
      <c r="BJ186" t="s">
        <v>372</v>
      </c>
      <c r="BK186" t="s">
        <v>91</v>
      </c>
      <c r="BL186" t="s">
        <v>373</v>
      </c>
      <c r="BM186" t="s">
        <v>3920</v>
      </c>
      <c r="BN186" t="s">
        <v>74</v>
      </c>
      <c r="BO186" t="s">
        <v>3478</v>
      </c>
      <c r="BP186" t="s">
        <v>74</v>
      </c>
      <c r="BQ186" t="s">
        <v>74</v>
      </c>
      <c r="BR186" t="s">
        <v>93</v>
      </c>
      <c r="BS186" t="s">
        <v>3984</v>
      </c>
      <c r="BT186" t="str">
        <f>HYPERLINK("https%3A%2F%2Fwww.webofscience.com%2Fwos%2Fwoscc%2Ffull-record%2FWOS:000363001700019","View Full Record in Web of Science")</f>
        <v>View Full Record in Web of Science</v>
      </c>
    </row>
    <row r="187" spans="1:72" x14ac:dyDescent="0.15">
      <c r="A187" t="s">
        <v>72</v>
      </c>
      <c r="B187" t="s">
        <v>3985</v>
      </c>
      <c r="C187" t="s">
        <v>74</v>
      </c>
      <c r="D187" t="s">
        <v>74</v>
      </c>
      <c r="E187" t="s">
        <v>74</v>
      </c>
      <c r="F187" t="s">
        <v>3986</v>
      </c>
      <c r="G187" t="s">
        <v>74</v>
      </c>
      <c r="H187" t="s">
        <v>74</v>
      </c>
      <c r="I187" t="s">
        <v>3987</v>
      </c>
      <c r="J187" t="s">
        <v>3902</v>
      </c>
      <c r="K187" t="s">
        <v>74</v>
      </c>
      <c r="L187" t="s">
        <v>74</v>
      </c>
      <c r="M187" t="s">
        <v>78</v>
      </c>
      <c r="N187" t="s">
        <v>99</v>
      </c>
      <c r="O187" t="s">
        <v>74</v>
      </c>
      <c r="P187" t="s">
        <v>74</v>
      </c>
      <c r="Q187" t="s">
        <v>74</v>
      </c>
      <c r="R187" t="s">
        <v>74</v>
      </c>
      <c r="S187" t="s">
        <v>74</v>
      </c>
      <c r="T187" t="s">
        <v>3988</v>
      </c>
      <c r="U187" t="s">
        <v>3989</v>
      </c>
      <c r="V187" t="s">
        <v>3990</v>
      </c>
      <c r="W187" t="s">
        <v>3991</v>
      </c>
      <c r="X187" t="s">
        <v>3992</v>
      </c>
      <c r="Y187" t="s">
        <v>3993</v>
      </c>
      <c r="Z187" t="s">
        <v>3994</v>
      </c>
      <c r="AA187" t="s">
        <v>3995</v>
      </c>
      <c r="AB187" t="s">
        <v>3996</v>
      </c>
      <c r="AC187" t="s">
        <v>3997</v>
      </c>
      <c r="AD187" t="s">
        <v>3998</v>
      </c>
      <c r="AE187" t="s">
        <v>3999</v>
      </c>
      <c r="AF187" t="s">
        <v>74</v>
      </c>
      <c r="AG187">
        <v>17</v>
      </c>
      <c r="AH187">
        <v>7</v>
      </c>
      <c r="AI187">
        <v>9</v>
      </c>
      <c r="AJ187">
        <v>1</v>
      </c>
      <c r="AK187">
        <v>30</v>
      </c>
      <c r="AL187" t="s">
        <v>365</v>
      </c>
      <c r="AM187" t="s">
        <v>112</v>
      </c>
      <c r="AN187" t="s">
        <v>366</v>
      </c>
      <c r="AO187" t="s">
        <v>3915</v>
      </c>
      <c r="AP187" t="s">
        <v>3916</v>
      </c>
      <c r="AQ187" t="s">
        <v>74</v>
      </c>
      <c r="AR187" t="s">
        <v>3917</v>
      </c>
      <c r="AS187" t="s">
        <v>3918</v>
      </c>
      <c r="AT187" t="s">
        <v>74</v>
      </c>
      <c r="AU187">
        <v>2015</v>
      </c>
      <c r="AV187">
        <v>56</v>
      </c>
      <c r="AW187">
        <v>69</v>
      </c>
      <c r="AX187">
        <v>1</v>
      </c>
      <c r="AY187" t="s">
        <v>74</v>
      </c>
      <c r="AZ187" t="s">
        <v>74</v>
      </c>
      <c r="BA187" t="s">
        <v>74</v>
      </c>
      <c r="BB187">
        <v>160</v>
      </c>
      <c r="BC187">
        <v>166</v>
      </c>
      <c r="BD187" t="s">
        <v>74</v>
      </c>
      <c r="BE187" t="s">
        <v>4000</v>
      </c>
      <c r="BF187" t="str">
        <f>HYPERLINK("http://dx.doi.org/10.3189/2015AoG69A007","http://dx.doi.org/10.3189/2015AoG69A007")</f>
        <v>http://dx.doi.org/10.3189/2015AoG69A007</v>
      </c>
      <c r="BG187" t="s">
        <v>74</v>
      </c>
      <c r="BH187" t="s">
        <v>74</v>
      </c>
      <c r="BI187">
        <v>7</v>
      </c>
      <c r="BJ187" t="s">
        <v>372</v>
      </c>
      <c r="BK187" t="s">
        <v>91</v>
      </c>
      <c r="BL187" t="s">
        <v>373</v>
      </c>
      <c r="BM187" t="s">
        <v>3938</v>
      </c>
      <c r="BN187" t="s">
        <v>74</v>
      </c>
      <c r="BO187" t="s">
        <v>991</v>
      </c>
      <c r="BP187" t="s">
        <v>74</v>
      </c>
      <c r="BQ187" t="s">
        <v>74</v>
      </c>
      <c r="BR187" t="s">
        <v>93</v>
      </c>
      <c r="BS187" t="s">
        <v>4001</v>
      </c>
      <c r="BT187" t="str">
        <f>HYPERLINK("https%3A%2F%2Fwww.webofscience.com%2Fwos%2Fwoscc%2Ffull-record%2FWOS:000363082900020","View Full Record in Web of Science")</f>
        <v>View Full Record in Web of Science</v>
      </c>
    </row>
    <row r="188" spans="1:72" x14ac:dyDescent="0.15">
      <c r="A188" t="s">
        <v>72</v>
      </c>
      <c r="B188" t="s">
        <v>4002</v>
      </c>
      <c r="C188" t="s">
        <v>74</v>
      </c>
      <c r="D188" t="s">
        <v>74</v>
      </c>
      <c r="E188" t="s">
        <v>74</v>
      </c>
      <c r="F188" t="s">
        <v>4003</v>
      </c>
      <c r="G188" t="s">
        <v>74</v>
      </c>
      <c r="H188" t="s">
        <v>74</v>
      </c>
      <c r="I188" t="s">
        <v>4004</v>
      </c>
      <c r="J188" t="s">
        <v>3902</v>
      </c>
      <c r="K188" t="s">
        <v>74</v>
      </c>
      <c r="L188" t="s">
        <v>74</v>
      </c>
      <c r="M188" t="s">
        <v>78</v>
      </c>
      <c r="N188" t="s">
        <v>99</v>
      </c>
      <c r="O188" t="s">
        <v>74</v>
      </c>
      <c r="P188" t="s">
        <v>74</v>
      </c>
      <c r="Q188" t="s">
        <v>74</v>
      </c>
      <c r="R188" t="s">
        <v>74</v>
      </c>
      <c r="S188" t="s">
        <v>74</v>
      </c>
      <c r="T188" t="s">
        <v>4005</v>
      </c>
      <c r="U188" t="s">
        <v>4006</v>
      </c>
      <c r="V188" t="s">
        <v>4007</v>
      </c>
      <c r="W188" t="s">
        <v>4008</v>
      </c>
      <c r="X188" t="s">
        <v>4009</v>
      </c>
      <c r="Y188" t="s">
        <v>4010</v>
      </c>
      <c r="Z188" t="s">
        <v>4011</v>
      </c>
      <c r="AA188" t="s">
        <v>4012</v>
      </c>
      <c r="AB188" t="s">
        <v>4013</v>
      </c>
      <c r="AC188" t="s">
        <v>4014</v>
      </c>
      <c r="AD188" t="s">
        <v>4014</v>
      </c>
      <c r="AE188" t="s">
        <v>4015</v>
      </c>
      <c r="AF188" t="s">
        <v>74</v>
      </c>
      <c r="AG188">
        <v>32</v>
      </c>
      <c r="AH188">
        <v>7</v>
      </c>
      <c r="AI188">
        <v>12</v>
      </c>
      <c r="AJ188">
        <v>0</v>
      </c>
      <c r="AK188">
        <v>5</v>
      </c>
      <c r="AL188" t="s">
        <v>365</v>
      </c>
      <c r="AM188" t="s">
        <v>112</v>
      </c>
      <c r="AN188" t="s">
        <v>366</v>
      </c>
      <c r="AO188" t="s">
        <v>3915</v>
      </c>
      <c r="AP188" t="s">
        <v>3916</v>
      </c>
      <c r="AQ188" t="s">
        <v>74</v>
      </c>
      <c r="AR188" t="s">
        <v>3917</v>
      </c>
      <c r="AS188" t="s">
        <v>3918</v>
      </c>
      <c r="AT188" t="s">
        <v>74</v>
      </c>
      <c r="AU188">
        <v>2015</v>
      </c>
      <c r="AV188">
        <v>56</v>
      </c>
      <c r="AW188">
        <v>70</v>
      </c>
      <c r="AX188" t="s">
        <v>74</v>
      </c>
      <c r="AY188" t="s">
        <v>74</v>
      </c>
      <c r="AZ188" t="s">
        <v>74</v>
      </c>
      <c r="BA188" t="s">
        <v>74</v>
      </c>
      <c r="BB188">
        <v>167</v>
      </c>
      <c r="BC188">
        <v>174</v>
      </c>
      <c r="BD188" t="s">
        <v>74</v>
      </c>
      <c r="BE188" t="s">
        <v>4016</v>
      </c>
      <c r="BF188" t="str">
        <f>HYPERLINK("http://dx.doi.org/10.3189/2015AoG70A204","http://dx.doi.org/10.3189/2015AoG70A204")</f>
        <v>http://dx.doi.org/10.3189/2015AoG70A204</v>
      </c>
      <c r="BG188" t="s">
        <v>74</v>
      </c>
      <c r="BH188" t="s">
        <v>74</v>
      </c>
      <c r="BI188">
        <v>8</v>
      </c>
      <c r="BJ188" t="s">
        <v>372</v>
      </c>
      <c r="BK188" t="s">
        <v>91</v>
      </c>
      <c r="BL188" t="s">
        <v>373</v>
      </c>
      <c r="BM188" t="s">
        <v>3920</v>
      </c>
      <c r="BN188" t="s">
        <v>74</v>
      </c>
      <c r="BO188" t="s">
        <v>1904</v>
      </c>
      <c r="BP188" t="s">
        <v>74</v>
      </c>
      <c r="BQ188" t="s">
        <v>74</v>
      </c>
      <c r="BR188" t="s">
        <v>93</v>
      </c>
      <c r="BS188" t="s">
        <v>4017</v>
      </c>
      <c r="BT188" t="str">
        <f>HYPERLINK("https%3A%2F%2Fwww.webofscience.com%2Fwos%2Fwoscc%2Ffull-record%2FWOS:000363001700020","View Full Record in Web of Science")</f>
        <v>View Full Record in Web of Science</v>
      </c>
    </row>
    <row r="189" spans="1:72" x14ac:dyDescent="0.15">
      <c r="A189" t="s">
        <v>72</v>
      </c>
      <c r="B189" t="s">
        <v>4018</v>
      </c>
      <c r="C189" t="s">
        <v>74</v>
      </c>
      <c r="D189" t="s">
        <v>74</v>
      </c>
      <c r="E189" t="s">
        <v>74</v>
      </c>
      <c r="F189" t="s">
        <v>4019</v>
      </c>
      <c r="G189" t="s">
        <v>74</v>
      </c>
      <c r="H189" t="s">
        <v>74</v>
      </c>
      <c r="I189" t="s">
        <v>4020</v>
      </c>
      <c r="J189" t="s">
        <v>3902</v>
      </c>
      <c r="K189" t="s">
        <v>74</v>
      </c>
      <c r="L189" t="s">
        <v>74</v>
      </c>
      <c r="M189" t="s">
        <v>78</v>
      </c>
      <c r="N189" t="s">
        <v>99</v>
      </c>
      <c r="O189" t="s">
        <v>74</v>
      </c>
      <c r="P189" t="s">
        <v>74</v>
      </c>
      <c r="Q189" t="s">
        <v>74</v>
      </c>
      <c r="R189" t="s">
        <v>74</v>
      </c>
      <c r="S189" t="s">
        <v>74</v>
      </c>
      <c r="T189" t="s">
        <v>4021</v>
      </c>
      <c r="U189" t="s">
        <v>4022</v>
      </c>
      <c r="V189" t="s">
        <v>4023</v>
      </c>
      <c r="W189" t="s">
        <v>4024</v>
      </c>
      <c r="X189" t="s">
        <v>4025</v>
      </c>
      <c r="Y189" t="s">
        <v>4026</v>
      </c>
      <c r="Z189" t="s">
        <v>4027</v>
      </c>
      <c r="AA189" t="s">
        <v>4028</v>
      </c>
      <c r="AB189" t="s">
        <v>4029</v>
      </c>
      <c r="AC189" t="s">
        <v>4030</v>
      </c>
      <c r="AD189" t="s">
        <v>4031</v>
      </c>
      <c r="AE189" t="s">
        <v>4032</v>
      </c>
      <c r="AF189" t="s">
        <v>74</v>
      </c>
      <c r="AG189">
        <v>47</v>
      </c>
      <c r="AH189">
        <v>22</v>
      </c>
      <c r="AI189">
        <v>24</v>
      </c>
      <c r="AJ189">
        <v>1</v>
      </c>
      <c r="AK189">
        <v>12</v>
      </c>
      <c r="AL189" t="s">
        <v>365</v>
      </c>
      <c r="AM189" t="s">
        <v>112</v>
      </c>
      <c r="AN189" t="s">
        <v>366</v>
      </c>
      <c r="AO189" t="s">
        <v>3915</v>
      </c>
      <c r="AP189" t="s">
        <v>3916</v>
      </c>
      <c r="AQ189" t="s">
        <v>74</v>
      </c>
      <c r="AR189" t="s">
        <v>3917</v>
      </c>
      <c r="AS189" t="s">
        <v>3918</v>
      </c>
      <c r="AT189" t="s">
        <v>74</v>
      </c>
      <c r="AU189">
        <v>2015</v>
      </c>
      <c r="AV189">
        <v>56</v>
      </c>
      <c r="AW189">
        <v>69</v>
      </c>
      <c r="AX189">
        <v>1</v>
      </c>
      <c r="AY189" t="s">
        <v>74</v>
      </c>
      <c r="AZ189" t="s">
        <v>74</v>
      </c>
      <c r="BA189" t="s">
        <v>74</v>
      </c>
      <c r="BB189">
        <v>200</v>
      </c>
      <c r="BC189">
        <v>210</v>
      </c>
      <c r="BD189" t="s">
        <v>74</v>
      </c>
      <c r="BE189" t="s">
        <v>4033</v>
      </c>
      <c r="BF189" t="str">
        <f>HYPERLINK("http://dx.doi.org/10.3189/2015AoG69A890","http://dx.doi.org/10.3189/2015AoG69A890")</f>
        <v>http://dx.doi.org/10.3189/2015AoG69A890</v>
      </c>
      <c r="BG189" t="s">
        <v>74</v>
      </c>
      <c r="BH189" t="s">
        <v>74</v>
      </c>
      <c r="BI189">
        <v>11</v>
      </c>
      <c r="BJ189" t="s">
        <v>372</v>
      </c>
      <c r="BK189" t="s">
        <v>91</v>
      </c>
      <c r="BL189" t="s">
        <v>373</v>
      </c>
      <c r="BM189" t="s">
        <v>3938</v>
      </c>
      <c r="BN189" t="s">
        <v>74</v>
      </c>
      <c r="BO189" t="s">
        <v>375</v>
      </c>
      <c r="BP189" t="s">
        <v>74</v>
      </c>
      <c r="BQ189" t="s">
        <v>74</v>
      </c>
      <c r="BR189" t="s">
        <v>93</v>
      </c>
      <c r="BS189" t="s">
        <v>4034</v>
      </c>
      <c r="BT189" t="str">
        <f>HYPERLINK("https%3A%2F%2Fwww.webofscience.com%2Fwos%2Fwoscc%2Ffull-record%2FWOS:000363082900024","View Full Record in Web of Science")</f>
        <v>View Full Record in Web of Science</v>
      </c>
    </row>
    <row r="190" spans="1:72" x14ac:dyDescent="0.15">
      <c r="A190" t="s">
        <v>72</v>
      </c>
      <c r="B190" t="s">
        <v>4035</v>
      </c>
      <c r="C190" t="s">
        <v>74</v>
      </c>
      <c r="D190" t="s">
        <v>74</v>
      </c>
      <c r="E190" t="s">
        <v>74</v>
      </c>
      <c r="F190" t="s">
        <v>4036</v>
      </c>
      <c r="G190" t="s">
        <v>74</v>
      </c>
      <c r="H190" t="s">
        <v>74</v>
      </c>
      <c r="I190" t="s">
        <v>4037</v>
      </c>
      <c r="J190" t="s">
        <v>3902</v>
      </c>
      <c r="K190" t="s">
        <v>74</v>
      </c>
      <c r="L190" t="s">
        <v>74</v>
      </c>
      <c r="M190" t="s">
        <v>78</v>
      </c>
      <c r="N190" t="s">
        <v>99</v>
      </c>
      <c r="O190" t="s">
        <v>74</v>
      </c>
      <c r="P190" t="s">
        <v>74</v>
      </c>
      <c r="Q190" t="s">
        <v>74</v>
      </c>
      <c r="R190" t="s">
        <v>74</v>
      </c>
      <c r="S190" t="s">
        <v>74</v>
      </c>
      <c r="T190" t="s">
        <v>4038</v>
      </c>
      <c r="U190" t="s">
        <v>4039</v>
      </c>
      <c r="V190" t="s">
        <v>4040</v>
      </c>
      <c r="W190" t="s">
        <v>4041</v>
      </c>
      <c r="X190" t="s">
        <v>4042</v>
      </c>
      <c r="Y190" t="s">
        <v>4043</v>
      </c>
      <c r="Z190" t="s">
        <v>4044</v>
      </c>
      <c r="AA190" t="s">
        <v>4045</v>
      </c>
      <c r="AB190" t="s">
        <v>4046</v>
      </c>
      <c r="AC190" t="s">
        <v>4047</v>
      </c>
      <c r="AD190" t="s">
        <v>4048</v>
      </c>
      <c r="AE190" t="s">
        <v>4049</v>
      </c>
      <c r="AF190" t="s">
        <v>74</v>
      </c>
      <c r="AG190">
        <v>14</v>
      </c>
      <c r="AH190">
        <v>5</v>
      </c>
      <c r="AI190">
        <v>5</v>
      </c>
      <c r="AJ190">
        <v>0</v>
      </c>
      <c r="AK190">
        <v>4</v>
      </c>
      <c r="AL190" t="s">
        <v>954</v>
      </c>
      <c r="AM190" t="s">
        <v>112</v>
      </c>
      <c r="AN190" t="s">
        <v>955</v>
      </c>
      <c r="AO190" t="s">
        <v>3915</v>
      </c>
      <c r="AP190" t="s">
        <v>3916</v>
      </c>
      <c r="AQ190" t="s">
        <v>74</v>
      </c>
      <c r="AR190" t="s">
        <v>3917</v>
      </c>
      <c r="AS190" t="s">
        <v>3918</v>
      </c>
      <c r="AT190" t="s">
        <v>74</v>
      </c>
      <c r="AU190">
        <v>2015</v>
      </c>
      <c r="AV190">
        <v>56</v>
      </c>
      <c r="AW190">
        <v>69</v>
      </c>
      <c r="AX190">
        <v>2</v>
      </c>
      <c r="AY190" t="s">
        <v>74</v>
      </c>
      <c r="AZ190" t="s">
        <v>74</v>
      </c>
      <c r="BA190" t="s">
        <v>74</v>
      </c>
      <c r="BB190">
        <v>258</v>
      </c>
      <c r="BC190">
        <v>262</v>
      </c>
      <c r="BD190" t="s">
        <v>74</v>
      </c>
      <c r="BE190" t="s">
        <v>4050</v>
      </c>
      <c r="BF190" t="str">
        <f>HYPERLINK("http://dx.doi.org/10.3189/2015AoG69A599","http://dx.doi.org/10.3189/2015AoG69A599")</f>
        <v>http://dx.doi.org/10.3189/2015AoG69A599</v>
      </c>
      <c r="BG190" t="s">
        <v>74</v>
      </c>
      <c r="BH190" t="s">
        <v>74</v>
      </c>
      <c r="BI190">
        <v>5</v>
      </c>
      <c r="BJ190" t="s">
        <v>372</v>
      </c>
      <c r="BK190" t="s">
        <v>91</v>
      </c>
      <c r="BL190" t="s">
        <v>373</v>
      </c>
      <c r="BM190" t="s">
        <v>4051</v>
      </c>
      <c r="BN190" t="s">
        <v>74</v>
      </c>
      <c r="BO190" t="s">
        <v>2858</v>
      </c>
      <c r="BP190" t="s">
        <v>74</v>
      </c>
      <c r="BQ190" t="s">
        <v>74</v>
      </c>
      <c r="BR190" t="s">
        <v>93</v>
      </c>
      <c r="BS190" t="s">
        <v>4052</v>
      </c>
      <c r="BT190" t="str">
        <f>HYPERLINK("https%3A%2F%2Fwww.webofscience.com%2Fwos%2Fwoscc%2Ffull-record%2FWOS:000363083200005","View Full Record in Web of Science")</f>
        <v>View Full Record in Web of Science</v>
      </c>
    </row>
    <row r="191" spans="1:72" x14ac:dyDescent="0.15">
      <c r="A191" t="s">
        <v>72</v>
      </c>
      <c r="B191" t="s">
        <v>4053</v>
      </c>
      <c r="C191" t="s">
        <v>74</v>
      </c>
      <c r="D191" t="s">
        <v>74</v>
      </c>
      <c r="E191" t="s">
        <v>74</v>
      </c>
      <c r="F191" t="s">
        <v>4054</v>
      </c>
      <c r="G191" t="s">
        <v>74</v>
      </c>
      <c r="H191" t="s">
        <v>74</v>
      </c>
      <c r="I191" t="s">
        <v>4055</v>
      </c>
      <c r="J191" t="s">
        <v>3902</v>
      </c>
      <c r="K191" t="s">
        <v>74</v>
      </c>
      <c r="L191" t="s">
        <v>74</v>
      </c>
      <c r="M191" t="s">
        <v>78</v>
      </c>
      <c r="N191" t="s">
        <v>99</v>
      </c>
      <c r="O191" t="s">
        <v>74</v>
      </c>
      <c r="P191" t="s">
        <v>74</v>
      </c>
      <c r="Q191" t="s">
        <v>74</v>
      </c>
      <c r="R191" t="s">
        <v>74</v>
      </c>
      <c r="S191" t="s">
        <v>74</v>
      </c>
      <c r="T191" t="s">
        <v>4056</v>
      </c>
      <c r="U191" t="s">
        <v>4057</v>
      </c>
      <c r="V191" t="s">
        <v>4058</v>
      </c>
      <c r="W191" t="s">
        <v>4059</v>
      </c>
      <c r="X191" t="s">
        <v>4060</v>
      </c>
      <c r="Y191" t="s">
        <v>4061</v>
      </c>
      <c r="Z191" t="s">
        <v>4062</v>
      </c>
      <c r="AA191" t="s">
        <v>4063</v>
      </c>
      <c r="AB191" t="s">
        <v>4064</v>
      </c>
      <c r="AC191" t="s">
        <v>4065</v>
      </c>
      <c r="AD191" t="s">
        <v>4066</v>
      </c>
      <c r="AE191" t="s">
        <v>4067</v>
      </c>
      <c r="AF191" t="s">
        <v>74</v>
      </c>
      <c r="AG191">
        <v>24</v>
      </c>
      <c r="AH191">
        <v>9</v>
      </c>
      <c r="AI191">
        <v>10</v>
      </c>
      <c r="AJ191">
        <v>0</v>
      </c>
      <c r="AK191">
        <v>4</v>
      </c>
      <c r="AL191" t="s">
        <v>365</v>
      </c>
      <c r="AM191" t="s">
        <v>112</v>
      </c>
      <c r="AN191" t="s">
        <v>366</v>
      </c>
      <c r="AO191" t="s">
        <v>3915</v>
      </c>
      <c r="AP191" t="s">
        <v>3916</v>
      </c>
      <c r="AQ191" t="s">
        <v>74</v>
      </c>
      <c r="AR191" t="s">
        <v>3917</v>
      </c>
      <c r="AS191" t="s">
        <v>3918</v>
      </c>
      <c r="AT191" t="s">
        <v>74</v>
      </c>
      <c r="AU191">
        <v>2015</v>
      </c>
      <c r="AV191">
        <v>56</v>
      </c>
      <c r="AW191">
        <v>69</v>
      </c>
      <c r="AX191">
        <v>2</v>
      </c>
      <c r="AY191" t="s">
        <v>74</v>
      </c>
      <c r="AZ191" t="s">
        <v>74</v>
      </c>
      <c r="BA191" t="s">
        <v>74</v>
      </c>
      <c r="BB191">
        <v>315</v>
      </c>
      <c r="BC191">
        <v>322</v>
      </c>
      <c r="BD191" t="s">
        <v>74</v>
      </c>
      <c r="BE191" t="s">
        <v>4068</v>
      </c>
      <c r="BF191" t="str">
        <f>HYPERLINK("http://dx.doi.org/10.3189/2015AoG69A556","http://dx.doi.org/10.3189/2015AoG69A556")</f>
        <v>http://dx.doi.org/10.3189/2015AoG69A556</v>
      </c>
      <c r="BG191" t="s">
        <v>74</v>
      </c>
      <c r="BH191" t="s">
        <v>74</v>
      </c>
      <c r="BI191">
        <v>8</v>
      </c>
      <c r="BJ191" t="s">
        <v>372</v>
      </c>
      <c r="BK191" t="s">
        <v>91</v>
      </c>
      <c r="BL191" t="s">
        <v>373</v>
      </c>
      <c r="BM191" t="s">
        <v>4051</v>
      </c>
      <c r="BN191" t="s">
        <v>74</v>
      </c>
      <c r="BO191" t="s">
        <v>2858</v>
      </c>
      <c r="BP191" t="s">
        <v>74</v>
      </c>
      <c r="BQ191" t="s">
        <v>74</v>
      </c>
      <c r="BR191" t="s">
        <v>93</v>
      </c>
      <c r="BS191" t="s">
        <v>4069</v>
      </c>
      <c r="BT191" t="str">
        <f>HYPERLINK("https%3A%2F%2Fwww.webofscience.com%2Fwos%2Fwoscc%2Ffull-record%2FWOS:000363083200011","View Full Record in Web of Science")</f>
        <v>View Full Record in Web of Science</v>
      </c>
    </row>
    <row r="192" spans="1:72" x14ac:dyDescent="0.15">
      <c r="A192" t="s">
        <v>72</v>
      </c>
      <c r="B192" t="s">
        <v>4070</v>
      </c>
      <c r="C192" t="s">
        <v>74</v>
      </c>
      <c r="D192" t="s">
        <v>74</v>
      </c>
      <c r="E192" t="s">
        <v>74</v>
      </c>
      <c r="F192" t="s">
        <v>4071</v>
      </c>
      <c r="G192" t="s">
        <v>74</v>
      </c>
      <c r="H192" t="s">
        <v>74</v>
      </c>
      <c r="I192" t="s">
        <v>4072</v>
      </c>
      <c r="J192" t="s">
        <v>3902</v>
      </c>
      <c r="K192" t="s">
        <v>74</v>
      </c>
      <c r="L192" t="s">
        <v>74</v>
      </c>
      <c r="M192" t="s">
        <v>78</v>
      </c>
      <c r="N192" t="s">
        <v>99</v>
      </c>
      <c r="O192" t="s">
        <v>74</v>
      </c>
      <c r="P192" t="s">
        <v>74</v>
      </c>
      <c r="Q192" t="s">
        <v>74</v>
      </c>
      <c r="R192" t="s">
        <v>74</v>
      </c>
      <c r="S192" t="s">
        <v>74</v>
      </c>
      <c r="T192" t="s">
        <v>4073</v>
      </c>
      <c r="U192" t="s">
        <v>4074</v>
      </c>
      <c r="V192" t="s">
        <v>4075</v>
      </c>
      <c r="W192" t="s">
        <v>4076</v>
      </c>
      <c r="X192" t="s">
        <v>4077</v>
      </c>
      <c r="Y192" t="s">
        <v>4078</v>
      </c>
      <c r="Z192" t="s">
        <v>4079</v>
      </c>
      <c r="AA192" t="s">
        <v>4080</v>
      </c>
      <c r="AB192" t="s">
        <v>4081</v>
      </c>
      <c r="AC192" t="s">
        <v>4082</v>
      </c>
      <c r="AD192" t="s">
        <v>4083</v>
      </c>
      <c r="AE192" t="s">
        <v>4084</v>
      </c>
      <c r="AF192" t="s">
        <v>74</v>
      </c>
      <c r="AG192">
        <v>51</v>
      </c>
      <c r="AH192">
        <v>15</v>
      </c>
      <c r="AI192">
        <v>21</v>
      </c>
      <c r="AJ192">
        <v>1</v>
      </c>
      <c r="AK192">
        <v>6</v>
      </c>
      <c r="AL192" t="s">
        <v>365</v>
      </c>
      <c r="AM192" t="s">
        <v>112</v>
      </c>
      <c r="AN192" t="s">
        <v>366</v>
      </c>
      <c r="AO192" t="s">
        <v>3915</v>
      </c>
      <c r="AP192" t="s">
        <v>3916</v>
      </c>
      <c r="AQ192" t="s">
        <v>74</v>
      </c>
      <c r="AR192" t="s">
        <v>3917</v>
      </c>
      <c r="AS192" t="s">
        <v>3918</v>
      </c>
      <c r="AT192" t="s">
        <v>74</v>
      </c>
      <c r="AU192">
        <v>2015</v>
      </c>
      <c r="AV192">
        <v>56</v>
      </c>
      <c r="AW192">
        <v>69</v>
      </c>
      <c r="AX192">
        <v>2</v>
      </c>
      <c r="AY192" t="s">
        <v>74</v>
      </c>
      <c r="AZ192" t="s">
        <v>74</v>
      </c>
      <c r="BA192" t="s">
        <v>74</v>
      </c>
      <c r="BB192">
        <v>425</v>
      </c>
      <c r="BC192">
        <v>435</v>
      </c>
      <c r="BD192" t="s">
        <v>74</v>
      </c>
      <c r="BE192" t="s">
        <v>4085</v>
      </c>
      <c r="BF192" t="str">
        <f>HYPERLINK("http://dx.doi.org/10.3189/2015AoG69A792","http://dx.doi.org/10.3189/2015AoG69A792")</f>
        <v>http://dx.doi.org/10.3189/2015AoG69A792</v>
      </c>
      <c r="BG192" t="s">
        <v>74</v>
      </c>
      <c r="BH192" t="s">
        <v>74</v>
      </c>
      <c r="BI192">
        <v>11</v>
      </c>
      <c r="BJ192" t="s">
        <v>372</v>
      </c>
      <c r="BK192" t="s">
        <v>91</v>
      </c>
      <c r="BL192" t="s">
        <v>373</v>
      </c>
      <c r="BM192" t="s">
        <v>4051</v>
      </c>
      <c r="BN192" t="s">
        <v>74</v>
      </c>
      <c r="BO192" t="s">
        <v>4086</v>
      </c>
      <c r="BP192" t="s">
        <v>74</v>
      </c>
      <c r="BQ192" t="s">
        <v>74</v>
      </c>
      <c r="BR192" t="s">
        <v>93</v>
      </c>
      <c r="BS192" t="s">
        <v>4087</v>
      </c>
      <c r="BT192" t="str">
        <f>HYPERLINK("https%3A%2F%2Fwww.webofscience.com%2Fwos%2Fwoscc%2Ffull-record%2FWOS:000363083200022","View Full Record in Web of Science")</f>
        <v>View Full Record in Web of Science</v>
      </c>
    </row>
    <row r="193" spans="1:72" x14ac:dyDescent="0.15">
      <c r="A193" t="s">
        <v>72</v>
      </c>
      <c r="B193" t="s">
        <v>4088</v>
      </c>
      <c r="C193" t="s">
        <v>74</v>
      </c>
      <c r="D193" t="s">
        <v>74</v>
      </c>
      <c r="E193" t="s">
        <v>74</v>
      </c>
      <c r="F193" t="s">
        <v>4089</v>
      </c>
      <c r="G193" t="s">
        <v>74</v>
      </c>
      <c r="H193" t="s">
        <v>74</v>
      </c>
      <c r="I193" t="s">
        <v>4090</v>
      </c>
      <c r="J193" t="s">
        <v>4091</v>
      </c>
      <c r="K193" t="s">
        <v>74</v>
      </c>
      <c r="L193" t="s">
        <v>74</v>
      </c>
      <c r="M193" t="s">
        <v>78</v>
      </c>
      <c r="N193" t="s">
        <v>99</v>
      </c>
      <c r="O193" t="s">
        <v>74</v>
      </c>
      <c r="P193" t="s">
        <v>74</v>
      </c>
      <c r="Q193" t="s">
        <v>74</v>
      </c>
      <c r="R193" t="s">
        <v>74</v>
      </c>
      <c r="S193" t="s">
        <v>74</v>
      </c>
      <c r="T193" t="s">
        <v>4092</v>
      </c>
      <c r="U193" t="s">
        <v>4093</v>
      </c>
      <c r="V193" t="s">
        <v>4094</v>
      </c>
      <c r="W193" t="s">
        <v>4095</v>
      </c>
      <c r="X193" t="s">
        <v>3579</v>
      </c>
      <c r="Y193" t="s">
        <v>4096</v>
      </c>
      <c r="Z193" t="s">
        <v>4097</v>
      </c>
      <c r="AA193" t="s">
        <v>4098</v>
      </c>
      <c r="AB193" t="s">
        <v>4099</v>
      </c>
      <c r="AC193" t="s">
        <v>4100</v>
      </c>
      <c r="AD193" t="s">
        <v>4100</v>
      </c>
      <c r="AE193" t="s">
        <v>4101</v>
      </c>
      <c r="AF193" t="s">
        <v>74</v>
      </c>
      <c r="AG193">
        <v>66</v>
      </c>
      <c r="AH193">
        <v>23</v>
      </c>
      <c r="AI193">
        <v>25</v>
      </c>
      <c r="AJ193">
        <v>3</v>
      </c>
      <c r="AK193">
        <v>28</v>
      </c>
      <c r="AL193" t="s">
        <v>1895</v>
      </c>
      <c r="AM193" t="s">
        <v>1411</v>
      </c>
      <c r="AN193" t="s">
        <v>1896</v>
      </c>
      <c r="AO193" t="s">
        <v>4102</v>
      </c>
      <c r="AP193" t="s">
        <v>74</v>
      </c>
      <c r="AQ193" t="s">
        <v>74</v>
      </c>
      <c r="AR193" t="s">
        <v>4091</v>
      </c>
      <c r="AS193" t="s">
        <v>4103</v>
      </c>
      <c r="AT193" t="s">
        <v>74</v>
      </c>
      <c r="AU193">
        <v>2015</v>
      </c>
      <c r="AV193">
        <v>7</v>
      </c>
      <c r="AW193" t="s">
        <v>74</v>
      </c>
      <c r="AX193" t="s">
        <v>74</v>
      </c>
      <c r="AY193" t="s">
        <v>74</v>
      </c>
      <c r="AZ193" t="s">
        <v>1437</v>
      </c>
      <c r="BA193" t="s">
        <v>74</v>
      </c>
      <c r="BB193" t="s">
        <v>74</v>
      </c>
      <c r="BC193" t="s">
        <v>74</v>
      </c>
      <c r="BD193" t="s">
        <v>4104</v>
      </c>
      <c r="BE193" t="s">
        <v>4105</v>
      </c>
      <c r="BF193" t="str">
        <f>HYPERLINK("http://dx.doi.org/10.1093/aobpla/plv095","http://dx.doi.org/10.1093/aobpla/plv095")</f>
        <v>http://dx.doi.org/10.1093/aobpla/plv095</v>
      </c>
      <c r="BG193" t="s">
        <v>74</v>
      </c>
      <c r="BH193" t="s">
        <v>74</v>
      </c>
      <c r="BI193">
        <v>11</v>
      </c>
      <c r="BJ193" t="s">
        <v>4106</v>
      </c>
      <c r="BK193" t="s">
        <v>91</v>
      </c>
      <c r="BL193" t="s">
        <v>4107</v>
      </c>
      <c r="BM193" t="s">
        <v>4108</v>
      </c>
      <c r="BN193">
        <v>26286223</v>
      </c>
      <c r="BO193" t="s">
        <v>4109</v>
      </c>
      <c r="BP193" t="s">
        <v>74</v>
      </c>
      <c r="BQ193" t="s">
        <v>74</v>
      </c>
      <c r="BR193" t="s">
        <v>93</v>
      </c>
      <c r="BS193" t="s">
        <v>4110</v>
      </c>
      <c r="BT193" t="str">
        <f>HYPERLINK("https%3A%2F%2Fwww.webofscience.com%2Fwos%2Fwoscc%2Ffull-record%2FWOS:000369025800001","View Full Record in Web of Science")</f>
        <v>View Full Record in Web of Science</v>
      </c>
    </row>
    <row r="194" spans="1:72" x14ac:dyDescent="0.15">
      <c r="A194" t="s">
        <v>72</v>
      </c>
      <c r="B194" t="s">
        <v>4111</v>
      </c>
      <c r="C194" t="s">
        <v>74</v>
      </c>
      <c r="D194" t="s">
        <v>74</v>
      </c>
      <c r="E194" t="s">
        <v>74</v>
      </c>
      <c r="F194" t="s">
        <v>4112</v>
      </c>
      <c r="G194" t="s">
        <v>74</v>
      </c>
      <c r="H194" t="s">
        <v>74</v>
      </c>
      <c r="I194" t="s">
        <v>4113</v>
      </c>
      <c r="J194" t="s">
        <v>4114</v>
      </c>
      <c r="K194" t="s">
        <v>74</v>
      </c>
      <c r="L194" t="s">
        <v>74</v>
      </c>
      <c r="M194" t="s">
        <v>78</v>
      </c>
      <c r="N194" t="s">
        <v>99</v>
      </c>
      <c r="O194" t="s">
        <v>74</v>
      </c>
      <c r="P194" t="s">
        <v>74</v>
      </c>
      <c r="Q194" t="s">
        <v>74</v>
      </c>
      <c r="R194" t="s">
        <v>74</v>
      </c>
      <c r="S194" t="s">
        <v>74</v>
      </c>
      <c r="T194" t="s">
        <v>4115</v>
      </c>
      <c r="U194" t="s">
        <v>4116</v>
      </c>
      <c r="V194" t="s">
        <v>4117</v>
      </c>
      <c r="W194" t="s">
        <v>4118</v>
      </c>
      <c r="X194" t="s">
        <v>4119</v>
      </c>
      <c r="Y194" t="s">
        <v>4120</v>
      </c>
      <c r="Z194" t="s">
        <v>4121</v>
      </c>
      <c r="AA194" t="s">
        <v>4122</v>
      </c>
      <c r="AB194" t="s">
        <v>4123</v>
      </c>
      <c r="AC194" t="s">
        <v>4124</v>
      </c>
      <c r="AD194" t="s">
        <v>4124</v>
      </c>
      <c r="AE194" t="s">
        <v>4125</v>
      </c>
      <c r="AF194" t="s">
        <v>74</v>
      </c>
      <c r="AG194">
        <v>50</v>
      </c>
      <c r="AH194">
        <v>21</v>
      </c>
      <c r="AI194">
        <v>21</v>
      </c>
      <c r="AJ194">
        <v>0</v>
      </c>
      <c r="AK194">
        <v>41</v>
      </c>
      <c r="AL194" t="s">
        <v>1175</v>
      </c>
      <c r="AM194" t="s">
        <v>1176</v>
      </c>
      <c r="AN194" t="s">
        <v>2938</v>
      </c>
      <c r="AO194" t="s">
        <v>4126</v>
      </c>
      <c r="AP194" t="s">
        <v>4127</v>
      </c>
      <c r="AQ194" t="s">
        <v>74</v>
      </c>
      <c r="AR194" t="s">
        <v>4114</v>
      </c>
      <c r="AS194" t="s">
        <v>4128</v>
      </c>
      <c r="AT194" t="s">
        <v>2464</v>
      </c>
      <c r="AU194">
        <v>2015</v>
      </c>
      <c r="AV194">
        <v>435</v>
      </c>
      <c r="AW194" t="s">
        <v>74</v>
      </c>
      <c r="AX194" t="s">
        <v>74</v>
      </c>
      <c r="AY194" t="s">
        <v>74</v>
      </c>
      <c r="AZ194" t="s">
        <v>74</v>
      </c>
      <c r="BA194" t="s">
        <v>74</v>
      </c>
      <c r="BB194">
        <v>412</v>
      </c>
      <c r="BC194">
        <v>423</v>
      </c>
      <c r="BD194" t="s">
        <v>74</v>
      </c>
      <c r="BE194" t="s">
        <v>4129</v>
      </c>
      <c r="BF194" t="str">
        <f>HYPERLINK("http://dx.doi.org/10.1016/j.aquaculture.2014.10.007","http://dx.doi.org/10.1016/j.aquaculture.2014.10.007")</f>
        <v>http://dx.doi.org/10.1016/j.aquaculture.2014.10.007</v>
      </c>
      <c r="BG194" t="s">
        <v>74</v>
      </c>
      <c r="BH194" t="s">
        <v>74</v>
      </c>
      <c r="BI194">
        <v>12</v>
      </c>
      <c r="BJ194" t="s">
        <v>4130</v>
      </c>
      <c r="BK194" t="s">
        <v>91</v>
      </c>
      <c r="BL194" t="s">
        <v>4130</v>
      </c>
      <c r="BM194" t="s">
        <v>4131</v>
      </c>
      <c r="BN194" t="s">
        <v>74</v>
      </c>
      <c r="BO194" t="s">
        <v>74</v>
      </c>
      <c r="BP194" t="s">
        <v>74</v>
      </c>
      <c r="BQ194" t="s">
        <v>74</v>
      </c>
      <c r="BR194" t="s">
        <v>93</v>
      </c>
      <c r="BS194" t="s">
        <v>4132</v>
      </c>
      <c r="BT194" t="str">
        <f>HYPERLINK("https%3A%2F%2Fwww.webofscience.com%2Fwos%2Fwoscc%2Ffull-record%2FWOS:000345229500057","View Full Record in Web of Science")</f>
        <v>View Full Record in Web of Science</v>
      </c>
    </row>
    <row r="195" spans="1:72" x14ac:dyDescent="0.15">
      <c r="A195" t="s">
        <v>72</v>
      </c>
      <c r="B195" t="s">
        <v>4133</v>
      </c>
      <c r="C195" t="s">
        <v>74</v>
      </c>
      <c r="D195" t="s">
        <v>74</v>
      </c>
      <c r="E195" t="s">
        <v>74</v>
      </c>
      <c r="F195" t="s">
        <v>4134</v>
      </c>
      <c r="G195" t="s">
        <v>74</v>
      </c>
      <c r="H195" t="s">
        <v>74</v>
      </c>
      <c r="I195" t="s">
        <v>4135</v>
      </c>
      <c r="J195" t="s">
        <v>4136</v>
      </c>
      <c r="K195" t="s">
        <v>74</v>
      </c>
      <c r="L195" t="s">
        <v>74</v>
      </c>
      <c r="M195" t="s">
        <v>78</v>
      </c>
      <c r="N195" t="s">
        <v>99</v>
      </c>
      <c r="O195" t="s">
        <v>74</v>
      </c>
      <c r="P195" t="s">
        <v>74</v>
      </c>
      <c r="Q195" t="s">
        <v>74</v>
      </c>
      <c r="R195" t="s">
        <v>74</v>
      </c>
      <c r="S195" t="s">
        <v>74</v>
      </c>
      <c r="T195" t="s">
        <v>4137</v>
      </c>
      <c r="U195" t="s">
        <v>4138</v>
      </c>
      <c r="V195" t="s">
        <v>4139</v>
      </c>
      <c r="W195" t="s">
        <v>4140</v>
      </c>
      <c r="X195" t="s">
        <v>4141</v>
      </c>
      <c r="Y195" t="s">
        <v>4142</v>
      </c>
      <c r="Z195" t="s">
        <v>4143</v>
      </c>
      <c r="AA195" t="s">
        <v>4144</v>
      </c>
      <c r="AB195" t="s">
        <v>4145</v>
      </c>
      <c r="AC195" t="s">
        <v>4146</v>
      </c>
      <c r="AD195" t="s">
        <v>4147</v>
      </c>
      <c r="AE195" t="s">
        <v>4148</v>
      </c>
      <c r="AF195" t="s">
        <v>74</v>
      </c>
      <c r="AG195">
        <v>36</v>
      </c>
      <c r="AH195">
        <v>26</v>
      </c>
      <c r="AI195">
        <v>27</v>
      </c>
      <c r="AJ195">
        <v>2</v>
      </c>
      <c r="AK195">
        <v>29</v>
      </c>
      <c r="AL195" t="s">
        <v>1219</v>
      </c>
      <c r="AM195" t="s">
        <v>1220</v>
      </c>
      <c r="AN195" t="s">
        <v>1221</v>
      </c>
      <c r="AO195" t="s">
        <v>4149</v>
      </c>
      <c r="AP195" t="s">
        <v>4150</v>
      </c>
      <c r="AQ195" t="s">
        <v>74</v>
      </c>
      <c r="AR195" t="s">
        <v>4151</v>
      </c>
      <c r="AS195" t="s">
        <v>4152</v>
      </c>
      <c r="AT195" t="s">
        <v>74</v>
      </c>
      <c r="AU195">
        <v>2015</v>
      </c>
      <c r="AV195">
        <v>7</v>
      </c>
      <c r="AW195">
        <v>1</v>
      </c>
      <c r="AX195" t="s">
        <v>74</v>
      </c>
      <c r="AY195" t="s">
        <v>74</v>
      </c>
      <c r="AZ195" t="s">
        <v>74</v>
      </c>
      <c r="BA195" t="s">
        <v>74</v>
      </c>
      <c r="BB195">
        <v>67</v>
      </c>
      <c r="BC195">
        <v>74</v>
      </c>
      <c r="BD195" t="s">
        <v>74</v>
      </c>
      <c r="BE195" t="s">
        <v>4153</v>
      </c>
      <c r="BF195" t="str">
        <f>HYPERLINK("http://dx.doi.org/10.3354/aei00137","http://dx.doi.org/10.3354/aei00137")</f>
        <v>http://dx.doi.org/10.3354/aei00137</v>
      </c>
      <c r="BG195" t="s">
        <v>74</v>
      </c>
      <c r="BH195" t="s">
        <v>74</v>
      </c>
      <c r="BI195">
        <v>8</v>
      </c>
      <c r="BJ195" t="s">
        <v>4130</v>
      </c>
      <c r="BK195" t="s">
        <v>91</v>
      </c>
      <c r="BL195" t="s">
        <v>4130</v>
      </c>
      <c r="BM195" t="s">
        <v>4154</v>
      </c>
      <c r="BN195" t="s">
        <v>74</v>
      </c>
      <c r="BO195" t="s">
        <v>4155</v>
      </c>
      <c r="BP195" t="s">
        <v>74</v>
      </c>
      <c r="BQ195" t="s">
        <v>74</v>
      </c>
      <c r="BR195" t="s">
        <v>93</v>
      </c>
      <c r="BS195" t="s">
        <v>4156</v>
      </c>
      <c r="BT195" t="str">
        <f>HYPERLINK("https%3A%2F%2Fwww.webofscience.com%2Fwos%2Fwoscc%2Ffull-record%2FWOS:000360012300006","View Full Record in Web of Science")</f>
        <v>View Full Record in Web of Science</v>
      </c>
    </row>
    <row r="196" spans="1:72" x14ac:dyDescent="0.15">
      <c r="A196" t="s">
        <v>295</v>
      </c>
      <c r="B196" t="s">
        <v>4157</v>
      </c>
      <c r="C196" t="s">
        <v>74</v>
      </c>
      <c r="D196" t="s">
        <v>4158</v>
      </c>
      <c r="E196" t="s">
        <v>74</v>
      </c>
      <c r="F196" t="s">
        <v>4159</v>
      </c>
      <c r="G196" t="s">
        <v>74</v>
      </c>
      <c r="H196" t="s">
        <v>74</v>
      </c>
      <c r="I196" t="s">
        <v>4160</v>
      </c>
      <c r="J196" t="s">
        <v>4161</v>
      </c>
      <c r="K196" t="s">
        <v>74</v>
      </c>
      <c r="L196" t="s">
        <v>74</v>
      </c>
      <c r="M196" t="s">
        <v>4162</v>
      </c>
      <c r="N196" t="s">
        <v>301</v>
      </c>
      <c r="O196" t="s">
        <v>4163</v>
      </c>
      <c r="P196" t="s">
        <v>4164</v>
      </c>
      <c r="Q196" t="s">
        <v>4165</v>
      </c>
      <c r="R196" t="s">
        <v>74</v>
      </c>
      <c r="S196" t="s">
        <v>74</v>
      </c>
      <c r="T196" t="s">
        <v>4166</v>
      </c>
      <c r="U196" t="s">
        <v>4167</v>
      </c>
      <c r="V196" t="s">
        <v>4168</v>
      </c>
      <c r="W196" t="s">
        <v>4169</v>
      </c>
      <c r="X196" t="s">
        <v>4170</v>
      </c>
      <c r="Y196" t="s">
        <v>4171</v>
      </c>
      <c r="Z196" t="s">
        <v>74</v>
      </c>
      <c r="AA196" t="s">
        <v>4172</v>
      </c>
      <c r="AB196" t="s">
        <v>74</v>
      </c>
      <c r="AC196" t="s">
        <v>74</v>
      </c>
      <c r="AD196" t="s">
        <v>74</v>
      </c>
      <c r="AE196" t="s">
        <v>74</v>
      </c>
      <c r="AF196" t="s">
        <v>74</v>
      </c>
      <c r="AG196">
        <v>8</v>
      </c>
      <c r="AH196">
        <v>0</v>
      </c>
      <c r="AI196">
        <v>0</v>
      </c>
      <c r="AJ196">
        <v>0</v>
      </c>
      <c r="AK196">
        <v>0</v>
      </c>
      <c r="AL196" t="s">
        <v>4173</v>
      </c>
      <c r="AM196" t="s">
        <v>4174</v>
      </c>
      <c r="AN196" t="s">
        <v>4175</v>
      </c>
      <c r="AO196" t="s">
        <v>74</v>
      </c>
      <c r="AP196" t="s">
        <v>74</v>
      </c>
      <c r="AQ196" t="s">
        <v>4176</v>
      </c>
      <c r="AR196" t="s">
        <v>74</v>
      </c>
      <c r="AS196" t="s">
        <v>74</v>
      </c>
      <c r="AT196" t="s">
        <v>74</v>
      </c>
      <c r="AU196">
        <v>2015</v>
      </c>
      <c r="AV196" t="s">
        <v>74</v>
      </c>
      <c r="AW196" t="s">
        <v>74</v>
      </c>
      <c r="AX196" t="s">
        <v>74</v>
      </c>
      <c r="AY196" t="s">
        <v>74</v>
      </c>
      <c r="AZ196" t="s">
        <v>74</v>
      </c>
      <c r="BA196" t="s">
        <v>74</v>
      </c>
      <c r="BB196">
        <v>65</v>
      </c>
      <c r="BC196">
        <v>68</v>
      </c>
      <c r="BD196" t="s">
        <v>74</v>
      </c>
      <c r="BE196" t="s">
        <v>74</v>
      </c>
      <c r="BF196" t="s">
        <v>74</v>
      </c>
      <c r="BG196" t="s">
        <v>74</v>
      </c>
      <c r="BH196" t="s">
        <v>74</v>
      </c>
      <c r="BI196">
        <v>4</v>
      </c>
      <c r="BJ196" t="s">
        <v>1953</v>
      </c>
      <c r="BK196" t="s">
        <v>320</v>
      </c>
      <c r="BL196" t="s">
        <v>1954</v>
      </c>
      <c r="BM196" t="s">
        <v>4177</v>
      </c>
      <c r="BN196" t="s">
        <v>74</v>
      </c>
      <c r="BO196" t="s">
        <v>74</v>
      </c>
      <c r="BP196" t="s">
        <v>74</v>
      </c>
      <c r="BQ196" t="s">
        <v>74</v>
      </c>
      <c r="BR196" t="s">
        <v>93</v>
      </c>
      <c r="BS196" t="s">
        <v>4178</v>
      </c>
      <c r="BT196" t="str">
        <f>HYPERLINK("https%3A%2F%2Fwww.webofscience.com%2Fwos%2Fwoscc%2Ffull-record%2FWOS:000392502400019","View Full Record in Web of Science")</f>
        <v>View Full Record in Web of Science</v>
      </c>
    </row>
    <row r="197" spans="1:72" x14ac:dyDescent="0.15">
      <c r="A197" t="s">
        <v>72</v>
      </c>
      <c r="B197" t="s">
        <v>4179</v>
      </c>
      <c r="C197" t="s">
        <v>74</v>
      </c>
      <c r="D197" t="s">
        <v>74</v>
      </c>
      <c r="E197" t="s">
        <v>74</v>
      </c>
      <c r="F197" t="s">
        <v>4180</v>
      </c>
      <c r="G197" t="s">
        <v>74</v>
      </c>
      <c r="H197" t="s">
        <v>74</v>
      </c>
      <c r="I197" t="s">
        <v>4181</v>
      </c>
      <c r="J197" t="s">
        <v>3089</v>
      </c>
      <c r="K197" t="s">
        <v>74</v>
      </c>
      <c r="L197" t="s">
        <v>74</v>
      </c>
      <c r="M197" t="s">
        <v>78</v>
      </c>
      <c r="N197" t="s">
        <v>99</v>
      </c>
      <c r="O197" t="s">
        <v>74</v>
      </c>
      <c r="P197" t="s">
        <v>74</v>
      </c>
      <c r="Q197" t="s">
        <v>74</v>
      </c>
      <c r="R197" t="s">
        <v>74</v>
      </c>
      <c r="S197" t="s">
        <v>74</v>
      </c>
      <c r="T197" t="s">
        <v>4182</v>
      </c>
      <c r="U197" t="s">
        <v>4183</v>
      </c>
      <c r="V197" t="s">
        <v>4184</v>
      </c>
      <c r="W197" t="s">
        <v>4185</v>
      </c>
      <c r="X197" t="s">
        <v>4186</v>
      </c>
      <c r="Y197" t="s">
        <v>4187</v>
      </c>
      <c r="Z197" t="s">
        <v>4188</v>
      </c>
      <c r="AA197" t="s">
        <v>74</v>
      </c>
      <c r="AB197" t="s">
        <v>4189</v>
      </c>
      <c r="AC197" t="s">
        <v>4190</v>
      </c>
      <c r="AD197" t="s">
        <v>4191</v>
      </c>
      <c r="AE197" t="s">
        <v>4192</v>
      </c>
      <c r="AF197" t="s">
        <v>74</v>
      </c>
      <c r="AG197">
        <v>88</v>
      </c>
      <c r="AH197">
        <v>6</v>
      </c>
      <c r="AI197">
        <v>7</v>
      </c>
      <c r="AJ197">
        <v>0</v>
      </c>
      <c r="AK197">
        <v>14</v>
      </c>
      <c r="AL197" t="s">
        <v>3102</v>
      </c>
      <c r="AM197" t="s">
        <v>3103</v>
      </c>
      <c r="AN197" t="s">
        <v>3104</v>
      </c>
      <c r="AO197" t="s">
        <v>3105</v>
      </c>
      <c r="AP197" t="s">
        <v>3106</v>
      </c>
      <c r="AQ197" t="s">
        <v>74</v>
      </c>
      <c r="AR197" t="s">
        <v>3107</v>
      </c>
      <c r="AS197" t="s">
        <v>3108</v>
      </c>
      <c r="AT197" t="s">
        <v>200</v>
      </c>
      <c r="AU197">
        <v>2015</v>
      </c>
      <c r="AV197">
        <v>149</v>
      </c>
      <c r="AW197">
        <v>1</v>
      </c>
      <c r="AX197" t="s">
        <v>74</v>
      </c>
      <c r="AY197" t="s">
        <v>74</v>
      </c>
      <c r="AZ197" t="s">
        <v>74</v>
      </c>
      <c r="BA197" t="s">
        <v>74</v>
      </c>
      <c r="BB197" t="s">
        <v>74</v>
      </c>
      <c r="BC197" t="s">
        <v>74</v>
      </c>
      <c r="BD197">
        <v>25</v>
      </c>
      <c r="BE197" t="s">
        <v>4193</v>
      </c>
      <c r="BF197" t="str">
        <f>HYPERLINK("http://dx.doi.org/10.1088/0004-6256/149/1/25","http://dx.doi.org/10.1088/0004-6256/149/1/25")</f>
        <v>http://dx.doi.org/10.1088/0004-6256/149/1/25</v>
      </c>
      <c r="BG197" t="s">
        <v>74</v>
      </c>
      <c r="BH197" t="s">
        <v>74</v>
      </c>
      <c r="BI197">
        <v>20</v>
      </c>
      <c r="BJ197" t="s">
        <v>2079</v>
      </c>
      <c r="BK197" t="s">
        <v>91</v>
      </c>
      <c r="BL197" t="s">
        <v>2079</v>
      </c>
      <c r="BM197" t="s">
        <v>3110</v>
      </c>
      <c r="BN197" t="s">
        <v>74</v>
      </c>
      <c r="BO197" t="s">
        <v>3478</v>
      </c>
      <c r="BP197" t="s">
        <v>74</v>
      </c>
      <c r="BQ197" t="s">
        <v>74</v>
      </c>
      <c r="BR197" t="s">
        <v>93</v>
      </c>
      <c r="BS197" t="s">
        <v>4194</v>
      </c>
      <c r="BT197" t="str">
        <f>HYPERLINK("https%3A%2F%2Fwww.webofscience.com%2Fwos%2Fwoscc%2Ffull-record%2FWOS:000347308300024","View Full Record in Web of Science")</f>
        <v>View Full Record in Web of Science</v>
      </c>
    </row>
    <row r="198" spans="1:72" x14ac:dyDescent="0.15">
      <c r="A198" t="s">
        <v>72</v>
      </c>
      <c r="B198" t="s">
        <v>4195</v>
      </c>
      <c r="C198" t="s">
        <v>74</v>
      </c>
      <c r="D198" t="s">
        <v>74</v>
      </c>
      <c r="E198" t="s">
        <v>74</v>
      </c>
      <c r="F198" t="s">
        <v>4196</v>
      </c>
      <c r="G198" t="s">
        <v>74</v>
      </c>
      <c r="H198" t="s">
        <v>74</v>
      </c>
      <c r="I198" t="s">
        <v>4197</v>
      </c>
      <c r="J198" t="s">
        <v>480</v>
      </c>
      <c r="K198" t="s">
        <v>74</v>
      </c>
      <c r="L198" t="s">
        <v>74</v>
      </c>
      <c r="M198" t="s">
        <v>78</v>
      </c>
      <c r="N198" t="s">
        <v>99</v>
      </c>
      <c r="O198" t="s">
        <v>74</v>
      </c>
      <c r="P198" t="s">
        <v>74</v>
      </c>
      <c r="Q198" t="s">
        <v>74</v>
      </c>
      <c r="R198" t="s">
        <v>74</v>
      </c>
      <c r="S198" t="s">
        <v>74</v>
      </c>
      <c r="T198" t="s">
        <v>74</v>
      </c>
      <c r="U198" t="s">
        <v>4198</v>
      </c>
      <c r="V198" t="s">
        <v>4199</v>
      </c>
      <c r="W198" t="s">
        <v>4200</v>
      </c>
      <c r="X198" t="s">
        <v>4201</v>
      </c>
      <c r="Y198" t="s">
        <v>4202</v>
      </c>
      <c r="Z198" t="s">
        <v>4203</v>
      </c>
      <c r="AA198" t="s">
        <v>4204</v>
      </c>
      <c r="AB198" t="s">
        <v>4205</v>
      </c>
      <c r="AC198" t="s">
        <v>4206</v>
      </c>
      <c r="AD198" t="s">
        <v>4207</v>
      </c>
      <c r="AE198" t="s">
        <v>4208</v>
      </c>
      <c r="AF198" t="s">
        <v>74</v>
      </c>
      <c r="AG198">
        <v>65</v>
      </c>
      <c r="AH198">
        <v>17</v>
      </c>
      <c r="AI198">
        <v>18</v>
      </c>
      <c r="AJ198">
        <v>4</v>
      </c>
      <c r="AK198">
        <v>27</v>
      </c>
      <c r="AL198" t="s">
        <v>244</v>
      </c>
      <c r="AM198" t="s">
        <v>245</v>
      </c>
      <c r="AN198" t="s">
        <v>246</v>
      </c>
      <c r="AO198" t="s">
        <v>492</v>
      </c>
      <c r="AP198" t="s">
        <v>493</v>
      </c>
      <c r="AQ198" t="s">
        <v>74</v>
      </c>
      <c r="AR198" t="s">
        <v>494</v>
      </c>
      <c r="AS198" t="s">
        <v>495</v>
      </c>
      <c r="AT198" t="s">
        <v>74</v>
      </c>
      <c r="AU198">
        <v>2015</v>
      </c>
      <c r="AV198">
        <v>15</v>
      </c>
      <c r="AW198">
        <v>2</v>
      </c>
      <c r="AX198" t="s">
        <v>74</v>
      </c>
      <c r="AY198" t="s">
        <v>74</v>
      </c>
      <c r="AZ198" t="s">
        <v>74</v>
      </c>
      <c r="BA198" t="s">
        <v>74</v>
      </c>
      <c r="BB198">
        <v>563</v>
      </c>
      <c r="BC198">
        <v>582</v>
      </c>
      <c r="BD198" t="s">
        <v>74</v>
      </c>
      <c r="BE198" t="s">
        <v>4209</v>
      </c>
      <c r="BF198" t="str">
        <f>HYPERLINK("http://dx.doi.org/10.5194/acp-15-563-2015","http://dx.doi.org/10.5194/acp-15-563-2015")</f>
        <v>http://dx.doi.org/10.5194/acp-15-563-2015</v>
      </c>
      <c r="BG198" t="s">
        <v>74</v>
      </c>
      <c r="BH198" t="s">
        <v>74</v>
      </c>
      <c r="BI198">
        <v>20</v>
      </c>
      <c r="BJ198" t="s">
        <v>497</v>
      </c>
      <c r="BK198" t="s">
        <v>91</v>
      </c>
      <c r="BL198" t="s">
        <v>498</v>
      </c>
      <c r="BM198" t="s">
        <v>4210</v>
      </c>
      <c r="BN198" t="s">
        <v>74</v>
      </c>
      <c r="BO198" t="s">
        <v>4211</v>
      </c>
      <c r="BP198" t="s">
        <v>74</v>
      </c>
      <c r="BQ198" t="s">
        <v>74</v>
      </c>
      <c r="BR198" t="s">
        <v>93</v>
      </c>
      <c r="BS198" t="s">
        <v>4212</v>
      </c>
      <c r="BT198" t="str">
        <f>HYPERLINK("https%3A%2F%2Fwww.webofscience.com%2Fwos%2Fwoscc%2Ffull-record%2FWOS:000347958500001","View Full Record in Web of Science")</f>
        <v>View Full Record in Web of Science</v>
      </c>
    </row>
    <row r="199" spans="1:72" x14ac:dyDescent="0.15">
      <c r="A199" t="s">
        <v>72</v>
      </c>
      <c r="B199" t="s">
        <v>4213</v>
      </c>
      <c r="C199" t="s">
        <v>74</v>
      </c>
      <c r="D199" t="s">
        <v>74</v>
      </c>
      <c r="E199" t="s">
        <v>74</v>
      </c>
      <c r="F199" t="s">
        <v>4214</v>
      </c>
      <c r="G199" t="s">
        <v>74</v>
      </c>
      <c r="H199" t="s">
        <v>74</v>
      </c>
      <c r="I199" t="s">
        <v>4215</v>
      </c>
      <c r="J199" t="s">
        <v>480</v>
      </c>
      <c r="K199" t="s">
        <v>74</v>
      </c>
      <c r="L199" t="s">
        <v>74</v>
      </c>
      <c r="M199" t="s">
        <v>78</v>
      </c>
      <c r="N199" t="s">
        <v>99</v>
      </c>
      <c r="O199" t="s">
        <v>74</v>
      </c>
      <c r="P199" t="s">
        <v>74</v>
      </c>
      <c r="Q199" t="s">
        <v>74</v>
      </c>
      <c r="R199" t="s">
        <v>74</v>
      </c>
      <c r="S199" t="s">
        <v>74</v>
      </c>
      <c r="T199" t="s">
        <v>74</v>
      </c>
      <c r="U199" t="s">
        <v>4216</v>
      </c>
      <c r="V199" t="s">
        <v>4217</v>
      </c>
      <c r="W199" t="s">
        <v>4218</v>
      </c>
      <c r="X199" t="s">
        <v>4219</v>
      </c>
      <c r="Y199" t="s">
        <v>4220</v>
      </c>
      <c r="Z199" t="s">
        <v>4221</v>
      </c>
      <c r="AA199" t="s">
        <v>4222</v>
      </c>
      <c r="AB199" t="s">
        <v>4223</v>
      </c>
      <c r="AC199" t="s">
        <v>4224</v>
      </c>
      <c r="AD199" t="s">
        <v>4225</v>
      </c>
      <c r="AE199" t="s">
        <v>4226</v>
      </c>
      <c r="AF199" t="s">
        <v>74</v>
      </c>
      <c r="AG199">
        <v>57</v>
      </c>
      <c r="AH199">
        <v>21</v>
      </c>
      <c r="AI199">
        <v>21</v>
      </c>
      <c r="AJ199">
        <v>0</v>
      </c>
      <c r="AK199">
        <v>6</v>
      </c>
      <c r="AL199" t="s">
        <v>244</v>
      </c>
      <c r="AM199" t="s">
        <v>245</v>
      </c>
      <c r="AN199" t="s">
        <v>246</v>
      </c>
      <c r="AO199" t="s">
        <v>492</v>
      </c>
      <c r="AP199" t="s">
        <v>493</v>
      </c>
      <c r="AQ199" t="s">
        <v>74</v>
      </c>
      <c r="AR199" t="s">
        <v>494</v>
      </c>
      <c r="AS199" t="s">
        <v>495</v>
      </c>
      <c r="AT199" t="s">
        <v>74</v>
      </c>
      <c r="AU199">
        <v>2015</v>
      </c>
      <c r="AV199">
        <v>15</v>
      </c>
      <c r="AW199">
        <v>2</v>
      </c>
      <c r="AX199" t="s">
        <v>74</v>
      </c>
      <c r="AY199" t="s">
        <v>74</v>
      </c>
      <c r="AZ199" t="s">
        <v>74</v>
      </c>
      <c r="BA199" t="s">
        <v>74</v>
      </c>
      <c r="BB199">
        <v>1071</v>
      </c>
      <c r="BC199">
        <v>1086</v>
      </c>
      <c r="BD199" t="s">
        <v>74</v>
      </c>
      <c r="BE199" t="s">
        <v>4227</v>
      </c>
      <c r="BF199" t="str">
        <f>HYPERLINK("http://dx.doi.org/10.5194/acp-15-1071-2015","http://dx.doi.org/10.5194/acp-15-1071-2015")</f>
        <v>http://dx.doi.org/10.5194/acp-15-1071-2015</v>
      </c>
      <c r="BG199" t="s">
        <v>74</v>
      </c>
      <c r="BH199" t="s">
        <v>74</v>
      </c>
      <c r="BI199">
        <v>16</v>
      </c>
      <c r="BJ199" t="s">
        <v>497</v>
      </c>
      <c r="BK199" t="s">
        <v>91</v>
      </c>
      <c r="BL199" t="s">
        <v>498</v>
      </c>
      <c r="BM199" t="s">
        <v>4228</v>
      </c>
      <c r="BN199" t="s">
        <v>74</v>
      </c>
      <c r="BO199" t="s">
        <v>4229</v>
      </c>
      <c r="BP199" t="s">
        <v>74</v>
      </c>
      <c r="BQ199" t="s">
        <v>74</v>
      </c>
      <c r="BR199" t="s">
        <v>93</v>
      </c>
      <c r="BS199" t="s">
        <v>4230</v>
      </c>
      <c r="BT199" t="str">
        <f>HYPERLINK("https%3A%2F%2Fwww.webofscience.com%2Fwos%2Fwoscc%2Ffull-record%2FWOS:000351170000019","View Full Record in Web of Science")</f>
        <v>View Full Record in Web of Science</v>
      </c>
    </row>
    <row r="200" spans="1:72" x14ac:dyDescent="0.15">
      <c r="A200" t="s">
        <v>72</v>
      </c>
      <c r="B200" t="s">
        <v>4231</v>
      </c>
      <c r="C200" t="s">
        <v>74</v>
      </c>
      <c r="D200" t="s">
        <v>74</v>
      </c>
      <c r="E200" t="s">
        <v>74</v>
      </c>
      <c r="F200" t="s">
        <v>4232</v>
      </c>
      <c r="G200" t="s">
        <v>74</v>
      </c>
      <c r="H200" t="s">
        <v>74</v>
      </c>
      <c r="I200" t="s">
        <v>4233</v>
      </c>
      <c r="J200" t="s">
        <v>480</v>
      </c>
      <c r="K200" t="s">
        <v>74</v>
      </c>
      <c r="L200" t="s">
        <v>74</v>
      </c>
      <c r="M200" t="s">
        <v>78</v>
      </c>
      <c r="N200" t="s">
        <v>99</v>
      </c>
      <c r="O200" t="s">
        <v>74</v>
      </c>
      <c r="P200" t="s">
        <v>74</v>
      </c>
      <c r="Q200" t="s">
        <v>74</v>
      </c>
      <c r="R200" t="s">
        <v>74</v>
      </c>
      <c r="S200" t="s">
        <v>74</v>
      </c>
      <c r="T200" t="s">
        <v>74</v>
      </c>
      <c r="U200" t="s">
        <v>4234</v>
      </c>
      <c r="V200" t="s">
        <v>4235</v>
      </c>
      <c r="W200" t="s">
        <v>4236</v>
      </c>
      <c r="X200" t="s">
        <v>4237</v>
      </c>
      <c r="Y200" t="s">
        <v>4238</v>
      </c>
      <c r="Z200" t="s">
        <v>4239</v>
      </c>
      <c r="AA200" t="s">
        <v>4240</v>
      </c>
      <c r="AB200" t="s">
        <v>4241</v>
      </c>
      <c r="AC200" t="s">
        <v>4242</v>
      </c>
      <c r="AD200" t="s">
        <v>4243</v>
      </c>
      <c r="AE200" t="s">
        <v>4244</v>
      </c>
      <c r="AF200" t="s">
        <v>74</v>
      </c>
      <c r="AG200">
        <v>56</v>
      </c>
      <c r="AH200">
        <v>28</v>
      </c>
      <c r="AI200">
        <v>29</v>
      </c>
      <c r="AJ200">
        <v>0</v>
      </c>
      <c r="AK200">
        <v>17</v>
      </c>
      <c r="AL200" t="s">
        <v>244</v>
      </c>
      <c r="AM200" t="s">
        <v>245</v>
      </c>
      <c r="AN200" t="s">
        <v>246</v>
      </c>
      <c r="AO200" t="s">
        <v>492</v>
      </c>
      <c r="AP200" t="s">
        <v>493</v>
      </c>
      <c r="AQ200" t="s">
        <v>74</v>
      </c>
      <c r="AR200" t="s">
        <v>494</v>
      </c>
      <c r="AS200" t="s">
        <v>495</v>
      </c>
      <c r="AT200" t="s">
        <v>74</v>
      </c>
      <c r="AU200">
        <v>2015</v>
      </c>
      <c r="AV200">
        <v>15</v>
      </c>
      <c r="AW200">
        <v>4</v>
      </c>
      <c r="AX200" t="s">
        <v>74</v>
      </c>
      <c r="AY200" t="s">
        <v>74</v>
      </c>
      <c r="AZ200" t="s">
        <v>74</v>
      </c>
      <c r="BA200" t="s">
        <v>74</v>
      </c>
      <c r="BB200">
        <v>2019</v>
      </c>
      <c r="BC200">
        <v>2030</v>
      </c>
      <c r="BD200" t="s">
        <v>74</v>
      </c>
      <c r="BE200" t="s">
        <v>4245</v>
      </c>
      <c r="BF200" t="str">
        <f>HYPERLINK("http://dx.doi.org/10.5194/acp-15-2019-2015","http://dx.doi.org/10.5194/acp-15-2019-2015")</f>
        <v>http://dx.doi.org/10.5194/acp-15-2019-2015</v>
      </c>
      <c r="BG200" t="s">
        <v>74</v>
      </c>
      <c r="BH200" t="s">
        <v>74</v>
      </c>
      <c r="BI200">
        <v>12</v>
      </c>
      <c r="BJ200" t="s">
        <v>497</v>
      </c>
      <c r="BK200" t="s">
        <v>91</v>
      </c>
      <c r="BL200" t="s">
        <v>498</v>
      </c>
      <c r="BM200" t="s">
        <v>4246</v>
      </c>
      <c r="BN200" t="s">
        <v>74</v>
      </c>
      <c r="BO200" t="s">
        <v>228</v>
      </c>
      <c r="BP200" t="s">
        <v>74</v>
      </c>
      <c r="BQ200" t="s">
        <v>74</v>
      </c>
      <c r="BR200" t="s">
        <v>93</v>
      </c>
      <c r="BS200" t="s">
        <v>4247</v>
      </c>
      <c r="BT200" t="str">
        <f>HYPERLINK("https%3A%2F%2Fwww.webofscience.com%2Fwos%2Fwoscc%2Ffull-record%2FWOS:000351197000003","View Full Record in Web of Science")</f>
        <v>View Full Record in Web of Science</v>
      </c>
    </row>
    <row r="201" spans="1:72" x14ac:dyDescent="0.15">
      <c r="A201" t="s">
        <v>72</v>
      </c>
      <c r="B201" t="s">
        <v>4248</v>
      </c>
      <c r="C201" t="s">
        <v>74</v>
      </c>
      <c r="D201" t="s">
        <v>74</v>
      </c>
      <c r="E201" t="s">
        <v>74</v>
      </c>
      <c r="F201" t="s">
        <v>4249</v>
      </c>
      <c r="G201" t="s">
        <v>74</v>
      </c>
      <c r="H201" t="s">
        <v>74</v>
      </c>
      <c r="I201" t="s">
        <v>4250</v>
      </c>
      <c r="J201" t="s">
        <v>480</v>
      </c>
      <c r="K201" t="s">
        <v>74</v>
      </c>
      <c r="L201" t="s">
        <v>74</v>
      </c>
      <c r="M201" t="s">
        <v>78</v>
      </c>
      <c r="N201" t="s">
        <v>99</v>
      </c>
      <c r="O201" t="s">
        <v>74</v>
      </c>
      <c r="P201" t="s">
        <v>74</v>
      </c>
      <c r="Q201" t="s">
        <v>74</v>
      </c>
      <c r="R201" t="s">
        <v>74</v>
      </c>
      <c r="S201" t="s">
        <v>74</v>
      </c>
      <c r="T201" t="s">
        <v>74</v>
      </c>
      <c r="U201" t="s">
        <v>4251</v>
      </c>
      <c r="V201" t="s">
        <v>4252</v>
      </c>
      <c r="W201" t="s">
        <v>4253</v>
      </c>
      <c r="X201" t="s">
        <v>4254</v>
      </c>
      <c r="Y201" t="s">
        <v>4255</v>
      </c>
      <c r="Z201" t="s">
        <v>4256</v>
      </c>
      <c r="AA201" t="s">
        <v>4257</v>
      </c>
      <c r="AB201" t="s">
        <v>4258</v>
      </c>
      <c r="AC201" t="s">
        <v>4259</v>
      </c>
      <c r="AD201" t="s">
        <v>4260</v>
      </c>
      <c r="AE201" t="s">
        <v>4261</v>
      </c>
      <c r="AF201" t="s">
        <v>74</v>
      </c>
      <c r="AG201">
        <v>89</v>
      </c>
      <c r="AH201">
        <v>96</v>
      </c>
      <c r="AI201">
        <v>103</v>
      </c>
      <c r="AJ201">
        <v>9</v>
      </c>
      <c r="AK201">
        <v>118</v>
      </c>
      <c r="AL201" t="s">
        <v>244</v>
      </c>
      <c r="AM201" t="s">
        <v>245</v>
      </c>
      <c r="AN201" t="s">
        <v>246</v>
      </c>
      <c r="AO201" t="s">
        <v>492</v>
      </c>
      <c r="AP201" t="s">
        <v>493</v>
      </c>
      <c r="AQ201" t="s">
        <v>74</v>
      </c>
      <c r="AR201" t="s">
        <v>494</v>
      </c>
      <c r="AS201" t="s">
        <v>495</v>
      </c>
      <c r="AT201" t="s">
        <v>74</v>
      </c>
      <c r="AU201">
        <v>2015</v>
      </c>
      <c r="AV201">
        <v>15</v>
      </c>
      <c r="AW201">
        <v>5</v>
      </c>
      <c r="AX201" t="s">
        <v>74</v>
      </c>
      <c r="AY201" t="s">
        <v>74</v>
      </c>
      <c r="AZ201" t="s">
        <v>74</v>
      </c>
      <c r="BA201" t="s">
        <v>74</v>
      </c>
      <c r="BB201">
        <v>2595</v>
      </c>
      <c r="BC201">
        <v>2612</v>
      </c>
      <c r="BD201" t="s">
        <v>74</v>
      </c>
      <c r="BE201" t="s">
        <v>4262</v>
      </c>
      <c r="BF201" t="str">
        <f>HYPERLINK("http://dx.doi.org/10.5194/acp-15-2595-2015","http://dx.doi.org/10.5194/acp-15-2595-2015")</f>
        <v>http://dx.doi.org/10.5194/acp-15-2595-2015</v>
      </c>
      <c r="BG201" t="s">
        <v>74</v>
      </c>
      <c r="BH201" t="s">
        <v>74</v>
      </c>
      <c r="BI201">
        <v>18</v>
      </c>
      <c r="BJ201" t="s">
        <v>497</v>
      </c>
      <c r="BK201" t="s">
        <v>91</v>
      </c>
      <c r="BL201" t="s">
        <v>498</v>
      </c>
      <c r="BM201" t="s">
        <v>1766</v>
      </c>
      <c r="BN201" t="s">
        <v>74</v>
      </c>
      <c r="BO201" t="s">
        <v>1136</v>
      </c>
      <c r="BP201" t="s">
        <v>74</v>
      </c>
      <c r="BQ201" t="s">
        <v>74</v>
      </c>
      <c r="BR201" t="s">
        <v>93</v>
      </c>
      <c r="BS201" t="s">
        <v>4263</v>
      </c>
      <c r="BT201" t="str">
        <f>HYPERLINK("https%3A%2F%2Fwww.webofscience.com%2Fwos%2Fwoscc%2Ffull-record%2FWOS:000350559700024","View Full Record in Web of Science")</f>
        <v>View Full Record in Web of Science</v>
      </c>
    </row>
    <row r="202" spans="1:72" x14ac:dyDescent="0.15">
      <c r="A202" t="s">
        <v>72</v>
      </c>
      <c r="B202" t="s">
        <v>4264</v>
      </c>
      <c r="C202" t="s">
        <v>74</v>
      </c>
      <c r="D202" t="s">
        <v>74</v>
      </c>
      <c r="E202" t="s">
        <v>74</v>
      </c>
      <c r="F202" t="s">
        <v>4265</v>
      </c>
      <c r="G202" t="s">
        <v>74</v>
      </c>
      <c r="H202" t="s">
        <v>74</v>
      </c>
      <c r="I202" t="s">
        <v>4266</v>
      </c>
      <c r="J202" t="s">
        <v>480</v>
      </c>
      <c r="K202" t="s">
        <v>74</v>
      </c>
      <c r="L202" t="s">
        <v>74</v>
      </c>
      <c r="M202" t="s">
        <v>78</v>
      </c>
      <c r="N202" t="s">
        <v>99</v>
      </c>
      <c r="O202" t="s">
        <v>74</v>
      </c>
      <c r="P202" t="s">
        <v>74</v>
      </c>
      <c r="Q202" t="s">
        <v>74</v>
      </c>
      <c r="R202" t="s">
        <v>74</v>
      </c>
      <c r="S202" t="s">
        <v>74</v>
      </c>
      <c r="T202" t="s">
        <v>74</v>
      </c>
      <c r="U202" t="s">
        <v>4267</v>
      </c>
      <c r="V202" t="s">
        <v>4268</v>
      </c>
      <c r="W202" t="s">
        <v>4269</v>
      </c>
      <c r="X202" t="s">
        <v>4270</v>
      </c>
      <c r="Y202" t="s">
        <v>4271</v>
      </c>
      <c r="Z202" t="s">
        <v>4272</v>
      </c>
      <c r="AA202" t="s">
        <v>4273</v>
      </c>
      <c r="AB202" t="s">
        <v>4274</v>
      </c>
      <c r="AC202" t="s">
        <v>4275</v>
      </c>
      <c r="AD202" t="s">
        <v>4276</v>
      </c>
      <c r="AE202" t="s">
        <v>4277</v>
      </c>
      <c r="AF202" t="s">
        <v>74</v>
      </c>
      <c r="AG202">
        <v>37</v>
      </c>
      <c r="AH202">
        <v>26</v>
      </c>
      <c r="AI202">
        <v>26</v>
      </c>
      <c r="AJ202">
        <v>0</v>
      </c>
      <c r="AK202">
        <v>8</v>
      </c>
      <c r="AL202" t="s">
        <v>244</v>
      </c>
      <c r="AM202" t="s">
        <v>245</v>
      </c>
      <c r="AN202" t="s">
        <v>246</v>
      </c>
      <c r="AO202" t="s">
        <v>492</v>
      </c>
      <c r="AP202" t="s">
        <v>493</v>
      </c>
      <c r="AQ202" t="s">
        <v>74</v>
      </c>
      <c r="AR202" t="s">
        <v>494</v>
      </c>
      <c r="AS202" t="s">
        <v>495</v>
      </c>
      <c r="AT202" t="s">
        <v>74</v>
      </c>
      <c r="AU202">
        <v>2015</v>
      </c>
      <c r="AV202">
        <v>15</v>
      </c>
      <c r="AW202">
        <v>6</v>
      </c>
      <c r="AX202" t="s">
        <v>74</v>
      </c>
      <c r="AY202" t="s">
        <v>74</v>
      </c>
      <c r="AZ202" t="s">
        <v>74</v>
      </c>
      <c r="BA202" t="s">
        <v>74</v>
      </c>
      <c r="BB202">
        <v>3327</v>
      </c>
      <c r="BC202">
        <v>3338</v>
      </c>
      <c r="BD202" t="s">
        <v>74</v>
      </c>
      <c r="BE202" t="s">
        <v>4278</v>
      </c>
      <c r="BF202" t="str">
        <f>HYPERLINK("http://dx.doi.org/10.5194/acp-15-3327-2015","http://dx.doi.org/10.5194/acp-15-3327-2015")</f>
        <v>http://dx.doi.org/10.5194/acp-15-3327-2015</v>
      </c>
      <c r="BG202" t="s">
        <v>74</v>
      </c>
      <c r="BH202" t="s">
        <v>74</v>
      </c>
      <c r="BI202">
        <v>12</v>
      </c>
      <c r="BJ202" t="s">
        <v>497</v>
      </c>
      <c r="BK202" t="s">
        <v>91</v>
      </c>
      <c r="BL202" t="s">
        <v>498</v>
      </c>
      <c r="BM202" t="s">
        <v>1457</v>
      </c>
      <c r="BN202" t="s">
        <v>74</v>
      </c>
      <c r="BO202" t="s">
        <v>4211</v>
      </c>
      <c r="BP202" t="s">
        <v>74</v>
      </c>
      <c r="BQ202" t="s">
        <v>74</v>
      </c>
      <c r="BR202" t="s">
        <v>93</v>
      </c>
      <c r="BS202" t="s">
        <v>4279</v>
      </c>
      <c r="BT202" t="str">
        <f>HYPERLINK("https%3A%2F%2Fwww.webofscience.com%2Fwos%2Fwoscc%2Ffull-record%2FWOS:000352157600022","View Full Record in Web of Science")</f>
        <v>View Full Record in Web of Science</v>
      </c>
    </row>
    <row r="203" spans="1:72" x14ac:dyDescent="0.15">
      <c r="A203" t="s">
        <v>72</v>
      </c>
      <c r="B203" t="s">
        <v>4280</v>
      </c>
      <c r="C203" t="s">
        <v>74</v>
      </c>
      <c r="D203" t="s">
        <v>74</v>
      </c>
      <c r="E203" t="s">
        <v>74</v>
      </c>
      <c r="F203" t="s">
        <v>4281</v>
      </c>
      <c r="G203" t="s">
        <v>74</v>
      </c>
      <c r="H203" t="s">
        <v>74</v>
      </c>
      <c r="I203" t="s">
        <v>4282</v>
      </c>
      <c r="J203" t="s">
        <v>480</v>
      </c>
      <c r="K203" t="s">
        <v>74</v>
      </c>
      <c r="L203" t="s">
        <v>74</v>
      </c>
      <c r="M203" t="s">
        <v>78</v>
      </c>
      <c r="N203" t="s">
        <v>99</v>
      </c>
      <c r="O203" t="s">
        <v>74</v>
      </c>
      <c r="P203" t="s">
        <v>74</v>
      </c>
      <c r="Q203" t="s">
        <v>74</v>
      </c>
      <c r="R203" t="s">
        <v>74</v>
      </c>
      <c r="S203" t="s">
        <v>74</v>
      </c>
      <c r="T203" t="s">
        <v>74</v>
      </c>
      <c r="U203" t="s">
        <v>4283</v>
      </c>
      <c r="V203" t="s">
        <v>4284</v>
      </c>
      <c r="W203" t="s">
        <v>4285</v>
      </c>
      <c r="X203" t="s">
        <v>4286</v>
      </c>
      <c r="Y203" t="s">
        <v>4287</v>
      </c>
      <c r="Z203" t="s">
        <v>4288</v>
      </c>
      <c r="AA203" t="s">
        <v>4289</v>
      </c>
      <c r="AB203" t="s">
        <v>4290</v>
      </c>
      <c r="AC203" t="s">
        <v>4291</v>
      </c>
      <c r="AD203" t="s">
        <v>4292</v>
      </c>
      <c r="AE203" t="s">
        <v>4293</v>
      </c>
      <c r="AF203" t="s">
        <v>74</v>
      </c>
      <c r="AG203">
        <v>40</v>
      </c>
      <c r="AH203">
        <v>24</v>
      </c>
      <c r="AI203">
        <v>26</v>
      </c>
      <c r="AJ203">
        <v>0</v>
      </c>
      <c r="AK203">
        <v>23</v>
      </c>
      <c r="AL203" t="s">
        <v>244</v>
      </c>
      <c r="AM203" t="s">
        <v>245</v>
      </c>
      <c r="AN203" t="s">
        <v>246</v>
      </c>
      <c r="AO203" t="s">
        <v>492</v>
      </c>
      <c r="AP203" t="s">
        <v>493</v>
      </c>
      <c r="AQ203" t="s">
        <v>74</v>
      </c>
      <c r="AR203" t="s">
        <v>494</v>
      </c>
      <c r="AS203" t="s">
        <v>495</v>
      </c>
      <c r="AT203" t="s">
        <v>74</v>
      </c>
      <c r="AU203">
        <v>2015</v>
      </c>
      <c r="AV203">
        <v>15</v>
      </c>
      <c r="AW203">
        <v>7</v>
      </c>
      <c r="AX203" t="s">
        <v>74</v>
      </c>
      <c r="AY203" t="s">
        <v>74</v>
      </c>
      <c r="AZ203" t="s">
        <v>74</v>
      </c>
      <c r="BA203" t="s">
        <v>74</v>
      </c>
      <c r="BB203">
        <v>3719</v>
      </c>
      <c r="BC203">
        <v>3737</v>
      </c>
      <c r="BD203" t="s">
        <v>74</v>
      </c>
      <c r="BE203" t="s">
        <v>4294</v>
      </c>
      <c r="BF203" t="str">
        <f>HYPERLINK("http://dx.doi.org/10.5194/acp-15-3719-2015","http://dx.doi.org/10.5194/acp-15-3719-2015")</f>
        <v>http://dx.doi.org/10.5194/acp-15-3719-2015</v>
      </c>
      <c r="BG203" t="s">
        <v>74</v>
      </c>
      <c r="BH203" t="s">
        <v>74</v>
      </c>
      <c r="BI203">
        <v>19</v>
      </c>
      <c r="BJ203" t="s">
        <v>497</v>
      </c>
      <c r="BK203" t="s">
        <v>91</v>
      </c>
      <c r="BL203" t="s">
        <v>498</v>
      </c>
      <c r="BM203" t="s">
        <v>1272</v>
      </c>
      <c r="BN203" t="s">
        <v>74</v>
      </c>
      <c r="BO203" t="s">
        <v>4155</v>
      </c>
      <c r="BP203" t="s">
        <v>74</v>
      </c>
      <c r="BQ203" t="s">
        <v>74</v>
      </c>
      <c r="BR203" t="s">
        <v>93</v>
      </c>
      <c r="BS203" t="s">
        <v>4295</v>
      </c>
      <c r="BT203" t="str">
        <f>HYPERLINK("https%3A%2F%2Fwww.webofscience.com%2Fwos%2Fwoscc%2Ffull-record%2FWOS:000352957400006","View Full Record in Web of Science")</f>
        <v>View Full Record in Web of Science</v>
      </c>
    </row>
    <row r="204" spans="1:72" x14ac:dyDescent="0.15">
      <c r="A204" t="s">
        <v>72</v>
      </c>
      <c r="B204" t="s">
        <v>4296</v>
      </c>
      <c r="C204" t="s">
        <v>74</v>
      </c>
      <c r="D204" t="s">
        <v>74</v>
      </c>
      <c r="E204" t="s">
        <v>74</v>
      </c>
      <c r="F204" t="s">
        <v>4297</v>
      </c>
      <c r="G204" t="s">
        <v>74</v>
      </c>
      <c r="H204" t="s">
        <v>74</v>
      </c>
      <c r="I204" t="s">
        <v>4298</v>
      </c>
      <c r="J204" t="s">
        <v>480</v>
      </c>
      <c r="K204" t="s">
        <v>74</v>
      </c>
      <c r="L204" t="s">
        <v>74</v>
      </c>
      <c r="M204" t="s">
        <v>78</v>
      </c>
      <c r="N204" t="s">
        <v>99</v>
      </c>
      <c r="O204" t="s">
        <v>74</v>
      </c>
      <c r="P204" t="s">
        <v>74</v>
      </c>
      <c r="Q204" t="s">
        <v>74</v>
      </c>
      <c r="R204" t="s">
        <v>74</v>
      </c>
      <c r="S204" t="s">
        <v>74</v>
      </c>
      <c r="T204" t="s">
        <v>74</v>
      </c>
      <c r="U204" t="s">
        <v>4299</v>
      </c>
      <c r="V204" t="s">
        <v>4300</v>
      </c>
      <c r="W204" t="s">
        <v>4301</v>
      </c>
      <c r="X204" t="s">
        <v>4302</v>
      </c>
      <c r="Y204" t="s">
        <v>4303</v>
      </c>
      <c r="Z204" t="s">
        <v>4304</v>
      </c>
      <c r="AA204" t="s">
        <v>4305</v>
      </c>
      <c r="AB204" t="s">
        <v>4306</v>
      </c>
      <c r="AC204" t="s">
        <v>4307</v>
      </c>
      <c r="AD204" t="s">
        <v>4308</v>
      </c>
      <c r="AE204" t="s">
        <v>4309</v>
      </c>
      <c r="AF204" t="s">
        <v>74</v>
      </c>
      <c r="AG204">
        <v>70</v>
      </c>
      <c r="AH204">
        <v>52</v>
      </c>
      <c r="AI204">
        <v>56</v>
      </c>
      <c r="AJ204">
        <v>6</v>
      </c>
      <c r="AK204">
        <v>116</v>
      </c>
      <c r="AL204" t="s">
        <v>244</v>
      </c>
      <c r="AM204" t="s">
        <v>245</v>
      </c>
      <c r="AN204" t="s">
        <v>246</v>
      </c>
      <c r="AO204" t="s">
        <v>492</v>
      </c>
      <c r="AP204" t="s">
        <v>493</v>
      </c>
      <c r="AQ204" t="s">
        <v>74</v>
      </c>
      <c r="AR204" t="s">
        <v>494</v>
      </c>
      <c r="AS204" t="s">
        <v>495</v>
      </c>
      <c r="AT204" t="s">
        <v>74</v>
      </c>
      <c r="AU204">
        <v>2015</v>
      </c>
      <c r="AV204">
        <v>15</v>
      </c>
      <c r="AW204">
        <v>10</v>
      </c>
      <c r="AX204" t="s">
        <v>74</v>
      </c>
      <c r="AY204" t="s">
        <v>74</v>
      </c>
      <c r="AZ204" t="s">
        <v>74</v>
      </c>
      <c r="BA204" t="s">
        <v>74</v>
      </c>
      <c r="BB204">
        <v>5457</v>
      </c>
      <c r="BC204">
        <v>5469</v>
      </c>
      <c r="BD204" t="s">
        <v>74</v>
      </c>
      <c r="BE204" t="s">
        <v>4310</v>
      </c>
      <c r="BF204" t="str">
        <f>HYPERLINK("http://dx.doi.org/10.5194/acp-15-5457-2015","http://dx.doi.org/10.5194/acp-15-5457-2015")</f>
        <v>http://dx.doi.org/10.5194/acp-15-5457-2015</v>
      </c>
      <c r="BG204" t="s">
        <v>74</v>
      </c>
      <c r="BH204" t="s">
        <v>74</v>
      </c>
      <c r="BI204">
        <v>13</v>
      </c>
      <c r="BJ204" t="s">
        <v>497</v>
      </c>
      <c r="BK204" t="s">
        <v>91</v>
      </c>
      <c r="BL204" t="s">
        <v>498</v>
      </c>
      <c r="BM204" t="s">
        <v>4311</v>
      </c>
      <c r="BN204" t="s">
        <v>74</v>
      </c>
      <c r="BO204" t="s">
        <v>255</v>
      </c>
      <c r="BP204" t="s">
        <v>74</v>
      </c>
      <c r="BQ204" t="s">
        <v>74</v>
      </c>
      <c r="BR204" t="s">
        <v>93</v>
      </c>
      <c r="BS204" t="s">
        <v>4312</v>
      </c>
      <c r="BT204" t="str">
        <f>HYPERLINK("https%3A%2F%2Fwww.webofscience.com%2Fwos%2Fwoscc%2Ffull-record%2FWOS:000355289200009","View Full Record in Web of Science")</f>
        <v>View Full Record in Web of Science</v>
      </c>
    </row>
    <row r="205" spans="1:72" x14ac:dyDescent="0.15">
      <c r="A205" t="s">
        <v>72</v>
      </c>
      <c r="B205" t="s">
        <v>4313</v>
      </c>
      <c r="C205" t="s">
        <v>74</v>
      </c>
      <c r="D205" t="s">
        <v>74</v>
      </c>
      <c r="E205" t="s">
        <v>74</v>
      </c>
      <c r="F205" t="s">
        <v>4314</v>
      </c>
      <c r="G205" t="s">
        <v>74</v>
      </c>
      <c r="H205" t="s">
        <v>74</v>
      </c>
      <c r="I205" t="s">
        <v>4315</v>
      </c>
      <c r="J205" t="s">
        <v>480</v>
      </c>
      <c r="K205" t="s">
        <v>74</v>
      </c>
      <c r="L205" t="s">
        <v>74</v>
      </c>
      <c r="M205" t="s">
        <v>78</v>
      </c>
      <c r="N205" t="s">
        <v>99</v>
      </c>
      <c r="O205" t="s">
        <v>74</v>
      </c>
      <c r="P205" t="s">
        <v>74</v>
      </c>
      <c r="Q205" t="s">
        <v>74</v>
      </c>
      <c r="R205" t="s">
        <v>74</v>
      </c>
      <c r="S205" t="s">
        <v>74</v>
      </c>
      <c r="T205" t="s">
        <v>74</v>
      </c>
      <c r="U205" t="s">
        <v>4316</v>
      </c>
      <c r="V205" t="s">
        <v>4317</v>
      </c>
      <c r="W205" t="s">
        <v>4318</v>
      </c>
      <c r="X205" t="s">
        <v>4319</v>
      </c>
      <c r="Y205" t="s">
        <v>4320</v>
      </c>
      <c r="Z205" t="s">
        <v>4321</v>
      </c>
      <c r="AA205" t="s">
        <v>4322</v>
      </c>
      <c r="AB205" t="s">
        <v>4323</v>
      </c>
      <c r="AC205" t="s">
        <v>4324</v>
      </c>
      <c r="AD205" t="s">
        <v>4325</v>
      </c>
      <c r="AE205" t="s">
        <v>4326</v>
      </c>
      <c r="AF205" t="s">
        <v>74</v>
      </c>
      <c r="AG205">
        <v>79</v>
      </c>
      <c r="AH205">
        <v>86</v>
      </c>
      <c r="AI205">
        <v>97</v>
      </c>
      <c r="AJ205">
        <v>1</v>
      </c>
      <c r="AK205">
        <v>72</v>
      </c>
      <c r="AL205" t="s">
        <v>244</v>
      </c>
      <c r="AM205" t="s">
        <v>245</v>
      </c>
      <c r="AN205" t="s">
        <v>246</v>
      </c>
      <c r="AO205" t="s">
        <v>492</v>
      </c>
      <c r="AP205" t="s">
        <v>493</v>
      </c>
      <c r="AQ205" t="s">
        <v>74</v>
      </c>
      <c r="AR205" t="s">
        <v>494</v>
      </c>
      <c r="AS205" t="s">
        <v>495</v>
      </c>
      <c r="AT205" t="s">
        <v>74</v>
      </c>
      <c r="AU205">
        <v>2015</v>
      </c>
      <c r="AV205">
        <v>15</v>
      </c>
      <c r="AW205">
        <v>10</v>
      </c>
      <c r="AX205" t="s">
        <v>74</v>
      </c>
      <c r="AY205" t="s">
        <v>74</v>
      </c>
      <c r="AZ205" t="s">
        <v>74</v>
      </c>
      <c r="BA205" t="s">
        <v>74</v>
      </c>
      <c r="BB205">
        <v>5599</v>
      </c>
      <c r="BC205">
        <v>5609</v>
      </c>
      <c r="BD205" t="s">
        <v>74</v>
      </c>
      <c r="BE205" t="s">
        <v>4327</v>
      </c>
      <c r="BF205" t="str">
        <f>HYPERLINK("http://dx.doi.org/10.5194/acp-15-5599-2015","http://dx.doi.org/10.5194/acp-15-5599-2015")</f>
        <v>http://dx.doi.org/10.5194/acp-15-5599-2015</v>
      </c>
      <c r="BG205" t="s">
        <v>74</v>
      </c>
      <c r="BH205" t="s">
        <v>74</v>
      </c>
      <c r="BI205">
        <v>11</v>
      </c>
      <c r="BJ205" t="s">
        <v>497</v>
      </c>
      <c r="BK205" t="s">
        <v>91</v>
      </c>
      <c r="BL205" t="s">
        <v>498</v>
      </c>
      <c r="BM205" t="s">
        <v>4311</v>
      </c>
      <c r="BN205" t="s">
        <v>74</v>
      </c>
      <c r="BO205" t="s">
        <v>255</v>
      </c>
      <c r="BP205" t="s">
        <v>74</v>
      </c>
      <c r="BQ205" t="s">
        <v>74</v>
      </c>
      <c r="BR205" t="s">
        <v>93</v>
      </c>
      <c r="BS205" t="s">
        <v>4328</v>
      </c>
      <c r="BT205" t="str">
        <f>HYPERLINK("https%3A%2F%2Fwww.webofscience.com%2Fwos%2Fwoscc%2Ffull-record%2FWOS:000355289200017","View Full Record in Web of Science")</f>
        <v>View Full Record in Web of Science</v>
      </c>
    </row>
    <row r="206" spans="1:72" x14ac:dyDescent="0.15">
      <c r="A206" t="s">
        <v>72</v>
      </c>
      <c r="B206" t="s">
        <v>4329</v>
      </c>
      <c r="C206" t="s">
        <v>74</v>
      </c>
      <c r="D206" t="s">
        <v>74</v>
      </c>
      <c r="E206" t="s">
        <v>74</v>
      </c>
      <c r="F206" t="s">
        <v>4330</v>
      </c>
      <c r="G206" t="s">
        <v>74</v>
      </c>
      <c r="H206" t="s">
        <v>74</v>
      </c>
      <c r="I206" t="s">
        <v>4331</v>
      </c>
      <c r="J206" t="s">
        <v>480</v>
      </c>
      <c r="K206" t="s">
        <v>74</v>
      </c>
      <c r="L206" t="s">
        <v>74</v>
      </c>
      <c r="M206" t="s">
        <v>78</v>
      </c>
      <c r="N206" t="s">
        <v>99</v>
      </c>
      <c r="O206" t="s">
        <v>74</v>
      </c>
      <c r="P206" t="s">
        <v>74</v>
      </c>
      <c r="Q206" t="s">
        <v>74</v>
      </c>
      <c r="R206" t="s">
        <v>74</v>
      </c>
      <c r="S206" t="s">
        <v>74</v>
      </c>
      <c r="T206" t="s">
        <v>74</v>
      </c>
      <c r="U206" t="s">
        <v>4332</v>
      </c>
      <c r="V206" t="s">
        <v>4333</v>
      </c>
      <c r="W206" t="s">
        <v>4334</v>
      </c>
      <c r="X206" t="s">
        <v>4335</v>
      </c>
      <c r="Y206" t="s">
        <v>4336</v>
      </c>
      <c r="Z206" t="s">
        <v>4337</v>
      </c>
      <c r="AA206" t="s">
        <v>4338</v>
      </c>
      <c r="AB206" t="s">
        <v>4339</v>
      </c>
      <c r="AC206" t="s">
        <v>4340</v>
      </c>
      <c r="AD206" t="s">
        <v>4341</v>
      </c>
      <c r="AE206" t="s">
        <v>4342</v>
      </c>
      <c r="AF206" t="s">
        <v>74</v>
      </c>
      <c r="AG206">
        <v>48</v>
      </c>
      <c r="AH206">
        <v>35</v>
      </c>
      <c r="AI206">
        <v>36</v>
      </c>
      <c r="AJ206">
        <v>0</v>
      </c>
      <c r="AK206">
        <v>18</v>
      </c>
      <c r="AL206" t="s">
        <v>244</v>
      </c>
      <c r="AM206" t="s">
        <v>245</v>
      </c>
      <c r="AN206" t="s">
        <v>246</v>
      </c>
      <c r="AO206" t="s">
        <v>492</v>
      </c>
      <c r="AP206" t="s">
        <v>493</v>
      </c>
      <c r="AQ206" t="s">
        <v>74</v>
      </c>
      <c r="AR206" t="s">
        <v>494</v>
      </c>
      <c r="AS206" t="s">
        <v>495</v>
      </c>
      <c r="AT206" t="s">
        <v>74</v>
      </c>
      <c r="AU206">
        <v>2015</v>
      </c>
      <c r="AV206">
        <v>15</v>
      </c>
      <c r="AW206">
        <v>11</v>
      </c>
      <c r="AX206" t="s">
        <v>74</v>
      </c>
      <c r="AY206" t="s">
        <v>74</v>
      </c>
      <c r="AZ206" t="s">
        <v>74</v>
      </c>
      <c r="BA206" t="s">
        <v>74</v>
      </c>
      <c r="BB206">
        <v>6225</v>
      </c>
      <c r="BC206">
        <v>6236</v>
      </c>
      <c r="BD206" t="s">
        <v>74</v>
      </c>
      <c r="BE206" t="s">
        <v>4343</v>
      </c>
      <c r="BF206" t="str">
        <f>HYPERLINK("http://dx.doi.org/10.5194/acp-15-6225-2015","http://dx.doi.org/10.5194/acp-15-6225-2015")</f>
        <v>http://dx.doi.org/10.5194/acp-15-6225-2015</v>
      </c>
      <c r="BG206" t="s">
        <v>74</v>
      </c>
      <c r="BH206" t="s">
        <v>74</v>
      </c>
      <c r="BI206">
        <v>12</v>
      </c>
      <c r="BJ206" t="s">
        <v>497</v>
      </c>
      <c r="BK206" t="s">
        <v>91</v>
      </c>
      <c r="BL206" t="s">
        <v>498</v>
      </c>
      <c r="BM206" t="s">
        <v>821</v>
      </c>
      <c r="BN206" t="s">
        <v>74</v>
      </c>
      <c r="BO206" t="s">
        <v>1458</v>
      </c>
      <c r="BP206" t="s">
        <v>74</v>
      </c>
      <c r="BQ206" t="s">
        <v>74</v>
      </c>
      <c r="BR206" t="s">
        <v>93</v>
      </c>
      <c r="BS206" t="s">
        <v>4344</v>
      </c>
      <c r="BT206" t="str">
        <f>HYPERLINK("https%3A%2F%2Fwww.webofscience.com%2Fwos%2Fwoscc%2Ffull-record%2FWOS:000356180900014","View Full Record in Web of Science")</f>
        <v>View Full Record in Web of Science</v>
      </c>
    </row>
    <row r="207" spans="1:72" x14ac:dyDescent="0.15">
      <c r="A207" t="s">
        <v>72</v>
      </c>
      <c r="B207" t="s">
        <v>4345</v>
      </c>
      <c r="C207" t="s">
        <v>74</v>
      </c>
      <c r="D207" t="s">
        <v>74</v>
      </c>
      <c r="E207" t="s">
        <v>74</v>
      </c>
      <c r="F207" t="s">
        <v>4346</v>
      </c>
      <c r="G207" t="s">
        <v>74</v>
      </c>
      <c r="H207" t="s">
        <v>74</v>
      </c>
      <c r="I207" t="s">
        <v>4347</v>
      </c>
      <c r="J207" t="s">
        <v>480</v>
      </c>
      <c r="K207" t="s">
        <v>74</v>
      </c>
      <c r="L207" t="s">
        <v>74</v>
      </c>
      <c r="M207" t="s">
        <v>78</v>
      </c>
      <c r="N207" t="s">
        <v>99</v>
      </c>
      <c r="O207" t="s">
        <v>74</v>
      </c>
      <c r="P207" t="s">
        <v>74</v>
      </c>
      <c r="Q207" t="s">
        <v>74</v>
      </c>
      <c r="R207" t="s">
        <v>74</v>
      </c>
      <c r="S207" t="s">
        <v>74</v>
      </c>
      <c r="T207" t="s">
        <v>74</v>
      </c>
      <c r="U207" t="s">
        <v>4348</v>
      </c>
      <c r="V207" t="s">
        <v>4349</v>
      </c>
      <c r="W207" t="s">
        <v>4350</v>
      </c>
      <c r="X207" t="s">
        <v>4351</v>
      </c>
      <c r="Y207" t="s">
        <v>4352</v>
      </c>
      <c r="Z207" t="s">
        <v>4353</v>
      </c>
      <c r="AA207" t="s">
        <v>4354</v>
      </c>
      <c r="AB207" t="s">
        <v>4355</v>
      </c>
      <c r="AC207" t="s">
        <v>4356</v>
      </c>
      <c r="AD207" t="s">
        <v>4357</v>
      </c>
      <c r="AE207" t="s">
        <v>4358</v>
      </c>
      <c r="AF207" t="s">
        <v>74</v>
      </c>
      <c r="AG207">
        <v>46</v>
      </c>
      <c r="AH207">
        <v>9</v>
      </c>
      <c r="AI207">
        <v>10</v>
      </c>
      <c r="AJ207">
        <v>0</v>
      </c>
      <c r="AK207">
        <v>17</v>
      </c>
      <c r="AL207" t="s">
        <v>244</v>
      </c>
      <c r="AM207" t="s">
        <v>245</v>
      </c>
      <c r="AN207" t="s">
        <v>246</v>
      </c>
      <c r="AO207" t="s">
        <v>492</v>
      </c>
      <c r="AP207" t="s">
        <v>493</v>
      </c>
      <c r="AQ207" t="s">
        <v>74</v>
      </c>
      <c r="AR207" t="s">
        <v>494</v>
      </c>
      <c r="AS207" t="s">
        <v>495</v>
      </c>
      <c r="AT207" t="s">
        <v>74</v>
      </c>
      <c r="AU207">
        <v>2015</v>
      </c>
      <c r="AV207">
        <v>15</v>
      </c>
      <c r="AW207">
        <v>12</v>
      </c>
      <c r="AX207" t="s">
        <v>74</v>
      </c>
      <c r="AY207" t="s">
        <v>74</v>
      </c>
      <c r="AZ207" t="s">
        <v>74</v>
      </c>
      <c r="BA207" t="s">
        <v>74</v>
      </c>
      <c r="BB207">
        <v>6689</v>
      </c>
      <c r="BC207">
        <v>6705</v>
      </c>
      <c r="BD207" t="s">
        <v>74</v>
      </c>
      <c r="BE207" t="s">
        <v>4359</v>
      </c>
      <c r="BF207" t="str">
        <f>HYPERLINK("http://dx.doi.org/10.5194/acp-15-6689-2015","http://dx.doi.org/10.5194/acp-15-6689-2015")</f>
        <v>http://dx.doi.org/10.5194/acp-15-6689-2015</v>
      </c>
      <c r="BG207" t="s">
        <v>74</v>
      </c>
      <c r="BH207" t="s">
        <v>74</v>
      </c>
      <c r="BI207">
        <v>17</v>
      </c>
      <c r="BJ207" t="s">
        <v>497</v>
      </c>
      <c r="BK207" t="s">
        <v>91</v>
      </c>
      <c r="BL207" t="s">
        <v>498</v>
      </c>
      <c r="BM207" t="s">
        <v>591</v>
      </c>
      <c r="BN207" t="s">
        <v>74</v>
      </c>
      <c r="BO207" t="s">
        <v>697</v>
      </c>
      <c r="BP207" t="s">
        <v>74</v>
      </c>
      <c r="BQ207" t="s">
        <v>74</v>
      </c>
      <c r="BR207" t="s">
        <v>93</v>
      </c>
      <c r="BS207" t="s">
        <v>4360</v>
      </c>
      <c r="BT207" t="str">
        <f>HYPERLINK("https%3A%2F%2Fwww.webofscience.com%2Fwos%2Fwoscc%2Ffull-record%2FWOS:000357117500009","View Full Record in Web of Science")</f>
        <v>View Full Record in Web of Science</v>
      </c>
    </row>
    <row r="208" spans="1:72" x14ac:dyDescent="0.15">
      <c r="A208" t="s">
        <v>72</v>
      </c>
      <c r="B208" t="s">
        <v>4361</v>
      </c>
      <c r="C208" t="s">
        <v>74</v>
      </c>
      <c r="D208" t="s">
        <v>74</v>
      </c>
      <c r="E208" t="s">
        <v>74</v>
      </c>
      <c r="F208" t="s">
        <v>4362</v>
      </c>
      <c r="G208" t="s">
        <v>74</v>
      </c>
      <c r="H208" t="s">
        <v>74</v>
      </c>
      <c r="I208" t="s">
        <v>4363</v>
      </c>
      <c r="J208" t="s">
        <v>480</v>
      </c>
      <c r="K208" t="s">
        <v>74</v>
      </c>
      <c r="L208" t="s">
        <v>74</v>
      </c>
      <c r="M208" t="s">
        <v>78</v>
      </c>
      <c r="N208" t="s">
        <v>99</v>
      </c>
      <c r="O208" t="s">
        <v>74</v>
      </c>
      <c r="P208" t="s">
        <v>74</v>
      </c>
      <c r="Q208" t="s">
        <v>74</v>
      </c>
      <c r="R208" t="s">
        <v>74</v>
      </c>
      <c r="S208" t="s">
        <v>74</v>
      </c>
      <c r="T208" t="s">
        <v>74</v>
      </c>
      <c r="U208" t="s">
        <v>4364</v>
      </c>
      <c r="V208" t="s">
        <v>4365</v>
      </c>
      <c r="W208" t="s">
        <v>4366</v>
      </c>
      <c r="X208" t="s">
        <v>4367</v>
      </c>
      <c r="Y208" t="s">
        <v>4368</v>
      </c>
      <c r="Z208" t="s">
        <v>4369</v>
      </c>
      <c r="AA208" t="s">
        <v>4370</v>
      </c>
      <c r="AB208" t="s">
        <v>4371</v>
      </c>
      <c r="AC208" t="s">
        <v>4372</v>
      </c>
      <c r="AD208" t="s">
        <v>4373</v>
      </c>
      <c r="AE208" t="s">
        <v>4374</v>
      </c>
      <c r="AF208" t="s">
        <v>74</v>
      </c>
      <c r="AG208">
        <v>49</v>
      </c>
      <c r="AH208">
        <v>5</v>
      </c>
      <c r="AI208">
        <v>5</v>
      </c>
      <c r="AJ208">
        <v>1</v>
      </c>
      <c r="AK208">
        <v>37</v>
      </c>
      <c r="AL208" t="s">
        <v>244</v>
      </c>
      <c r="AM208" t="s">
        <v>245</v>
      </c>
      <c r="AN208" t="s">
        <v>246</v>
      </c>
      <c r="AO208" t="s">
        <v>492</v>
      </c>
      <c r="AP208" t="s">
        <v>493</v>
      </c>
      <c r="AQ208" t="s">
        <v>74</v>
      </c>
      <c r="AR208" t="s">
        <v>494</v>
      </c>
      <c r="AS208" t="s">
        <v>495</v>
      </c>
      <c r="AT208" t="s">
        <v>74</v>
      </c>
      <c r="AU208">
        <v>2015</v>
      </c>
      <c r="AV208">
        <v>15</v>
      </c>
      <c r="AW208">
        <v>12</v>
      </c>
      <c r="AX208" t="s">
        <v>74</v>
      </c>
      <c r="AY208" t="s">
        <v>74</v>
      </c>
      <c r="AZ208" t="s">
        <v>74</v>
      </c>
      <c r="BA208" t="s">
        <v>74</v>
      </c>
      <c r="BB208">
        <v>6867</v>
      </c>
      <c r="BC208">
        <v>6877</v>
      </c>
      <c r="BD208" t="s">
        <v>74</v>
      </c>
      <c r="BE208" t="s">
        <v>4375</v>
      </c>
      <c r="BF208" t="str">
        <f>HYPERLINK("http://dx.doi.org/10.5194/acp-15-6867-2015","http://dx.doi.org/10.5194/acp-15-6867-2015")</f>
        <v>http://dx.doi.org/10.5194/acp-15-6867-2015</v>
      </c>
      <c r="BG208" t="s">
        <v>74</v>
      </c>
      <c r="BH208" t="s">
        <v>74</v>
      </c>
      <c r="BI208">
        <v>11</v>
      </c>
      <c r="BJ208" t="s">
        <v>497</v>
      </c>
      <c r="BK208" t="s">
        <v>91</v>
      </c>
      <c r="BL208" t="s">
        <v>498</v>
      </c>
      <c r="BM208" t="s">
        <v>591</v>
      </c>
      <c r="BN208" t="s">
        <v>74</v>
      </c>
      <c r="BO208" t="s">
        <v>4376</v>
      </c>
      <c r="BP208" t="s">
        <v>74</v>
      </c>
      <c r="BQ208" t="s">
        <v>74</v>
      </c>
      <c r="BR208" t="s">
        <v>93</v>
      </c>
      <c r="BS208" t="s">
        <v>4377</v>
      </c>
      <c r="BT208" t="str">
        <f>HYPERLINK("https%3A%2F%2Fwww.webofscience.com%2Fwos%2Fwoscc%2Ffull-record%2FWOS:000357117500021","View Full Record in Web of Science")</f>
        <v>View Full Record in Web of Science</v>
      </c>
    </row>
    <row r="209" spans="1:72" x14ac:dyDescent="0.15">
      <c r="A209" t="s">
        <v>72</v>
      </c>
      <c r="B209" t="s">
        <v>4378</v>
      </c>
      <c r="C209" t="s">
        <v>74</v>
      </c>
      <c r="D209" t="s">
        <v>74</v>
      </c>
      <c r="E209" t="s">
        <v>74</v>
      </c>
      <c r="F209" t="s">
        <v>4379</v>
      </c>
      <c r="G209" t="s">
        <v>74</v>
      </c>
      <c r="H209" t="s">
        <v>74</v>
      </c>
      <c r="I209" t="s">
        <v>4380</v>
      </c>
      <c r="J209" t="s">
        <v>480</v>
      </c>
      <c r="K209" t="s">
        <v>74</v>
      </c>
      <c r="L209" t="s">
        <v>74</v>
      </c>
      <c r="M209" t="s">
        <v>78</v>
      </c>
      <c r="N209" t="s">
        <v>99</v>
      </c>
      <c r="O209" t="s">
        <v>74</v>
      </c>
      <c r="P209" t="s">
        <v>74</v>
      </c>
      <c r="Q209" t="s">
        <v>74</v>
      </c>
      <c r="R209" t="s">
        <v>74</v>
      </c>
      <c r="S209" t="s">
        <v>74</v>
      </c>
      <c r="T209" t="s">
        <v>74</v>
      </c>
      <c r="U209" t="s">
        <v>4381</v>
      </c>
      <c r="V209" t="s">
        <v>4382</v>
      </c>
      <c r="W209" t="s">
        <v>4383</v>
      </c>
      <c r="X209" t="s">
        <v>4384</v>
      </c>
      <c r="Y209" t="s">
        <v>4385</v>
      </c>
      <c r="Z209" t="s">
        <v>4386</v>
      </c>
      <c r="AA209" t="s">
        <v>4387</v>
      </c>
      <c r="AB209" t="s">
        <v>4388</v>
      </c>
      <c r="AC209" t="s">
        <v>4389</v>
      </c>
      <c r="AD209" t="s">
        <v>4390</v>
      </c>
      <c r="AE209" t="s">
        <v>4391</v>
      </c>
      <c r="AF209" t="s">
        <v>74</v>
      </c>
      <c r="AG209">
        <v>55</v>
      </c>
      <c r="AH209">
        <v>78</v>
      </c>
      <c r="AI209">
        <v>81</v>
      </c>
      <c r="AJ209">
        <v>0</v>
      </c>
      <c r="AK209">
        <v>21</v>
      </c>
      <c r="AL209" t="s">
        <v>244</v>
      </c>
      <c r="AM209" t="s">
        <v>245</v>
      </c>
      <c r="AN209" t="s">
        <v>246</v>
      </c>
      <c r="AO209" t="s">
        <v>492</v>
      </c>
      <c r="AP209" t="s">
        <v>493</v>
      </c>
      <c r="AQ209" t="s">
        <v>74</v>
      </c>
      <c r="AR209" t="s">
        <v>494</v>
      </c>
      <c r="AS209" t="s">
        <v>495</v>
      </c>
      <c r="AT209" t="s">
        <v>74</v>
      </c>
      <c r="AU209">
        <v>2015</v>
      </c>
      <c r="AV209">
        <v>15</v>
      </c>
      <c r="AW209">
        <v>14</v>
      </c>
      <c r="AX209" t="s">
        <v>74</v>
      </c>
      <c r="AY209" t="s">
        <v>74</v>
      </c>
      <c r="AZ209" t="s">
        <v>74</v>
      </c>
      <c r="BA209" t="s">
        <v>74</v>
      </c>
      <c r="BB209">
        <v>7797</v>
      </c>
      <c r="BC209">
        <v>7818</v>
      </c>
      <c r="BD209" t="s">
        <v>74</v>
      </c>
      <c r="BE209" t="s">
        <v>4392</v>
      </c>
      <c r="BF209" t="str">
        <f>HYPERLINK("http://dx.doi.org/10.5194/acp-15-7797-2015","http://dx.doi.org/10.5194/acp-15-7797-2015")</f>
        <v>http://dx.doi.org/10.5194/acp-15-7797-2015</v>
      </c>
      <c r="BG209" t="s">
        <v>74</v>
      </c>
      <c r="BH209" t="s">
        <v>74</v>
      </c>
      <c r="BI209">
        <v>22</v>
      </c>
      <c r="BJ209" t="s">
        <v>497</v>
      </c>
      <c r="BK209" t="s">
        <v>91</v>
      </c>
      <c r="BL209" t="s">
        <v>498</v>
      </c>
      <c r="BM209" t="s">
        <v>4393</v>
      </c>
      <c r="BN209" t="s">
        <v>74</v>
      </c>
      <c r="BO209" t="s">
        <v>255</v>
      </c>
      <c r="BP209" t="s">
        <v>74</v>
      </c>
      <c r="BQ209" t="s">
        <v>74</v>
      </c>
      <c r="BR209" t="s">
        <v>93</v>
      </c>
      <c r="BS209" t="s">
        <v>4394</v>
      </c>
      <c r="BT209" t="str">
        <f>HYPERLINK("https%3A%2F%2Fwww.webofscience.com%2Fwos%2Fwoscc%2Ffull-record%2FWOS:000358799000004","View Full Record in Web of Science")</f>
        <v>View Full Record in Web of Science</v>
      </c>
    </row>
    <row r="210" spans="1:72" x14ac:dyDescent="0.15">
      <c r="A210" t="s">
        <v>72</v>
      </c>
      <c r="B210" t="s">
        <v>4395</v>
      </c>
      <c r="C210" t="s">
        <v>74</v>
      </c>
      <c r="D210" t="s">
        <v>74</v>
      </c>
      <c r="E210" t="s">
        <v>74</v>
      </c>
      <c r="F210" t="s">
        <v>4396</v>
      </c>
      <c r="G210" t="s">
        <v>74</v>
      </c>
      <c r="H210" t="s">
        <v>74</v>
      </c>
      <c r="I210" t="s">
        <v>4397</v>
      </c>
      <c r="J210" t="s">
        <v>480</v>
      </c>
      <c r="K210" t="s">
        <v>74</v>
      </c>
      <c r="L210" t="s">
        <v>74</v>
      </c>
      <c r="M210" t="s">
        <v>78</v>
      </c>
      <c r="N210" t="s">
        <v>99</v>
      </c>
      <c r="O210" t="s">
        <v>74</v>
      </c>
      <c r="P210" t="s">
        <v>74</v>
      </c>
      <c r="Q210" t="s">
        <v>74</v>
      </c>
      <c r="R210" t="s">
        <v>74</v>
      </c>
      <c r="S210" t="s">
        <v>74</v>
      </c>
      <c r="T210" t="s">
        <v>74</v>
      </c>
      <c r="U210" t="s">
        <v>4398</v>
      </c>
      <c r="V210" t="s">
        <v>4399</v>
      </c>
      <c r="W210" t="s">
        <v>4400</v>
      </c>
      <c r="X210" t="s">
        <v>4401</v>
      </c>
      <c r="Y210" t="s">
        <v>4402</v>
      </c>
      <c r="Z210" t="s">
        <v>4403</v>
      </c>
      <c r="AA210" t="s">
        <v>4404</v>
      </c>
      <c r="AB210" t="s">
        <v>4405</v>
      </c>
      <c r="AC210" t="s">
        <v>4406</v>
      </c>
      <c r="AD210" t="s">
        <v>4407</v>
      </c>
      <c r="AE210" t="s">
        <v>4408</v>
      </c>
      <c r="AF210" t="s">
        <v>74</v>
      </c>
      <c r="AG210">
        <v>50</v>
      </c>
      <c r="AH210">
        <v>39</v>
      </c>
      <c r="AI210">
        <v>42</v>
      </c>
      <c r="AJ210">
        <v>1</v>
      </c>
      <c r="AK210">
        <v>37</v>
      </c>
      <c r="AL210" t="s">
        <v>244</v>
      </c>
      <c r="AM210" t="s">
        <v>245</v>
      </c>
      <c r="AN210" t="s">
        <v>246</v>
      </c>
      <c r="AO210" t="s">
        <v>492</v>
      </c>
      <c r="AP210" t="s">
        <v>493</v>
      </c>
      <c r="AQ210" t="s">
        <v>74</v>
      </c>
      <c r="AR210" t="s">
        <v>494</v>
      </c>
      <c r="AS210" t="s">
        <v>495</v>
      </c>
      <c r="AT210" t="s">
        <v>74</v>
      </c>
      <c r="AU210">
        <v>2015</v>
      </c>
      <c r="AV210">
        <v>15</v>
      </c>
      <c r="AW210">
        <v>14</v>
      </c>
      <c r="AX210" t="s">
        <v>74</v>
      </c>
      <c r="AY210" t="s">
        <v>74</v>
      </c>
      <c r="AZ210" t="s">
        <v>74</v>
      </c>
      <c r="BA210" t="s">
        <v>74</v>
      </c>
      <c r="BB210">
        <v>7859</v>
      </c>
      <c r="BC210">
        <v>7875</v>
      </c>
      <c r="BD210" t="s">
        <v>74</v>
      </c>
      <c r="BE210" t="s">
        <v>4409</v>
      </c>
      <c r="BF210" t="str">
        <f>HYPERLINK("http://dx.doi.org/10.5194/acp-15-7859-2015","http://dx.doi.org/10.5194/acp-15-7859-2015")</f>
        <v>http://dx.doi.org/10.5194/acp-15-7859-2015</v>
      </c>
      <c r="BG210" t="s">
        <v>74</v>
      </c>
      <c r="BH210" t="s">
        <v>74</v>
      </c>
      <c r="BI210">
        <v>17</v>
      </c>
      <c r="BJ210" t="s">
        <v>497</v>
      </c>
      <c r="BK210" t="s">
        <v>91</v>
      </c>
      <c r="BL210" t="s">
        <v>498</v>
      </c>
      <c r="BM210" t="s">
        <v>4393</v>
      </c>
      <c r="BN210" t="s">
        <v>74</v>
      </c>
      <c r="BO210" t="s">
        <v>1458</v>
      </c>
      <c r="BP210" t="s">
        <v>74</v>
      </c>
      <c r="BQ210" t="s">
        <v>74</v>
      </c>
      <c r="BR210" t="s">
        <v>93</v>
      </c>
      <c r="BS210" t="s">
        <v>4410</v>
      </c>
      <c r="BT210" t="str">
        <f>HYPERLINK("https%3A%2F%2Fwww.webofscience.com%2Fwos%2Fwoscc%2Ffull-record%2FWOS:000358799000008","View Full Record in Web of Science")</f>
        <v>View Full Record in Web of Science</v>
      </c>
    </row>
    <row r="211" spans="1:72" x14ac:dyDescent="0.15">
      <c r="A211" t="s">
        <v>72</v>
      </c>
      <c r="B211" t="s">
        <v>4411</v>
      </c>
      <c r="C211" t="s">
        <v>74</v>
      </c>
      <c r="D211" t="s">
        <v>74</v>
      </c>
      <c r="E211" t="s">
        <v>74</v>
      </c>
      <c r="F211" t="s">
        <v>4412</v>
      </c>
      <c r="G211" t="s">
        <v>74</v>
      </c>
      <c r="H211" t="s">
        <v>74</v>
      </c>
      <c r="I211" t="s">
        <v>4413</v>
      </c>
      <c r="J211" t="s">
        <v>480</v>
      </c>
      <c r="K211" t="s">
        <v>74</v>
      </c>
      <c r="L211" t="s">
        <v>74</v>
      </c>
      <c r="M211" t="s">
        <v>78</v>
      </c>
      <c r="N211" t="s">
        <v>99</v>
      </c>
      <c r="O211" t="s">
        <v>74</v>
      </c>
      <c r="P211" t="s">
        <v>74</v>
      </c>
      <c r="Q211" t="s">
        <v>74</v>
      </c>
      <c r="R211" t="s">
        <v>74</v>
      </c>
      <c r="S211" t="s">
        <v>74</v>
      </c>
      <c r="T211" t="s">
        <v>74</v>
      </c>
      <c r="U211" t="s">
        <v>4414</v>
      </c>
      <c r="V211" t="s">
        <v>4415</v>
      </c>
      <c r="W211" t="s">
        <v>4416</v>
      </c>
      <c r="X211" t="s">
        <v>4417</v>
      </c>
      <c r="Y211" t="s">
        <v>4418</v>
      </c>
      <c r="Z211" t="s">
        <v>4419</v>
      </c>
      <c r="AA211" t="s">
        <v>4420</v>
      </c>
      <c r="AB211" t="s">
        <v>4421</v>
      </c>
      <c r="AC211" t="s">
        <v>4422</v>
      </c>
      <c r="AD211" t="s">
        <v>4423</v>
      </c>
      <c r="AE211" t="s">
        <v>4424</v>
      </c>
      <c r="AF211" t="s">
        <v>74</v>
      </c>
      <c r="AG211">
        <v>52</v>
      </c>
      <c r="AH211">
        <v>6</v>
      </c>
      <c r="AI211">
        <v>6</v>
      </c>
      <c r="AJ211">
        <v>0</v>
      </c>
      <c r="AK211">
        <v>22</v>
      </c>
      <c r="AL211" t="s">
        <v>244</v>
      </c>
      <c r="AM211" t="s">
        <v>245</v>
      </c>
      <c r="AN211" t="s">
        <v>246</v>
      </c>
      <c r="AO211" t="s">
        <v>492</v>
      </c>
      <c r="AP211" t="s">
        <v>493</v>
      </c>
      <c r="AQ211" t="s">
        <v>74</v>
      </c>
      <c r="AR211" t="s">
        <v>494</v>
      </c>
      <c r="AS211" t="s">
        <v>495</v>
      </c>
      <c r="AT211" t="s">
        <v>74</v>
      </c>
      <c r="AU211">
        <v>2015</v>
      </c>
      <c r="AV211">
        <v>15</v>
      </c>
      <c r="AW211">
        <v>14</v>
      </c>
      <c r="AX211" t="s">
        <v>74</v>
      </c>
      <c r="AY211" t="s">
        <v>74</v>
      </c>
      <c r="AZ211" t="s">
        <v>74</v>
      </c>
      <c r="BA211" t="s">
        <v>74</v>
      </c>
      <c r="BB211">
        <v>7913</v>
      </c>
      <c r="BC211">
        <v>7927</v>
      </c>
      <c r="BD211" t="s">
        <v>74</v>
      </c>
      <c r="BE211" t="s">
        <v>4425</v>
      </c>
      <c r="BF211" t="str">
        <f>HYPERLINK("http://dx.doi.org/10.5194/acp-15-7913-2015","http://dx.doi.org/10.5194/acp-15-7913-2015")</f>
        <v>http://dx.doi.org/10.5194/acp-15-7913-2015</v>
      </c>
      <c r="BG211" t="s">
        <v>74</v>
      </c>
      <c r="BH211" t="s">
        <v>74</v>
      </c>
      <c r="BI211">
        <v>15</v>
      </c>
      <c r="BJ211" t="s">
        <v>497</v>
      </c>
      <c r="BK211" t="s">
        <v>91</v>
      </c>
      <c r="BL211" t="s">
        <v>498</v>
      </c>
      <c r="BM211" t="s">
        <v>4393</v>
      </c>
      <c r="BN211" t="s">
        <v>74</v>
      </c>
      <c r="BO211" t="s">
        <v>1458</v>
      </c>
      <c r="BP211" t="s">
        <v>74</v>
      </c>
      <c r="BQ211" t="s">
        <v>74</v>
      </c>
      <c r="BR211" t="s">
        <v>93</v>
      </c>
      <c r="BS211" t="s">
        <v>4426</v>
      </c>
      <c r="BT211" t="str">
        <f>HYPERLINK("https%3A%2F%2Fwww.webofscience.com%2Fwos%2Fwoscc%2Ffull-record%2FWOS:000358799000011","View Full Record in Web of Science")</f>
        <v>View Full Record in Web of Science</v>
      </c>
    </row>
    <row r="212" spans="1:72" x14ac:dyDescent="0.15">
      <c r="A212" t="s">
        <v>72</v>
      </c>
      <c r="B212" t="s">
        <v>4427</v>
      </c>
      <c r="C212" t="s">
        <v>74</v>
      </c>
      <c r="D212" t="s">
        <v>74</v>
      </c>
      <c r="E212" t="s">
        <v>74</v>
      </c>
      <c r="F212" t="s">
        <v>4428</v>
      </c>
      <c r="G212" t="s">
        <v>74</v>
      </c>
      <c r="H212" t="s">
        <v>74</v>
      </c>
      <c r="I212" t="s">
        <v>4429</v>
      </c>
      <c r="J212" t="s">
        <v>480</v>
      </c>
      <c r="K212" t="s">
        <v>74</v>
      </c>
      <c r="L212" t="s">
        <v>74</v>
      </c>
      <c r="M212" t="s">
        <v>78</v>
      </c>
      <c r="N212" t="s">
        <v>99</v>
      </c>
      <c r="O212" t="s">
        <v>74</v>
      </c>
      <c r="P212" t="s">
        <v>74</v>
      </c>
      <c r="Q212" t="s">
        <v>74</v>
      </c>
      <c r="R212" t="s">
        <v>74</v>
      </c>
      <c r="S212" t="s">
        <v>74</v>
      </c>
      <c r="T212" t="s">
        <v>74</v>
      </c>
      <c r="U212" t="s">
        <v>4430</v>
      </c>
      <c r="V212" t="s">
        <v>4431</v>
      </c>
      <c r="W212" t="s">
        <v>4432</v>
      </c>
      <c r="X212" t="s">
        <v>4433</v>
      </c>
      <c r="Y212" t="s">
        <v>4434</v>
      </c>
      <c r="Z212" t="s">
        <v>4435</v>
      </c>
      <c r="AA212" t="s">
        <v>4436</v>
      </c>
      <c r="AB212" t="s">
        <v>4437</v>
      </c>
      <c r="AC212" t="s">
        <v>4438</v>
      </c>
      <c r="AD212" t="s">
        <v>4439</v>
      </c>
      <c r="AE212" t="s">
        <v>4440</v>
      </c>
      <c r="AF212" t="s">
        <v>74</v>
      </c>
      <c r="AG212">
        <v>51</v>
      </c>
      <c r="AH212">
        <v>13</v>
      </c>
      <c r="AI212">
        <v>13</v>
      </c>
      <c r="AJ212">
        <v>1</v>
      </c>
      <c r="AK212">
        <v>13</v>
      </c>
      <c r="AL212" t="s">
        <v>244</v>
      </c>
      <c r="AM212" t="s">
        <v>245</v>
      </c>
      <c r="AN212" t="s">
        <v>246</v>
      </c>
      <c r="AO212" t="s">
        <v>492</v>
      </c>
      <c r="AP212" t="s">
        <v>493</v>
      </c>
      <c r="AQ212" t="s">
        <v>74</v>
      </c>
      <c r="AR212" t="s">
        <v>494</v>
      </c>
      <c r="AS212" t="s">
        <v>495</v>
      </c>
      <c r="AT212" t="s">
        <v>74</v>
      </c>
      <c r="AU212">
        <v>2015</v>
      </c>
      <c r="AV212">
        <v>15</v>
      </c>
      <c r="AW212">
        <v>14</v>
      </c>
      <c r="AX212" t="s">
        <v>74</v>
      </c>
      <c r="AY212" t="s">
        <v>74</v>
      </c>
      <c r="AZ212" t="s">
        <v>74</v>
      </c>
      <c r="BA212" t="s">
        <v>74</v>
      </c>
      <c r="BB212">
        <v>8459</v>
      </c>
      <c r="BC212">
        <v>8477</v>
      </c>
      <c r="BD212" t="s">
        <v>74</v>
      </c>
      <c r="BE212" t="s">
        <v>4441</v>
      </c>
      <c r="BF212" t="str">
        <f>HYPERLINK("http://dx.doi.org/10.5194/acp-15-8459-2015","http://dx.doi.org/10.5194/acp-15-8459-2015")</f>
        <v>http://dx.doi.org/10.5194/acp-15-8459-2015</v>
      </c>
      <c r="BG212" t="s">
        <v>74</v>
      </c>
      <c r="BH212" t="s">
        <v>74</v>
      </c>
      <c r="BI212">
        <v>19</v>
      </c>
      <c r="BJ212" t="s">
        <v>497</v>
      </c>
      <c r="BK212" t="s">
        <v>91</v>
      </c>
      <c r="BL212" t="s">
        <v>498</v>
      </c>
      <c r="BM212" t="s">
        <v>4393</v>
      </c>
      <c r="BN212" t="s">
        <v>74</v>
      </c>
      <c r="BO212" t="s">
        <v>805</v>
      </c>
      <c r="BP212" t="s">
        <v>74</v>
      </c>
      <c r="BQ212" t="s">
        <v>74</v>
      </c>
      <c r="BR212" t="s">
        <v>93</v>
      </c>
      <c r="BS212" t="s">
        <v>4442</v>
      </c>
      <c r="BT212" t="str">
        <f>HYPERLINK("https%3A%2F%2Fwww.webofscience.com%2Fwos%2Fwoscc%2Ffull-record%2FWOS:000358799000040","View Full Record in Web of Science")</f>
        <v>View Full Record in Web of Science</v>
      </c>
    </row>
    <row r="213" spans="1:72" x14ac:dyDescent="0.15">
      <c r="A213" t="s">
        <v>72</v>
      </c>
      <c r="B213" t="s">
        <v>4443</v>
      </c>
      <c r="C213" t="s">
        <v>74</v>
      </c>
      <c r="D213" t="s">
        <v>74</v>
      </c>
      <c r="E213" t="s">
        <v>74</v>
      </c>
      <c r="F213" t="s">
        <v>4444</v>
      </c>
      <c r="G213" t="s">
        <v>74</v>
      </c>
      <c r="H213" t="s">
        <v>74</v>
      </c>
      <c r="I213" t="s">
        <v>4445</v>
      </c>
      <c r="J213" t="s">
        <v>480</v>
      </c>
      <c r="K213" t="s">
        <v>74</v>
      </c>
      <c r="L213" t="s">
        <v>74</v>
      </c>
      <c r="M213" t="s">
        <v>78</v>
      </c>
      <c r="N213" t="s">
        <v>99</v>
      </c>
      <c r="O213" t="s">
        <v>74</v>
      </c>
      <c r="P213" t="s">
        <v>74</v>
      </c>
      <c r="Q213" t="s">
        <v>74</v>
      </c>
      <c r="R213" t="s">
        <v>74</v>
      </c>
      <c r="S213" t="s">
        <v>74</v>
      </c>
      <c r="T213" t="s">
        <v>74</v>
      </c>
      <c r="U213" t="s">
        <v>4446</v>
      </c>
      <c r="V213" t="s">
        <v>4447</v>
      </c>
      <c r="W213" t="s">
        <v>4448</v>
      </c>
      <c r="X213" t="s">
        <v>4449</v>
      </c>
      <c r="Y213" t="s">
        <v>4450</v>
      </c>
      <c r="Z213" t="s">
        <v>4451</v>
      </c>
      <c r="AA213" t="s">
        <v>4452</v>
      </c>
      <c r="AB213" t="s">
        <v>4453</v>
      </c>
      <c r="AC213" t="s">
        <v>4454</v>
      </c>
      <c r="AD213" t="s">
        <v>4455</v>
      </c>
      <c r="AE213" t="s">
        <v>4456</v>
      </c>
      <c r="AF213" t="s">
        <v>74</v>
      </c>
      <c r="AG213">
        <v>53</v>
      </c>
      <c r="AH213">
        <v>13</v>
      </c>
      <c r="AI213">
        <v>14</v>
      </c>
      <c r="AJ213">
        <v>0</v>
      </c>
      <c r="AK213">
        <v>17</v>
      </c>
      <c r="AL213" t="s">
        <v>244</v>
      </c>
      <c r="AM213" t="s">
        <v>245</v>
      </c>
      <c r="AN213" t="s">
        <v>246</v>
      </c>
      <c r="AO213" t="s">
        <v>492</v>
      </c>
      <c r="AP213" t="s">
        <v>493</v>
      </c>
      <c r="AQ213" t="s">
        <v>74</v>
      </c>
      <c r="AR213" t="s">
        <v>494</v>
      </c>
      <c r="AS213" t="s">
        <v>495</v>
      </c>
      <c r="AT213" t="s">
        <v>74</v>
      </c>
      <c r="AU213">
        <v>2015</v>
      </c>
      <c r="AV213">
        <v>15</v>
      </c>
      <c r="AW213">
        <v>16</v>
      </c>
      <c r="AX213" t="s">
        <v>74</v>
      </c>
      <c r="AY213" t="s">
        <v>74</v>
      </c>
      <c r="AZ213" t="s">
        <v>74</v>
      </c>
      <c r="BA213" t="s">
        <v>74</v>
      </c>
      <c r="BB213">
        <v>9143</v>
      </c>
      <c r="BC213">
        <v>9158</v>
      </c>
      <c r="BD213" t="s">
        <v>74</v>
      </c>
      <c r="BE213" t="s">
        <v>4457</v>
      </c>
      <c r="BF213" t="str">
        <f>HYPERLINK("http://dx.doi.org/10.5194/acp-15-9143-2015","http://dx.doi.org/10.5194/acp-15-9143-2015")</f>
        <v>http://dx.doi.org/10.5194/acp-15-9143-2015</v>
      </c>
      <c r="BG213" t="s">
        <v>74</v>
      </c>
      <c r="BH213" t="s">
        <v>74</v>
      </c>
      <c r="BI213">
        <v>16</v>
      </c>
      <c r="BJ213" t="s">
        <v>497</v>
      </c>
      <c r="BK213" t="s">
        <v>91</v>
      </c>
      <c r="BL213" t="s">
        <v>498</v>
      </c>
      <c r="BM213" t="s">
        <v>4458</v>
      </c>
      <c r="BN213" t="s">
        <v>74</v>
      </c>
      <c r="BO213" t="s">
        <v>4459</v>
      </c>
      <c r="BP213" t="s">
        <v>74</v>
      </c>
      <c r="BQ213" t="s">
        <v>74</v>
      </c>
      <c r="BR213" t="s">
        <v>93</v>
      </c>
      <c r="BS213" t="s">
        <v>4460</v>
      </c>
      <c r="BT213" t="str">
        <f>HYPERLINK("https%3A%2F%2Fwww.webofscience.com%2Fwos%2Fwoscc%2Ffull-record%2FWOS:000360646500004","View Full Record in Web of Science")</f>
        <v>View Full Record in Web of Science</v>
      </c>
    </row>
    <row r="214" spans="1:72" x14ac:dyDescent="0.15">
      <c r="A214" t="s">
        <v>72</v>
      </c>
      <c r="B214" t="s">
        <v>4461</v>
      </c>
      <c r="C214" t="s">
        <v>74</v>
      </c>
      <c r="D214" t="s">
        <v>74</v>
      </c>
      <c r="E214" t="s">
        <v>74</v>
      </c>
      <c r="F214" t="s">
        <v>4462</v>
      </c>
      <c r="G214" t="s">
        <v>74</v>
      </c>
      <c r="H214" t="s">
        <v>74</v>
      </c>
      <c r="I214" t="s">
        <v>4463</v>
      </c>
      <c r="J214" t="s">
        <v>480</v>
      </c>
      <c r="K214" t="s">
        <v>74</v>
      </c>
      <c r="L214" t="s">
        <v>74</v>
      </c>
      <c r="M214" t="s">
        <v>78</v>
      </c>
      <c r="N214" t="s">
        <v>99</v>
      </c>
      <c r="O214" t="s">
        <v>74</v>
      </c>
      <c r="P214" t="s">
        <v>74</v>
      </c>
      <c r="Q214" t="s">
        <v>74</v>
      </c>
      <c r="R214" t="s">
        <v>74</v>
      </c>
      <c r="S214" t="s">
        <v>74</v>
      </c>
      <c r="T214" t="s">
        <v>74</v>
      </c>
      <c r="U214" t="s">
        <v>4464</v>
      </c>
      <c r="V214" t="s">
        <v>4465</v>
      </c>
      <c r="W214" t="s">
        <v>4466</v>
      </c>
      <c r="X214" t="s">
        <v>4467</v>
      </c>
      <c r="Y214" t="s">
        <v>4468</v>
      </c>
      <c r="Z214" t="s">
        <v>4469</v>
      </c>
      <c r="AA214" t="s">
        <v>4470</v>
      </c>
      <c r="AB214" t="s">
        <v>4471</v>
      </c>
      <c r="AC214" t="s">
        <v>4472</v>
      </c>
      <c r="AD214" t="s">
        <v>4473</v>
      </c>
      <c r="AE214" t="s">
        <v>4474</v>
      </c>
      <c r="AF214" t="s">
        <v>74</v>
      </c>
      <c r="AG214">
        <v>132</v>
      </c>
      <c r="AH214">
        <v>35</v>
      </c>
      <c r="AI214">
        <v>36</v>
      </c>
      <c r="AJ214">
        <v>4</v>
      </c>
      <c r="AK214">
        <v>67</v>
      </c>
      <c r="AL214" t="s">
        <v>244</v>
      </c>
      <c r="AM214" t="s">
        <v>245</v>
      </c>
      <c r="AN214" t="s">
        <v>246</v>
      </c>
      <c r="AO214" t="s">
        <v>492</v>
      </c>
      <c r="AP214" t="s">
        <v>493</v>
      </c>
      <c r="AQ214" t="s">
        <v>74</v>
      </c>
      <c r="AR214" t="s">
        <v>494</v>
      </c>
      <c r="AS214" t="s">
        <v>495</v>
      </c>
      <c r="AT214" t="s">
        <v>74</v>
      </c>
      <c r="AU214">
        <v>2015</v>
      </c>
      <c r="AV214">
        <v>15</v>
      </c>
      <c r="AW214">
        <v>17</v>
      </c>
      <c r="AX214" t="s">
        <v>74</v>
      </c>
      <c r="AY214" t="s">
        <v>74</v>
      </c>
      <c r="AZ214" t="s">
        <v>74</v>
      </c>
      <c r="BA214" t="s">
        <v>74</v>
      </c>
      <c r="BB214">
        <v>9731</v>
      </c>
      <c r="BC214">
        <v>9746</v>
      </c>
      <c r="BD214" t="s">
        <v>74</v>
      </c>
      <c r="BE214" t="s">
        <v>4475</v>
      </c>
      <c r="BF214" t="str">
        <f>HYPERLINK("http://dx.doi.org/10.5194/acp-15-9731-2015","http://dx.doi.org/10.5194/acp-15-9731-2015")</f>
        <v>http://dx.doi.org/10.5194/acp-15-9731-2015</v>
      </c>
      <c r="BG214" t="s">
        <v>74</v>
      </c>
      <c r="BH214" t="s">
        <v>74</v>
      </c>
      <c r="BI214">
        <v>16</v>
      </c>
      <c r="BJ214" t="s">
        <v>497</v>
      </c>
      <c r="BK214" t="s">
        <v>91</v>
      </c>
      <c r="BL214" t="s">
        <v>498</v>
      </c>
      <c r="BM214" t="s">
        <v>4476</v>
      </c>
      <c r="BN214" t="s">
        <v>74</v>
      </c>
      <c r="BO214" t="s">
        <v>1136</v>
      </c>
      <c r="BP214" t="s">
        <v>74</v>
      </c>
      <c r="BQ214" t="s">
        <v>74</v>
      </c>
      <c r="BR214" t="s">
        <v>93</v>
      </c>
      <c r="BS214" t="s">
        <v>4477</v>
      </c>
      <c r="BT214" t="str">
        <f>HYPERLINK("https%3A%2F%2Fwww.webofscience.com%2Fwos%2Fwoscc%2Ffull-record%2FWOS:000361567600001","View Full Record in Web of Science")</f>
        <v>View Full Record in Web of Science</v>
      </c>
    </row>
    <row r="215" spans="1:72" x14ac:dyDescent="0.15">
      <c r="A215" t="s">
        <v>72</v>
      </c>
      <c r="B215" t="s">
        <v>4478</v>
      </c>
      <c r="C215" t="s">
        <v>74</v>
      </c>
      <c r="D215" t="s">
        <v>74</v>
      </c>
      <c r="E215" t="s">
        <v>74</v>
      </c>
      <c r="F215" t="s">
        <v>4479</v>
      </c>
      <c r="G215" t="s">
        <v>74</v>
      </c>
      <c r="H215" t="s">
        <v>74</v>
      </c>
      <c r="I215" t="s">
        <v>4480</v>
      </c>
      <c r="J215" t="s">
        <v>480</v>
      </c>
      <c r="K215" t="s">
        <v>74</v>
      </c>
      <c r="L215" t="s">
        <v>74</v>
      </c>
      <c r="M215" t="s">
        <v>78</v>
      </c>
      <c r="N215" t="s">
        <v>99</v>
      </c>
      <c r="O215" t="s">
        <v>74</v>
      </c>
      <c r="P215" t="s">
        <v>74</v>
      </c>
      <c r="Q215" t="s">
        <v>74</v>
      </c>
      <c r="R215" t="s">
        <v>74</v>
      </c>
      <c r="S215" t="s">
        <v>74</v>
      </c>
      <c r="T215" t="s">
        <v>74</v>
      </c>
      <c r="U215" t="s">
        <v>4481</v>
      </c>
      <c r="V215" t="s">
        <v>4482</v>
      </c>
      <c r="W215" t="s">
        <v>4483</v>
      </c>
      <c r="X215" t="s">
        <v>4484</v>
      </c>
      <c r="Y215" t="s">
        <v>4485</v>
      </c>
      <c r="Z215" t="s">
        <v>4486</v>
      </c>
      <c r="AA215" t="s">
        <v>4487</v>
      </c>
      <c r="AB215" t="s">
        <v>4488</v>
      </c>
      <c r="AC215" t="s">
        <v>4489</v>
      </c>
      <c r="AD215" t="s">
        <v>4423</v>
      </c>
      <c r="AE215" t="s">
        <v>4490</v>
      </c>
      <c r="AF215" t="s">
        <v>74</v>
      </c>
      <c r="AG215">
        <v>41</v>
      </c>
      <c r="AH215">
        <v>22</v>
      </c>
      <c r="AI215">
        <v>23</v>
      </c>
      <c r="AJ215">
        <v>0</v>
      </c>
      <c r="AK215">
        <v>12</v>
      </c>
      <c r="AL215" t="s">
        <v>244</v>
      </c>
      <c r="AM215" t="s">
        <v>245</v>
      </c>
      <c r="AN215" t="s">
        <v>246</v>
      </c>
      <c r="AO215" t="s">
        <v>492</v>
      </c>
      <c r="AP215" t="s">
        <v>493</v>
      </c>
      <c r="AQ215" t="s">
        <v>74</v>
      </c>
      <c r="AR215" t="s">
        <v>494</v>
      </c>
      <c r="AS215" t="s">
        <v>495</v>
      </c>
      <c r="AT215" t="s">
        <v>74</v>
      </c>
      <c r="AU215">
        <v>2015</v>
      </c>
      <c r="AV215">
        <v>15</v>
      </c>
      <c r="AW215">
        <v>18</v>
      </c>
      <c r="AX215" t="s">
        <v>74</v>
      </c>
      <c r="AY215" t="s">
        <v>74</v>
      </c>
      <c r="AZ215" t="s">
        <v>74</v>
      </c>
      <c r="BA215" t="s">
        <v>74</v>
      </c>
      <c r="BB215">
        <v>10619</v>
      </c>
      <c r="BC215">
        <v>10629</v>
      </c>
      <c r="BD215" t="s">
        <v>74</v>
      </c>
      <c r="BE215" t="s">
        <v>4491</v>
      </c>
      <c r="BF215" t="str">
        <f>HYPERLINK("http://dx.doi.org/10.5194/acp-15-10619-2015","http://dx.doi.org/10.5194/acp-15-10619-2015")</f>
        <v>http://dx.doi.org/10.5194/acp-15-10619-2015</v>
      </c>
      <c r="BG215" t="s">
        <v>74</v>
      </c>
      <c r="BH215" t="s">
        <v>74</v>
      </c>
      <c r="BI215">
        <v>11</v>
      </c>
      <c r="BJ215" t="s">
        <v>497</v>
      </c>
      <c r="BK215" t="s">
        <v>91</v>
      </c>
      <c r="BL215" t="s">
        <v>498</v>
      </c>
      <c r="BM215" t="s">
        <v>4492</v>
      </c>
      <c r="BN215" t="s">
        <v>74</v>
      </c>
      <c r="BO215" t="s">
        <v>1458</v>
      </c>
      <c r="BP215" t="s">
        <v>74</v>
      </c>
      <c r="BQ215" t="s">
        <v>74</v>
      </c>
      <c r="BR215" t="s">
        <v>93</v>
      </c>
      <c r="BS215" t="s">
        <v>4493</v>
      </c>
      <c r="BT215" t="str">
        <f>HYPERLINK("https%3A%2F%2Fwww.webofscience.com%2Fwos%2Fwoscc%2Ffull-record%2FWOS:000362457400021","View Full Record in Web of Science")</f>
        <v>View Full Record in Web of Science</v>
      </c>
    </row>
    <row r="216" spans="1:72" x14ac:dyDescent="0.15">
      <c r="A216" t="s">
        <v>72</v>
      </c>
      <c r="B216" t="s">
        <v>4494</v>
      </c>
      <c r="C216" t="s">
        <v>74</v>
      </c>
      <c r="D216" t="s">
        <v>74</v>
      </c>
      <c r="E216" t="s">
        <v>74</v>
      </c>
      <c r="F216" t="s">
        <v>4495</v>
      </c>
      <c r="G216" t="s">
        <v>74</v>
      </c>
      <c r="H216" t="s">
        <v>74</v>
      </c>
      <c r="I216" t="s">
        <v>4496</v>
      </c>
      <c r="J216" t="s">
        <v>480</v>
      </c>
      <c r="K216" t="s">
        <v>74</v>
      </c>
      <c r="L216" t="s">
        <v>74</v>
      </c>
      <c r="M216" t="s">
        <v>78</v>
      </c>
      <c r="N216" t="s">
        <v>99</v>
      </c>
      <c r="O216" t="s">
        <v>74</v>
      </c>
      <c r="P216" t="s">
        <v>74</v>
      </c>
      <c r="Q216" t="s">
        <v>74</v>
      </c>
      <c r="R216" t="s">
        <v>74</v>
      </c>
      <c r="S216" t="s">
        <v>74</v>
      </c>
      <c r="T216" t="s">
        <v>74</v>
      </c>
      <c r="U216" t="s">
        <v>4497</v>
      </c>
      <c r="V216" t="s">
        <v>4498</v>
      </c>
      <c r="W216" t="s">
        <v>4499</v>
      </c>
      <c r="X216" t="s">
        <v>4500</v>
      </c>
      <c r="Y216" t="s">
        <v>4501</v>
      </c>
      <c r="Z216" t="s">
        <v>4502</v>
      </c>
      <c r="AA216" t="s">
        <v>4503</v>
      </c>
      <c r="AB216" t="s">
        <v>4504</v>
      </c>
      <c r="AC216" t="s">
        <v>4505</v>
      </c>
      <c r="AD216" t="s">
        <v>4506</v>
      </c>
      <c r="AE216" t="s">
        <v>4507</v>
      </c>
      <c r="AF216" t="s">
        <v>74</v>
      </c>
      <c r="AG216">
        <v>60</v>
      </c>
      <c r="AH216">
        <v>73</v>
      </c>
      <c r="AI216">
        <v>84</v>
      </c>
      <c r="AJ216">
        <v>3</v>
      </c>
      <c r="AK216">
        <v>105</v>
      </c>
      <c r="AL216" t="s">
        <v>244</v>
      </c>
      <c r="AM216" t="s">
        <v>245</v>
      </c>
      <c r="AN216" t="s">
        <v>246</v>
      </c>
      <c r="AO216" t="s">
        <v>492</v>
      </c>
      <c r="AP216" t="s">
        <v>493</v>
      </c>
      <c r="AQ216" t="s">
        <v>74</v>
      </c>
      <c r="AR216" t="s">
        <v>494</v>
      </c>
      <c r="AS216" t="s">
        <v>495</v>
      </c>
      <c r="AT216" t="s">
        <v>74</v>
      </c>
      <c r="AU216">
        <v>2015</v>
      </c>
      <c r="AV216">
        <v>15</v>
      </c>
      <c r="AW216">
        <v>19</v>
      </c>
      <c r="AX216" t="s">
        <v>74</v>
      </c>
      <c r="AY216" t="s">
        <v>74</v>
      </c>
      <c r="AZ216" t="s">
        <v>74</v>
      </c>
      <c r="BA216" t="s">
        <v>74</v>
      </c>
      <c r="BB216">
        <v>11341</v>
      </c>
      <c r="BC216">
        <v>11353</v>
      </c>
      <c r="BD216" t="s">
        <v>74</v>
      </c>
      <c r="BE216" t="s">
        <v>4508</v>
      </c>
      <c r="BF216" t="str">
        <f>HYPERLINK("http://dx.doi.org/10.5194/acp-15-11341-2015","http://dx.doi.org/10.5194/acp-15-11341-2015")</f>
        <v>http://dx.doi.org/10.5194/acp-15-11341-2015</v>
      </c>
      <c r="BG216" t="s">
        <v>74</v>
      </c>
      <c r="BH216" t="s">
        <v>74</v>
      </c>
      <c r="BI216">
        <v>13</v>
      </c>
      <c r="BJ216" t="s">
        <v>497</v>
      </c>
      <c r="BK216" t="s">
        <v>91</v>
      </c>
      <c r="BL216" t="s">
        <v>498</v>
      </c>
      <c r="BM216" t="s">
        <v>4509</v>
      </c>
      <c r="BN216" t="s">
        <v>74</v>
      </c>
      <c r="BO216" t="s">
        <v>1136</v>
      </c>
      <c r="BP216" t="s">
        <v>74</v>
      </c>
      <c r="BQ216" t="s">
        <v>74</v>
      </c>
      <c r="BR216" t="s">
        <v>93</v>
      </c>
      <c r="BS216" t="s">
        <v>4510</v>
      </c>
      <c r="BT216" t="str">
        <f>HYPERLINK("https%3A%2F%2Fwww.webofscience.com%2Fwos%2Fwoscc%2Ffull-record%2FWOS:000362971000026","View Full Record in Web of Science")</f>
        <v>View Full Record in Web of Science</v>
      </c>
    </row>
    <row r="217" spans="1:72" x14ac:dyDescent="0.15">
      <c r="A217" t="s">
        <v>72</v>
      </c>
      <c r="B217" t="s">
        <v>4511</v>
      </c>
      <c r="C217" t="s">
        <v>74</v>
      </c>
      <c r="D217" t="s">
        <v>74</v>
      </c>
      <c r="E217" t="s">
        <v>74</v>
      </c>
      <c r="F217" t="s">
        <v>4512</v>
      </c>
      <c r="G217" t="s">
        <v>74</v>
      </c>
      <c r="H217" t="s">
        <v>74</v>
      </c>
      <c r="I217" t="s">
        <v>4513</v>
      </c>
      <c r="J217" t="s">
        <v>480</v>
      </c>
      <c r="K217" t="s">
        <v>74</v>
      </c>
      <c r="L217" t="s">
        <v>74</v>
      </c>
      <c r="M217" t="s">
        <v>78</v>
      </c>
      <c r="N217" t="s">
        <v>99</v>
      </c>
      <c r="O217" t="s">
        <v>74</v>
      </c>
      <c r="P217" t="s">
        <v>74</v>
      </c>
      <c r="Q217" t="s">
        <v>74</v>
      </c>
      <c r="R217" t="s">
        <v>74</v>
      </c>
      <c r="S217" t="s">
        <v>74</v>
      </c>
      <c r="T217" t="s">
        <v>74</v>
      </c>
      <c r="U217" t="s">
        <v>4514</v>
      </c>
      <c r="V217" t="s">
        <v>4515</v>
      </c>
      <c r="W217" t="s">
        <v>4516</v>
      </c>
      <c r="X217" t="s">
        <v>4517</v>
      </c>
      <c r="Y217" t="s">
        <v>4518</v>
      </c>
      <c r="Z217" t="s">
        <v>4519</v>
      </c>
      <c r="AA217" t="s">
        <v>4520</v>
      </c>
      <c r="AB217" t="s">
        <v>4521</v>
      </c>
      <c r="AC217" t="s">
        <v>4522</v>
      </c>
      <c r="AD217" t="s">
        <v>4523</v>
      </c>
      <c r="AE217" t="s">
        <v>4524</v>
      </c>
      <c r="AF217" t="s">
        <v>74</v>
      </c>
      <c r="AG217">
        <v>73</v>
      </c>
      <c r="AH217">
        <v>30</v>
      </c>
      <c r="AI217">
        <v>32</v>
      </c>
      <c r="AJ217">
        <v>0</v>
      </c>
      <c r="AK217">
        <v>28</v>
      </c>
      <c r="AL217" t="s">
        <v>244</v>
      </c>
      <c r="AM217" t="s">
        <v>245</v>
      </c>
      <c r="AN217" t="s">
        <v>246</v>
      </c>
      <c r="AO217" t="s">
        <v>492</v>
      </c>
      <c r="AP217" t="s">
        <v>493</v>
      </c>
      <c r="AQ217" t="s">
        <v>74</v>
      </c>
      <c r="AR217" t="s">
        <v>494</v>
      </c>
      <c r="AS217" t="s">
        <v>495</v>
      </c>
      <c r="AT217" t="s">
        <v>74</v>
      </c>
      <c r="AU217">
        <v>2015</v>
      </c>
      <c r="AV217">
        <v>15</v>
      </c>
      <c r="AW217">
        <v>20</v>
      </c>
      <c r="AX217" t="s">
        <v>74</v>
      </c>
      <c r="AY217" t="s">
        <v>74</v>
      </c>
      <c r="AZ217" t="s">
        <v>74</v>
      </c>
      <c r="BA217" t="s">
        <v>74</v>
      </c>
      <c r="BB217">
        <v>12079</v>
      </c>
      <c r="BC217">
        <v>12113</v>
      </c>
      <c r="BD217" t="s">
        <v>74</v>
      </c>
      <c r="BE217" t="s">
        <v>4525</v>
      </c>
      <c r="BF217" t="str">
        <f>HYPERLINK("http://dx.doi.org/10.5194/acp-15-12079-2015","http://dx.doi.org/10.5194/acp-15-12079-2015")</f>
        <v>http://dx.doi.org/10.5194/acp-15-12079-2015</v>
      </c>
      <c r="BG217" t="s">
        <v>74</v>
      </c>
      <c r="BH217" t="s">
        <v>74</v>
      </c>
      <c r="BI217">
        <v>35</v>
      </c>
      <c r="BJ217" t="s">
        <v>497</v>
      </c>
      <c r="BK217" t="s">
        <v>91</v>
      </c>
      <c r="BL217" t="s">
        <v>498</v>
      </c>
      <c r="BM217" t="s">
        <v>4526</v>
      </c>
      <c r="BN217" t="s">
        <v>74</v>
      </c>
      <c r="BO217" t="s">
        <v>1557</v>
      </c>
      <c r="BP217" t="s">
        <v>74</v>
      </c>
      <c r="BQ217" t="s">
        <v>74</v>
      </c>
      <c r="BR217" t="s">
        <v>93</v>
      </c>
      <c r="BS217" t="s">
        <v>4527</v>
      </c>
      <c r="BT217" t="str">
        <f>HYPERLINK("https%3A%2F%2Fwww.webofscience.com%2Fwos%2Fwoscc%2Ffull-record%2FWOS:000364316800036","View Full Record in Web of Science")</f>
        <v>View Full Record in Web of Science</v>
      </c>
    </row>
    <row r="218" spans="1:72" x14ac:dyDescent="0.15">
      <c r="A218" t="s">
        <v>72</v>
      </c>
      <c r="B218" t="s">
        <v>4528</v>
      </c>
      <c r="C218" t="s">
        <v>74</v>
      </c>
      <c r="D218" t="s">
        <v>74</v>
      </c>
      <c r="E218" t="s">
        <v>74</v>
      </c>
      <c r="F218" t="s">
        <v>4529</v>
      </c>
      <c r="G218" t="s">
        <v>74</v>
      </c>
      <c r="H218" t="s">
        <v>74</v>
      </c>
      <c r="I218" t="s">
        <v>4530</v>
      </c>
      <c r="J218" t="s">
        <v>480</v>
      </c>
      <c r="K218" t="s">
        <v>74</v>
      </c>
      <c r="L218" t="s">
        <v>74</v>
      </c>
      <c r="M218" t="s">
        <v>78</v>
      </c>
      <c r="N218" t="s">
        <v>99</v>
      </c>
      <c r="O218" t="s">
        <v>74</v>
      </c>
      <c r="P218" t="s">
        <v>74</v>
      </c>
      <c r="Q218" t="s">
        <v>74</v>
      </c>
      <c r="R218" t="s">
        <v>74</v>
      </c>
      <c r="S218" t="s">
        <v>74</v>
      </c>
      <c r="T218" t="s">
        <v>74</v>
      </c>
      <c r="U218" t="s">
        <v>4531</v>
      </c>
      <c r="V218" t="s">
        <v>4532</v>
      </c>
      <c r="W218" t="s">
        <v>4533</v>
      </c>
      <c r="X218" t="s">
        <v>4534</v>
      </c>
      <c r="Y218" t="s">
        <v>4535</v>
      </c>
      <c r="Z218" t="s">
        <v>4536</v>
      </c>
      <c r="AA218" t="s">
        <v>4537</v>
      </c>
      <c r="AB218" t="s">
        <v>4538</v>
      </c>
      <c r="AC218" t="s">
        <v>4539</v>
      </c>
      <c r="AD218" t="s">
        <v>4540</v>
      </c>
      <c r="AE218" t="s">
        <v>4541</v>
      </c>
      <c r="AF218" t="s">
        <v>74</v>
      </c>
      <c r="AG218">
        <v>121</v>
      </c>
      <c r="AH218">
        <v>25</v>
      </c>
      <c r="AI218">
        <v>26</v>
      </c>
      <c r="AJ218">
        <v>1</v>
      </c>
      <c r="AK218">
        <v>42</v>
      </c>
      <c r="AL218" t="s">
        <v>244</v>
      </c>
      <c r="AM218" t="s">
        <v>245</v>
      </c>
      <c r="AN218" t="s">
        <v>246</v>
      </c>
      <c r="AO218" t="s">
        <v>492</v>
      </c>
      <c r="AP218" t="s">
        <v>493</v>
      </c>
      <c r="AQ218" t="s">
        <v>74</v>
      </c>
      <c r="AR218" t="s">
        <v>494</v>
      </c>
      <c r="AS218" t="s">
        <v>495</v>
      </c>
      <c r="AT218" t="s">
        <v>74</v>
      </c>
      <c r="AU218">
        <v>2015</v>
      </c>
      <c r="AV218">
        <v>15</v>
      </c>
      <c r="AW218">
        <v>23</v>
      </c>
      <c r="AX218" t="s">
        <v>74</v>
      </c>
      <c r="AY218" t="s">
        <v>74</v>
      </c>
      <c r="AZ218" t="s">
        <v>74</v>
      </c>
      <c r="BA218" t="s">
        <v>74</v>
      </c>
      <c r="BB218">
        <v>13339</v>
      </c>
      <c r="BC218">
        <v>13364</v>
      </c>
      <c r="BD218" t="s">
        <v>74</v>
      </c>
      <c r="BE218" t="s">
        <v>4542</v>
      </c>
      <c r="BF218" t="str">
        <f>HYPERLINK("http://dx.doi.org/10.5194/acp-15-13339-2015","http://dx.doi.org/10.5194/acp-15-13339-2015")</f>
        <v>http://dx.doi.org/10.5194/acp-15-13339-2015</v>
      </c>
      <c r="BG218" t="s">
        <v>74</v>
      </c>
      <c r="BH218" t="s">
        <v>74</v>
      </c>
      <c r="BI218">
        <v>26</v>
      </c>
      <c r="BJ218" t="s">
        <v>497</v>
      </c>
      <c r="BK218" t="s">
        <v>91</v>
      </c>
      <c r="BL218" t="s">
        <v>498</v>
      </c>
      <c r="BM218" t="s">
        <v>4543</v>
      </c>
      <c r="BN218" t="s">
        <v>74</v>
      </c>
      <c r="BO218" t="s">
        <v>1557</v>
      </c>
      <c r="BP218" t="s">
        <v>74</v>
      </c>
      <c r="BQ218" t="s">
        <v>74</v>
      </c>
      <c r="BR218" t="s">
        <v>93</v>
      </c>
      <c r="BS218" t="s">
        <v>4544</v>
      </c>
      <c r="BT218" t="str">
        <f>HYPERLINK("https%3A%2F%2Fwww.webofscience.com%2Fwos%2Fwoscc%2Ffull-record%2FWOS:000367189600005","View Full Record in Web of Science")</f>
        <v>View Full Record in Web of Science</v>
      </c>
    </row>
    <row r="219" spans="1:72" x14ac:dyDescent="0.15">
      <c r="A219" t="s">
        <v>72</v>
      </c>
      <c r="B219" t="s">
        <v>4545</v>
      </c>
      <c r="C219" t="s">
        <v>74</v>
      </c>
      <c r="D219" t="s">
        <v>74</v>
      </c>
      <c r="E219" t="s">
        <v>74</v>
      </c>
      <c r="F219" t="s">
        <v>4546</v>
      </c>
      <c r="G219" t="s">
        <v>74</v>
      </c>
      <c r="H219" t="s">
        <v>74</v>
      </c>
      <c r="I219" t="s">
        <v>4547</v>
      </c>
      <c r="J219" t="s">
        <v>480</v>
      </c>
      <c r="K219" t="s">
        <v>74</v>
      </c>
      <c r="L219" t="s">
        <v>74</v>
      </c>
      <c r="M219" t="s">
        <v>78</v>
      </c>
      <c r="N219" t="s">
        <v>99</v>
      </c>
      <c r="O219" t="s">
        <v>74</v>
      </c>
      <c r="P219" t="s">
        <v>74</v>
      </c>
      <c r="Q219" t="s">
        <v>74</v>
      </c>
      <c r="R219" t="s">
        <v>74</v>
      </c>
      <c r="S219" t="s">
        <v>74</v>
      </c>
      <c r="T219" t="s">
        <v>74</v>
      </c>
      <c r="U219" t="s">
        <v>4548</v>
      </c>
      <c r="V219" t="s">
        <v>4549</v>
      </c>
      <c r="W219" t="s">
        <v>4550</v>
      </c>
      <c r="X219" t="s">
        <v>4551</v>
      </c>
      <c r="Y219" t="s">
        <v>4552</v>
      </c>
      <c r="Z219" t="s">
        <v>4553</v>
      </c>
      <c r="AA219" t="s">
        <v>4554</v>
      </c>
      <c r="AB219" t="s">
        <v>4555</v>
      </c>
      <c r="AC219" t="s">
        <v>4556</v>
      </c>
      <c r="AD219" t="s">
        <v>4557</v>
      </c>
      <c r="AE219" t="s">
        <v>4558</v>
      </c>
      <c r="AF219" t="s">
        <v>74</v>
      </c>
      <c r="AG219">
        <v>54</v>
      </c>
      <c r="AH219">
        <v>27</v>
      </c>
      <c r="AI219">
        <v>30</v>
      </c>
      <c r="AJ219">
        <v>1</v>
      </c>
      <c r="AK219">
        <v>21</v>
      </c>
      <c r="AL219" t="s">
        <v>244</v>
      </c>
      <c r="AM219" t="s">
        <v>245</v>
      </c>
      <c r="AN219" t="s">
        <v>246</v>
      </c>
      <c r="AO219" t="s">
        <v>492</v>
      </c>
      <c r="AP219" t="s">
        <v>493</v>
      </c>
      <c r="AQ219" t="s">
        <v>74</v>
      </c>
      <c r="AR219" t="s">
        <v>494</v>
      </c>
      <c r="AS219" t="s">
        <v>495</v>
      </c>
      <c r="AT219" t="s">
        <v>74</v>
      </c>
      <c r="AU219">
        <v>2015</v>
      </c>
      <c r="AV219">
        <v>15</v>
      </c>
      <c r="AW219">
        <v>23</v>
      </c>
      <c r="AX219" t="s">
        <v>74</v>
      </c>
      <c r="AY219" t="s">
        <v>74</v>
      </c>
      <c r="AZ219" t="s">
        <v>74</v>
      </c>
      <c r="BA219" t="s">
        <v>74</v>
      </c>
      <c r="BB219">
        <v>13647</v>
      </c>
      <c r="BC219">
        <v>13663</v>
      </c>
      <c r="BD219" t="s">
        <v>74</v>
      </c>
      <c r="BE219" t="s">
        <v>4559</v>
      </c>
      <c r="BF219" t="str">
        <f>HYPERLINK("http://dx.doi.org/10.5194/acp-15-13647-2015","http://dx.doi.org/10.5194/acp-15-13647-2015")</f>
        <v>http://dx.doi.org/10.5194/acp-15-13647-2015</v>
      </c>
      <c r="BG219" t="s">
        <v>74</v>
      </c>
      <c r="BH219" t="s">
        <v>74</v>
      </c>
      <c r="BI219">
        <v>17</v>
      </c>
      <c r="BJ219" t="s">
        <v>497</v>
      </c>
      <c r="BK219" t="s">
        <v>91</v>
      </c>
      <c r="BL219" t="s">
        <v>498</v>
      </c>
      <c r="BM219" t="s">
        <v>4543</v>
      </c>
      <c r="BN219" t="s">
        <v>74</v>
      </c>
      <c r="BO219" t="s">
        <v>805</v>
      </c>
      <c r="BP219" t="s">
        <v>74</v>
      </c>
      <c r="BQ219" t="s">
        <v>74</v>
      </c>
      <c r="BR219" t="s">
        <v>93</v>
      </c>
      <c r="BS219" t="s">
        <v>4560</v>
      </c>
      <c r="BT219" t="str">
        <f>HYPERLINK("https%3A%2F%2Fwww.webofscience.com%2Fwos%2Fwoscc%2Ffull-record%2FWOS:000367189600023","View Full Record in Web of Science")</f>
        <v>View Full Record in Web of Science</v>
      </c>
    </row>
    <row r="220" spans="1:72" x14ac:dyDescent="0.15">
      <c r="A220" t="s">
        <v>72</v>
      </c>
      <c r="B220" t="s">
        <v>4561</v>
      </c>
      <c r="C220" t="s">
        <v>74</v>
      </c>
      <c r="D220" t="s">
        <v>74</v>
      </c>
      <c r="E220" t="s">
        <v>74</v>
      </c>
      <c r="F220" t="s">
        <v>4562</v>
      </c>
      <c r="G220" t="s">
        <v>74</v>
      </c>
      <c r="H220" t="s">
        <v>74</v>
      </c>
      <c r="I220" t="s">
        <v>4563</v>
      </c>
      <c r="J220" t="s">
        <v>480</v>
      </c>
      <c r="K220" t="s">
        <v>74</v>
      </c>
      <c r="L220" t="s">
        <v>74</v>
      </c>
      <c r="M220" t="s">
        <v>78</v>
      </c>
      <c r="N220" t="s">
        <v>99</v>
      </c>
      <c r="O220" t="s">
        <v>74</v>
      </c>
      <c r="P220" t="s">
        <v>74</v>
      </c>
      <c r="Q220" t="s">
        <v>74</v>
      </c>
      <c r="R220" t="s">
        <v>74</v>
      </c>
      <c r="S220" t="s">
        <v>74</v>
      </c>
      <c r="T220" t="s">
        <v>74</v>
      </c>
      <c r="U220" t="s">
        <v>4564</v>
      </c>
      <c r="V220" t="s">
        <v>4565</v>
      </c>
      <c r="W220" t="s">
        <v>4566</v>
      </c>
      <c r="X220" t="s">
        <v>4567</v>
      </c>
      <c r="Y220" t="s">
        <v>4568</v>
      </c>
      <c r="Z220" t="s">
        <v>4569</v>
      </c>
      <c r="AA220" t="s">
        <v>4570</v>
      </c>
      <c r="AB220" t="s">
        <v>4571</v>
      </c>
      <c r="AC220" t="s">
        <v>4572</v>
      </c>
      <c r="AD220" t="s">
        <v>4573</v>
      </c>
      <c r="AE220" t="s">
        <v>4574</v>
      </c>
      <c r="AF220" t="s">
        <v>74</v>
      </c>
      <c r="AG220">
        <v>68</v>
      </c>
      <c r="AH220">
        <v>11</v>
      </c>
      <c r="AI220">
        <v>11</v>
      </c>
      <c r="AJ220">
        <v>1</v>
      </c>
      <c r="AK220">
        <v>26</v>
      </c>
      <c r="AL220" t="s">
        <v>244</v>
      </c>
      <c r="AM220" t="s">
        <v>245</v>
      </c>
      <c r="AN220" t="s">
        <v>246</v>
      </c>
      <c r="AO220" t="s">
        <v>492</v>
      </c>
      <c r="AP220" t="s">
        <v>493</v>
      </c>
      <c r="AQ220" t="s">
        <v>74</v>
      </c>
      <c r="AR220" t="s">
        <v>494</v>
      </c>
      <c r="AS220" t="s">
        <v>495</v>
      </c>
      <c r="AT220" t="s">
        <v>74</v>
      </c>
      <c r="AU220">
        <v>2015</v>
      </c>
      <c r="AV220">
        <v>15</v>
      </c>
      <c r="AW220">
        <v>24</v>
      </c>
      <c r="AX220" t="s">
        <v>74</v>
      </c>
      <c r="AY220" t="s">
        <v>74</v>
      </c>
      <c r="AZ220" t="s">
        <v>74</v>
      </c>
      <c r="BA220" t="s">
        <v>74</v>
      </c>
      <c r="BB220">
        <v>13895</v>
      </c>
      <c r="BC220">
        <v>13914</v>
      </c>
      <c r="BD220" t="s">
        <v>74</v>
      </c>
      <c r="BE220" t="s">
        <v>4575</v>
      </c>
      <c r="BF220" t="str">
        <f>HYPERLINK("http://dx.doi.org/10.5194/acp-15-13895-2015","http://dx.doi.org/10.5194/acp-15-13895-2015")</f>
        <v>http://dx.doi.org/10.5194/acp-15-13895-2015</v>
      </c>
      <c r="BG220" t="s">
        <v>74</v>
      </c>
      <c r="BH220" t="s">
        <v>74</v>
      </c>
      <c r="BI220">
        <v>20</v>
      </c>
      <c r="BJ220" t="s">
        <v>497</v>
      </c>
      <c r="BK220" t="s">
        <v>91</v>
      </c>
      <c r="BL220" t="s">
        <v>498</v>
      </c>
      <c r="BM220" t="s">
        <v>4576</v>
      </c>
      <c r="BN220" t="s">
        <v>74</v>
      </c>
      <c r="BO220" t="s">
        <v>4211</v>
      </c>
      <c r="BP220" t="s">
        <v>74</v>
      </c>
      <c r="BQ220" t="s">
        <v>74</v>
      </c>
      <c r="BR220" t="s">
        <v>93</v>
      </c>
      <c r="BS220" t="s">
        <v>4577</v>
      </c>
      <c r="BT220" t="str">
        <f>HYPERLINK("https%3A%2F%2Fwww.webofscience.com%2Fwos%2Fwoscc%2Ffull-record%2FWOS:000367384200004","View Full Record in Web of Science")</f>
        <v>View Full Record in Web of Science</v>
      </c>
    </row>
    <row r="221" spans="1:72" x14ac:dyDescent="0.15">
      <c r="A221" t="s">
        <v>72</v>
      </c>
      <c r="B221" t="s">
        <v>4578</v>
      </c>
      <c r="C221" t="s">
        <v>74</v>
      </c>
      <c r="D221" t="s">
        <v>74</v>
      </c>
      <c r="E221" t="s">
        <v>74</v>
      </c>
      <c r="F221" t="s">
        <v>4579</v>
      </c>
      <c r="G221" t="s">
        <v>74</v>
      </c>
      <c r="H221" t="s">
        <v>74</v>
      </c>
      <c r="I221" t="s">
        <v>4580</v>
      </c>
      <c r="J221" t="s">
        <v>260</v>
      </c>
      <c r="K221" t="s">
        <v>74</v>
      </c>
      <c r="L221" t="s">
        <v>74</v>
      </c>
      <c r="M221" t="s">
        <v>78</v>
      </c>
      <c r="N221" t="s">
        <v>99</v>
      </c>
      <c r="O221" t="s">
        <v>74</v>
      </c>
      <c r="P221" t="s">
        <v>74</v>
      </c>
      <c r="Q221" t="s">
        <v>74</v>
      </c>
      <c r="R221" t="s">
        <v>74</v>
      </c>
      <c r="S221" t="s">
        <v>74</v>
      </c>
      <c r="T221" t="s">
        <v>74</v>
      </c>
      <c r="U221" t="s">
        <v>4581</v>
      </c>
      <c r="V221" t="s">
        <v>4582</v>
      </c>
      <c r="W221" t="s">
        <v>4583</v>
      </c>
      <c r="X221" t="s">
        <v>4584</v>
      </c>
      <c r="Y221" t="s">
        <v>4585</v>
      </c>
      <c r="Z221" t="s">
        <v>4586</v>
      </c>
      <c r="AA221" t="s">
        <v>4587</v>
      </c>
      <c r="AB221" t="s">
        <v>4588</v>
      </c>
      <c r="AC221" t="s">
        <v>74</v>
      </c>
      <c r="AD221" t="s">
        <v>74</v>
      </c>
      <c r="AE221" t="s">
        <v>74</v>
      </c>
      <c r="AF221" t="s">
        <v>74</v>
      </c>
      <c r="AG221">
        <v>59</v>
      </c>
      <c r="AH221">
        <v>106</v>
      </c>
      <c r="AI221">
        <v>109</v>
      </c>
      <c r="AJ221">
        <v>1</v>
      </c>
      <c r="AK221">
        <v>26</v>
      </c>
      <c r="AL221" t="s">
        <v>244</v>
      </c>
      <c r="AM221" t="s">
        <v>245</v>
      </c>
      <c r="AN221" t="s">
        <v>246</v>
      </c>
      <c r="AO221" t="s">
        <v>272</v>
      </c>
      <c r="AP221" t="s">
        <v>273</v>
      </c>
      <c r="AQ221" t="s">
        <v>74</v>
      </c>
      <c r="AR221" t="s">
        <v>274</v>
      </c>
      <c r="AS221" t="s">
        <v>275</v>
      </c>
      <c r="AT221" t="s">
        <v>74</v>
      </c>
      <c r="AU221">
        <v>2015</v>
      </c>
      <c r="AV221">
        <v>8</v>
      </c>
      <c r="AW221">
        <v>2</v>
      </c>
      <c r="AX221" t="s">
        <v>74</v>
      </c>
      <c r="AY221" t="s">
        <v>74</v>
      </c>
      <c r="AZ221" t="s">
        <v>74</v>
      </c>
      <c r="BA221" t="s">
        <v>74</v>
      </c>
      <c r="BB221">
        <v>611</v>
      </c>
      <c r="BC221">
        <v>632</v>
      </c>
      <c r="BD221" t="s">
        <v>74</v>
      </c>
      <c r="BE221" t="s">
        <v>4589</v>
      </c>
      <c r="BF221" t="str">
        <f>HYPERLINK("http://dx.doi.org/10.5194/amt-8-611-2015","http://dx.doi.org/10.5194/amt-8-611-2015")</f>
        <v>http://dx.doi.org/10.5194/amt-8-611-2015</v>
      </c>
      <c r="BG221" t="s">
        <v>74</v>
      </c>
      <c r="BH221" t="s">
        <v>74</v>
      </c>
      <c r="BI221">
        <v>22</v>
      </c>
      <c r="BJ221" t="s">
        <v>226</v>
      </c>
      <c r="BK221" t="s">
        <v>91</v>
      </c>
      <c r="BL221" t="s">
        <v>226</v>
      </c>
      <c r="BM221" t="s">
        <v>4590</v>
      </c>
      <c r="BN221" t="s">
        <v>74</v>
      </c>
      <c r="BO221" t="s">
        <v>1136</v>
      </c>
      <c r="BP221" t="s">
        <v>74</v>
      </c>
      <c r="BQ221" t="s">
        <v>74</v>
      </c>
      <c r="BR221" t="s">
        <v>93</v>
      </c>
      <c r="BS221" t="s">
        <v>4591</v>
      </c>
      <c r="BT221" t="str">
        <f>HYPERLINK("https%3A%2F%2Fwww.webofscience.com%2Fwos%2Fwoscc%2Ffull-record%2FWOS:000350558300007","View Full Record in Web of Science")</f>
        <v>View Full Record in Web of Science</v>
      </c>
    </row>
    <row r="222" spans="1:72" x14ac:dyDescent="0.15">
      <c r="A222" t="s">
        <v>72</v>
      </c>
      <c r="B222" t="s">
        <v>4592</v>
      </c>
      <c r="C222" t="s">
        <v>74</v>
      </c>
      <c r="D222" t="s">
        <v>74</v>
      </c>
      <c r="E222" t="s">
        <v>74</v>
      </c>
      <c r="F222" t="s">
        <v>4593</v>
      </c>
      <c r="G222" t="s">
        <v>74</v>
      </c>
      <c r="H222" t="s">
        <v>74</v>
      </c>
      <c r="I222" t="s">
        <v>4594</v>
      </c>
      <c r="J222" t="s">
        <v>260</v>
      </c>
      <c r="K222" t="s">
        <v>74</v>
      </c>
      <c r="L222" t="s">
        <v>74</v>
      </c>
      <c r="M222" t="s">
        <v>78</v>
      </c>
      <c r="N222" t="s">
        <v>99</v>
      </c>
      <c r="O222" t="s">
        <v>74</v>
      </c>
      <c r="P222" t="s">
        <v>74</v>
      </c>
      <c r="Q222" t="s">
        <v>74</v>
      </c>
      <c r="R222" t="s">
        <v>74</v>
      </c>
      <c r="S222" t="s">
        <v>74</v>
      </c>
      <c r="T222" t="s">
        <v>74</v>
      </c>
      <c r="U222" t="s">
        <v>4595</v>
      </c>
      <c r="V222" t="s">
        <v>4596</v>
      </c>
      <c r="W222" t="s">
        <v>4597</v>
      </c>
      <c r="X222" t="s">
        <v>4598</v>
      </c>
      <c r="Y222" t="s">
        <v>4599</v>
      </c>
      <c r="Z222" t="s">
        <v>4600</v>
      </c>
      <c r="AA222" t="s">
        <v>4601</v>
      </c>
      <c r="AB222" t="s">
        <v>74</v>
      </c>
      <c r="AC222" t="s">
        <v>4602</v>
      </c>
      <c r="AD222" t="s">
        <v>4603</v>
      </c>
      <c r="AE222" t="s">
        <v>4604</v>
      </c>
      <c r="AF222" t="s">
        <v>74</v>
      </c>
      <c r="AG222">
        <v>48</v>
      </c>
      <c r="AH222">
        <v>5</v>
      </c>
      <c r="AI222">
        <v>6</v>
      </c>
      <c r="AJ222">
        <v>0</v>
      </c>
      <c r="AK222">
        <v>8</v>
      </c>
      <c r="AL222" t="s">
        <v>244</v>
      </c>
      <c r="AM222" t="s">
        <v>245</v>
      </c>
      <c r="AN222" t="s">
        <v>246</v>
      </c>
      <c r="AO222" t="s">
        <v>272</v>
      </c>
      <c r="AP222" t="s">
        <v>273</v>
      </c>
      <c r="AQ222" t="s">
        <v>74</v>
      </c>
      <c r="AR222" t="s">
        <v>274</v>
      </c>
      <c r="AS222" t="s">
        <v>275</v>
      </c>
      <c r="AT222" t="s">
        <v>74</v>
      </c>
      <c r="AU222">
        <v>2015</v>
      </c>
      <c r="AV222">
        <v>8</v>
      </c>
      <c r="AW222">
        <v>10</v>
      </c>
      <c r="AX222" t="s">
        <v>74</v>
      </c>
      <c r="AY222" t="s">
        <v>74</v>
      </c>
      <c r="AZ222" t="s">
        <v>74</v>
      </c>
      <c r="BA222" t="s">
        <v>74</v>
      </c>
      <c r="BB222">
        <v>4025</v>
      </c>
      <c r="BC222">
        <v>4041</v>
      </c>
      <c r="BD222" t="s">
        <v>74</v>
      </c>
      <c r="BE222" t="s">
        <v>4605</v>
      </c>
      <c r="BF222" t="str">
        <f>HYPERLINK("http://dx.doi.org/10.5194/amt-8-4025-2015","http://dx.doi.org/10.5194/amt-8-4025-2015")</f>
        <v>http://dx.doi.org/10.5194/amt-8-4025-2015</v>
      </c>
      <c r="BG222" t="s">
        <v>74</v>
      </c>
      <c r="BH222" t="s">
        <v>74</v>
      </c>
      <c r="BI222">
        <v>17</v>
      </c>
      <c r="BJ222" t="s">
        <v>226</v>
      </c>
      <c r="BK222" t="s">
        <v>91</v>
      </c>
      <c r="BL222" t="s">
        <v>226</v>
      </c>
      <c r="BM222" t="s">
        <v>4606</v>
      </c>
      <c r="BN222" t="s">
        <v>74</v>
      </c>
      <c r="BO222" t="s">
        <v>255</v>
      </c>
      <c r="BP222" t="s">
        <v>74</v>
      </c>
      <c r="BQ222" t="s">
        <v>74</v>
      </c>
      <c r="BR222" t="s">
        <v>93</v>
      </c>
      <c r="BS222" t="s">
        <v>4607</v>
      </c>
      <c r="BT222" t="str">
        <f>HYPERLINK("https%3A%2F%2Fwww.webofscience.com%2Fwos%2Fwoscc%2Ffull-record%2FWOS:000364317600004","View Full Record in Web of Science")</f>
        <v>View Full Record in Web of Science</v>
      </c>
    </row>
    <row r="223" spans="1:72" x14ac:dyDescent="0.15">
      <c r="A223" t="s">
        <v>72</v>
      </c>
      <c r="B223" t="s">
        <v>4608</v>
      </c>
      <c r="C223" t="s">
        <v>74</v>
      </c>
      <c r="D223" t="s">
        <v>74</v>
      </c>
      <c r="E223" t="s">
        <v>74</v>
      </c>
      <c r="F223" t="s">
        <v>4609</v>
      </c>
      <c r="G223" t="s">
        <v>74</v>
      </c>
      <c r="H223" t="s">
        <v>74</v>
      </c>
      <c r="I223" t="s">
        <v>4610</v>
      </c>
      <c r="J223" t="s">
        <v>4611</v>
      </c>
      <c r="K223" t="s">
        <v>74</v>
      </c>
      <c r="L223" t="s">
        <v>74</v>
      </c>
      <c r="M223" t="s">
        <v>78</v>
      </c>
      <c r="N223" t="s">
        <v>99</v>
      </c>
      <c r="O223" t="s">
        <v>74</v>
      </c>
      <c r="P223" t="s">
        <v>74</v>
      </c>
      <c r="Q223" t="s">
        <v>74</v>
      </c>
      <c r="R223" t="s">
        <v>74</v>
      </c>
      <c r="S223" t="s">
        <v>74</v>
      </c>
      <c r="T223" t="s">
        <v>4612</v>
      </c>
      <c r="U223" t="s">
        <v>4613</v>
      </c>
      <c r="V223" t="s">
        <v>4614</v>
      </c>
      <c r="W223" t="s">
        <v>4615</v>
      </c>
      <c r="X223" t="s">
        <v>4616</v>
      </c>
      <c r="Y223" t="s">
        <v>4617</v>
      </c>
      <c r="Z223" t="s">
        <v>4618</v>
      </c>
      <c r="AA223" t="s">
        <v>4619</v>
      </c>
      <c r="AB223" t="s">
        <v>4620</v>
      </c>
      <c r="AC223" t="s">
        <v>4621</v>
      </c>
      <c r="AD223" t="s">
        <v>4622</v>
      </c>
      <c r="AE223" t="s">
        <v>4623</v>
      </c>
      <c r="AF223" t="s">
        <v>74</v>
      </c>
      <c r="AG223">
        <v>34</v>
      </c>
      <c r="AH223">
        <v>4</v>
      </c>
      <c r="AI223">
        <v>4</v>
      </c>
      <c r="AJ223">
        <v>0</v>
      </c>
      <c r="AK223">
        <v>13</v>
      </c>
      <c r="AL223" t="s">
        <v>4624</v>
      </c>
      <c r="AM223" t="s">
        <v>2007</v>
      </c>
      <c r="AN223" t="s">
        <v>2008</v>
      </c>
      <c r="AO223" t="s">
        <v>4625</v>
      </c>
      <c r="AP223" t="s">
        <v>74</v>
      </c>
      <c r="AQ223" t="s">
        <v>74</v>
      </c>
      <c r="AR223" t="s">
        <v>4626</v>
      </c>
      <c r="AS223" t="s">
        <v>4627</v>
      </c>
      <c r="AT223" t="s">
        <v>2419</v>
      </c>
      <c r="AU223">
        <v>2015</v>
      </c>
      <c r="AV223">
        <v>16</v>
      </c>
      <c r="AW223">
        <v>1</v>
      </c>
      <c r="AX223" t="s">
        <v>74</v>
      </c>
      <c r="AY223" t="s">
        <v>74</v>
      </c>
      <c r="AZ223" t="s">
        <v>74</v>
      </c>
      <c r="BA223" t="s">
        <v>74</v>
      </c>
      <c r="BB223">
        <v>50</v>
      </c>
      <c r="BC223">
        <v>55</v>
      </c>
      <c r="BD223" t="s">
        <v>74</v>
      </c>
      <c r="BE223" t="s">
        <v>4628</v>
      </c>
      <c r="BF223" t="str">
        <f>HYPERLINK("http://dx.doi.org/10.1002/asl2.519","http://dx.doi.org/10.1002/asl2.519")</f>
        <v>http://dx.doi.org/10.1002/asl2.519</v>
      </c>
      <c r="BG223" t="s">
        <v>74</v>
      </c>
      <c r="BH223" t="s">
        <v>74</v>
      </c>
      <c r="BI223">
        <v>6</v>
      </c>
      <c r="BJ223" t="s">
        <v>4629</v>
      </c>
      <c r="BK223" t="s">
        <v>91</v>
      </c>
      <c r="BL223" t="s">
        <v>4629</v>
      </c>
      <c r="BM223" t="s">
        <v>4630</v>
      </c>
      <c r="BN223" t="s">
        <v>74</v>
      </c>
      <c r="BO223" t="s">
        <v>4631</v>
      </c>
      <c r="BP223" t="s">
        <v>74</v>
      </c>
      <c r="BQ223" t="s">
        <v>74</v>
      </c>
      <c r="BR223" t="s">
        <v>93</v>
      </c>
      <c r="BS223" t="s">
        <v>4632</v>
      </c>
      <c r="BT223" t="str">
        <f>HYPERLINK("https%3A%2F%2Fwww.webofscience.com%2Fwos%2Fwoscc%2Ffull-record%2FWOS:000348845300008","View Full Record in Web of Science")</f>
        <v>View Full Record in Web of Science</v>
      </c>
    </row>
    <row r="224" spans="1:72" x14ac:dyDescent="0.15">
      <c r="A224" t="s">
        <v>72</v>
      </c>
      <c r="B224" t="s">
        <v>4633</v>
      </c>
      <c r="C224" t="s">
        <v>74</v>
      </c>
      <c r="D224" t="s">
        <v>74</v>
      </c>
      <c r="E224" t="s">
        <v>74</v>
      </c>
      <c r="F224" t="s">
        <v>4634</v>
      </c>
      <c r="G224" t="s">
        <v>74</v>
      </c>
      <c r="H224" t="s">
        <v>74</v>
      </c>
      <c r="I224" t="s">
        <v>4635</v>
      </c>
      <c r="J224" t="s">
        <v>4636</v>
      </c>
      <c r="K224" t="s">
        <v>74</v>
      </c>
      <c r="L224" t="s">
        <v>74</v>
      </c>
      <c r="M224" t="s">
        <v>78</v>
      </c>
      <c r="N224" t="s">
        <v>99</v>
      </c>
      <c r="O224" t="s">
        <v>74</v>
      </c>
      <c r="P224" t="s">
        <v>74</v>
      </c>
      <c r="Q224" t="s">
        <v>74</v>
      </c>
      <c r="R224" t="s">
        <v>74</v>
      </c>
      <c r="S224" t="s">
        <v>74</v>
      </c>
      <c r="T224" t="s">
        <v>74</v>
      </c>
      <c r="U224" t="s">
        <v>4637</v>
      </c>
      <c r="V224" t="s">
        <v>4638</v>
      </c>
      <c r="W224" t="s">
        <v>4639</v>
      </c>
      <c r="X224" t="s">
        <v>4640</v>
      </c>
      <c r="Y224" t="s">
        <v>4641</v>
      </c>
      <c r="Z224" t="s">
        <v>4642</v>
      </c>
      <c r="AA224" t="s">
        <v>4643</v>
      </c>
      <c r="AB224" t="s">
        <v>4644</v>
      </c>
      <c r="AC224" t="s">
        <v>4645</v>
      </c>
      <c r="AD224" t="s">
        <v>4645</v>
      </c>
      <c r="AE224" t="s">
        <v>4646</v>
      </c>
      <c r="AF224" t="s">
        <v>74</v>
      </c>
      <c r="AG224">
        <v>85</v>
      </c>
      <c r="AH224">
        <v>36</v>
      </c>
      <c r="AI224">
        <v>36</v>
      </c>
      <c r="AJ224">
        <v>0</v>
      </c>
      <c r="AK224">
        <v>14</v>
      </c>
      <c r="AL224" t="s">
        <v>4647</v>
      </c>
      <c r="AM224" t="s">
        <v>415</v>
      </c>
      <c r="AN224" t="s">
        <v>4648</v>
      </c>
      <c r="AO224" t="s">
        <v>4649</v>
      </c>
      <c r="AP224" t="s">
        <v>74</v>
      </c>
      <c r="AQ224" t="s">
        <v>74</v>
      </c>
      <c r="AR224" t="s">
        <v>4650</v>
      </c>
      <c r="AS224" t="s">
        <v>4651</v>
      </c>
      <c r="AT224" t="s">
        <v>74</v>
      </c>
      <c r="AU224">
        <v>2015</v>
      </c>
      <c r="AV224">
        <v>65</v>
      </c>
      <c r="AW224">
        <v>1</v>
      </c>
      <c r="AX224" t="s">
        <v>74</v>
      </c>
      <c r="AY224" t="s">
        <v>74</v>
      </c>
      <c r="AZ224" t="s">
        <v>74</v>
      </c>
      <c r="BA224" t="s">
        <v>74</v>
      </c>
      <c r="BB224">
        <v>127</v>
      </c>
      <c r="BC224">
        <v>149</v>
      </c>
      <c r="BD224" t="s">
        <v>74</v>
      </c>
      <c r="BE224" t="s">
        <v>4652</v>
      </c>
      <c r="BF224" t="str">
        <f>HYPERLINK("http://dx.doi.org/10.22499/2.6501.009","http://dx.doi.org/10.22499/2.6501.009")</f>
        <v>http://dx.doi.org/10.22499/2.6501.009</v>
      </c>
      <c r="BG224" t="s">
        <v>74</v>
      </c>
      <c r="BH224" t="s">
        <v>74</v>
      </c>
      <c r="BI224">
        <v>23</v>
      </c>
      <c r="BJ224" t="s">
        <v>1537</v>
      </c>
      <c r="BK224" t="s">
        <v>91</v>
      </c>
      <c r="BL224" t="s">
        <v>1537</v>
      </c>
      <c r="BM224" t="s">
        <v>4653</v>
      </c>
      <c r="BN224" t="s">
        <v>74</v>
      </c>
      <c r="BO224" t="s">
        <v>375</v>
      </c>
      <c r="BP224" t="s">
        <v>74</v>
      </c>
      <c r="BQ224" t="s">
        <v>74</v>
      </c>
      <c r="BR224" t="s">
        <v>93</v>
      </c>
      <c r="BS224" t="s">
        <v>4654</v>
      </c>
      <c r="BT224" t="str">
        <f>HYPERLINK("https%3A%2F%2Fwww.webofscience.com%2Fwos%2Fwoscc%2Ffull-record%2FWOS:000364516300009","View Full Record in Web of Science")</f>
        <v>View Full Record in Web of Science</v>
      </c>
    </row>
    <row r="225" spans="1:72" x14ac:dyDescent="0.15">
      <c r="A225" t="s">
        <v>72</v>
      </c>
      <c r="B225" t="s">
        <v>4655</v>
      </c>
      <c r="C225" t="s">
        <v>74</v>
      </c>
      <c r="D225" t="s">
        <v>74</v>
      </c>
      <c r="E225" t="s">
        <v>74</v>
      </c>
      <c r="F225" t="s">
        <v>4656</v>
      </c>
      <c r="G225" t="s">
        <v>74</v>
      </c>
      <c r="H225" t="s">
        <v>74</v>
      </c>
      <c r="I225" t="s">
        <v>4657</v>
      </c>
      <c r="J225" t="s">
        <v>4658</v>
      </c>
      <c r="K225" t="s">
        <v>74</v>
      </c>
      <c r="L225" t="s">
        <v>74</v>
      </c>
      <c r="M225" t="s">
        <v>78</v>
      </c>
      <c r="N225" t="s">
        <v>99</v>
      </c>
      <c r="O225" t="s">
        <v>74</v>
      </c>
      <c r="P225" t="s">
        <v>74</v>
      </c>
      <c r="Q225" t="s">
        <v>74</v>
      </c>
      <c r="R225" t="s">
        <v>74</v>
      </c>
      <c r="S225" t="s">
        <v>74</v>
      </c>
      <c r="T225" t="s">
        <v>4659</v>
      </c>
      <c r="U225" t="s">
        <v>74</v>
      </c>
      <c r="V225" t="s">
        <v>4660</v>
      </c>
      <c r="W225" t="s">
        <v>4661</v>
      </c>
      <c r="X225" t="s">
        <v>4662</v>
      </c>
      <c r="Y225" t="s">
        <v>4663</v>
      </c>
      <c r="Z225" t="s">
        <v>4664</v>
      </c>
      <c r="AA225" t="s">
        <v>4665</v>
      </c>
      <c r="AB225" t="s">
        <v>4666</v>
      </c>
      <c r="AC225" t="s">
        <v>4667</v>
      </c>
      <c r="AD225" t="s">
        <v>4668</v>
      </c>
      <c r="AE225" t="s">
        <v>4669</v>
      </c>
      <c r="AF225" t="s">
        <v>74</v>
      </c>
      <c r="AG225">
        <v>14</v>
      </c>
      <c r="AH225">
        <v>7</v>
      </c>
      <c r="AI225">
        <v>7</v>
      </c>
      <c r="AJ225">
        <v>1</v>
      </c>
      <c r="AK225">
        <v>3</v>
      </c>
      <c r="AL225" t="s">
        <v>514</v>
      </c>
      <c r="AM225" t="s">
        <v>515</v>
      </c>
      <c r="AN225" t="s">
        <v>657</v>
      </c>
      <c r="AO225" t="s">
        <v>4670</v>
      </c>
      <c r="AP225" t="s">
        <v>4671</v>
      </c>
      <c r="AQ225" t="s">
        <v>74</v>
      </c>
      <c r="AR225" t="s">
        <v>4672</v>
      </c>
      <c r="AS225" t="s">
        <v>4673</v>
      </c>
      <c r="AT225" t="s">
        <v>74</v>
      </c>
      <c r="AU225">
        <v>2015</v>
      </c>
      <c r="AV225">
        <v>3</v>
      </c>
      <c r="AW225" t="s">
        <v>74</v>
      </c>
      <c r="AX225" t="s">
        <v>74</v>
      </c>
      <c r="AY225" t="s">
        <v>74</v>
      </c>
      <c r="AZ225" t="s">
        <v>74</v>
      </c>
      <c r="BA225" t="s">
        <v>74</v>
      </c>
      <c r="BB225" t="s">
        <v>74</v>
      </c>
      <c r="BC225" t="s">
        <v>74</v>
      </c>
      <c r="BD225" t="s">
        <v>4674</v>
      </c>
      <c r="BE225" t="s">
        <v>4675</v>
      </c>
      <c r="BF225" t="str">
        <f>HYPERLINK("http://dx.doi.org/10.3897/BDJ.3.e7062","http://dx.doi.org/10.3897/BDJ.3.e7062")</f>
        <v>http://dx.doi.org/10.3897/BDJ.3.e7062</v>
      </c>
      <c r="BG225" t="s">
        <v>74</v>
      </c>
      <c r="BH225" t="s">
        <v>74</v>
      </c>
      <c r="BI225">
        <v>23</v>
      </c>
      <c r="BJ225" t="s">
        <v>4676</v>
      </c>
      <c r="BK225" t="s">
        <v>91</v>
      </c>
      <c r="BL225" t="s">
        <v>4677</v>
      </c>
      <c r="BM225" t="s">
        <v>4678</v>
      </c>
      <c r="BN225">
        <v>26696769</v>
      </c>
      <c r="BO225" t="s">
        <v>159</v>
      </c>
      <c r="BP225" t="s">
        <v>74</v>
      </c>
      <c r="BQ225" t="s">
        <v>74</v>
      </c>
      <c r="BR225" t="s">
        <v>93</v>
      </c>
      <c r="BS225" t="s">
        <v>4679</v>
      </c>
      <c r="BT225" t="str">
        <f>HYPERLINK("https%3A%2F%2Fwww.webofscience.com%2Fwos%2Fwoscc%2Ffull-record%2FWOS:000454927300108","View Full Record in Web of Science")</f>
        <v>View Full Record in Web of Science</v>
      </c>
    </row>
    <row r="226" spans="1:72" x14ac:dyDescent="0.15">
      <c r="A226" t="s">
        <v>72</v>
      </c>
      <c r="B226" t="s">
        <v>4680</v>
      </c>
      <c r="C226" t="s">
        <v>74</v>
      </c>
      <c r="D226" t="s">
        <v>74</v>
      </c>
      <c r="E226" t="s">
        <v>74</v>
      </c>
      <c r="F226" t="s">
        <v>4681</v>
      </c>
      <c r="G226" t="s">
        <v>74</v>
      </c>
      <c r="H226" t="s">
        <v>74</v>
      </c>
      <c r="I226" t="s">
        <v>4682</v>
      </c>
      <c r="J226" t="s">
        <v>597</v>
      </c>
      <c r="K226" t="s">
        <v>74</v>
      </c>
      <c r="L226" t="s">
        <v>74</v>
      </c>
      <c r="M226" t="s">
        <v>78</v>
      </c>
      <c r="N226" t="s">
        <v>99</v>
      </c>
      <c r="O226" t="s">
        <v>74</v>
      </c>
      <c r="P226" t="s">
        <v>74</v>
      </c>
      <c r="Q226" t="s">
        <v>74</v>
      </c>
      <c r="R226" t="s">
        <v>74</v>
      </c>
      <c r="S226" t="s">
        <v>74</v>
      </c>
      <c r="T226" t="s">
        <v>74</v>
      </c>
      <c r="U226" t="s">
        <v>4683</v>
      </c>
      <c r="V226" t="s">
        <v>4684</v>
      </c>
      <c r="W226" t="s">
        <v>4685</v>
      </c>
      <c r="X226" t="s">
        <v>4686</v>
      </c>
      <c r="Y226" t="s">
        <v>4687</v>
      </c>
      <c r="Z226" t="s">
        <v>4688</v>
      </c>
      <c r="AA226" t="s">
        <v>4689</v>
      </c>
      <c r="AB226" t="s">
        <v>4690</v>
      </c>
      <c r="AC226" t="s">
        <v>4691</v>
      </c>
      <c r="AD226" t="s">
        <v>4692</v>
      </c>
      <c r="AE226" t="s">
        <v>4693</v>
      </c>
      <c r="AF226" t="s">
        <v>74</v>
      </c>
      <c r="AG226">
        <v>79</v>
      </c>
      <c r="AH226">
        <v>56</v>
      </c>
      <c r="AI226">
        <v>62</v>
      </c>
      <c r="AJ226">
        <v>1</v>
      </c>
      <c r="AK226">
        <v>35</v>
      </c>
      <c r="AL226" t="s">
        <v>244</v>
      </c>
      <c r="AM226" t="s">
        <v>245</v>
      </c>
      <c r="AN226" t="s">
        <v>246</v>
      </c>
      <c r="AO226" t="s">
        <v>609</v>
      </c>
      <c r="AP226" t="s">
        <v>610</v>
      </c>
      <c r="AQ226" t="s">
        <v>74</v>
      </c>
      <c r="AR226" t="s">
        <v>597</v>
      </c>
      <c r="AS226" t="s">
        <v>611</v>
      </c>
      <c r="AT226" t="s">
        <v>74</v>
      </c>
      <c r="AU226">
        <v>2015</v>
      </c>
      <c r="AV226">
        <v>12</v>
      </c>
      <c r="AW226">
        <v>2</v>
      </c>
      <c r="AX226" t="s">
        <v>74</v>
      </c>
      <c r="AY226" t="s">
        <v>74</v>
      </c>
      <c r="AZ226" t="s">
        <v>74</v>
      </c>
      <c r="BA226" t="s">
        <v>74</v>
      </c>
      <c r="BB226">
        <v>345</v>
      </c>
      <c r="BC226">
        <v>363</v>
      </c>
      <c r="BD226" t="s">
        <v>74</v>
      </c>
      <c r="BE226" t="s">
        <v>4694</v>
      </c>
      <c r="BF226" t="str">
        <f>HYPERLINK("http://dx.doi.org/10.5194/bg-12-345-2015","http://dx.doi.org/10.5194/bg-12-345-2015")</f>
        <v>http://dx.doi.org/10.5194/bg-12-345-2015</v>
      </c>
      <c r="BG226" t="s">
        <v>74</v>
      </c>
      <c r="BH226" t="s">
        <v>74</v>
      </c>
      <c r="BI226">
        <v>19</v>
      </c>
      <c r="BJ226" t="s">
        <v>613</v>
      </c>
      <c r="BK226" t="s">
        <v>91</v>
      </c>
      <c r="BL226" t="s">
        <v>614</v>
      </c>
      <c r="BM226" t="s">
        <v>2238</v>
      </c>
      <c r="BN226" t="s">
        <v>74</v>
      </c>
      <c r="BO226" t="s">
        <v>805</v>
      </c>
      <c r="BP226" t="s">
        <v>74</v>
      </c>
      <c r="BQ226" t="s">
        <v>74</v>
      </c>
      <c r="BR226" t="s">
        <v>93</v>
      </c>
      <c r="BS226" t="s">
        <v>4695</v>
      </c>
      <c r="BT226" t="str">
        <f>HYPERLINK("https%3A%2F%2Fwww.webofscience.com%2Fwos%2Fwoscc%2Ffull-record%2FWOS:000348982200005","View Full Record in Web of Science")</f>
        <v>View Full Record in Web of Science</v>
      </c>
    </row>
    <row r="227" spans="1:72" x14ac:dyDescent="0.15">
      <c r="A227" t="s">
        <v>72</v>
      </c>
      <c r="B227" t="s">
        <v>4696</v>
      </c>
      <c r="C227" t="s">
        <v>74</v>
      </c>
      <c r="D227" t="s">
        <v>74</v>
      </c>
      <c r="E227" t="s">
        <v>74</v>
      </c>
      <c r="F227" t="s">
        <v>4697</v>
      </c>
      <c r="G227" t="s">
        <v>74</v>
      </c>
      <c r="H227" t="s">
        <v>74</v>
      </c>
      <c r="I227" t="s">
        <v>4698</v>
      </c>
      <c r="J227" t="s">
        <v>597</v>
      </c>
      <c r="K227" t="s">
        <v>74</v>
      </c>
      <c r="L227" t="s">
        <v>74</v>
      </c>
      <c r="M227" t="s">
        <v>78</v>
      </c>
      <c r="N227" t="s">
        <v>99</v>
      </c>
      <c r="O227" t="s">
        <v>74</v>
      </c>
      <c r="P227" t="s">
        <v>74</v>
      </c>
      <c r="Q227" t="s">
        <v>74</v>
      </c>
      <c r="R227" t="s">
        <v>74</v>
      </c>
      <c r="S227" t="s">
        <v>74</v>
      </c>
      <c r="T227" t="s">
        <v>74</v>
      </c>
      <c r="U227" t="s">
        <v>4699</v>
      </c>
      <c r="V227" t="s">
        <v>4700</v>
      </c>
      <c r="W227" t="s">
        <v>4701</v>
      </c>
      <c r="X227" t="s">
        <v>4702</v>
      </c>
      <c r="Y227" t="s">
        <v>4703</v>
      </c>
      <c r="Z227" t="s">
        <v>4704</v>
      </c>
      <c r="AA227" t="s">
        <v>4705</v>
      </c>
      <c r="AB227" t="s">
        <v>4706</v>
      </c>
      <c r="AC227" t="s">
        <v>4707</v>
      </c>
      <c r="AD227" t="s">
        <v>4708</v>
      </c>
      <c r="AE227" t="s">
        <v>4709</v>
      </c>
      <c r="AF227" t="s">
        <v>74</v>
      </c>
      <c r="AG227">
        <v>116</v>
      </c>
      <c r="AH227">
        <v>109</v>
      </c>
      <c r="AI227">
        <v>114</v>
      </c>
      <c r="AJ227">
        <v>2</v>
      </c>
      <c r="AK227">
        <v>84</v>
      </c>
      <c r="AL227" t="s">
        <v>244</v>
      </c>
      <c r="AM227" t="s">
        <v>245</v>
      </c>
      <c r="AN227" t="s">
        <v>246</v>
      </c>
      <c r="AO227" t="s">
        <v>609</v>
      </c>
      <c r="AP227" t="s">
        <v>610</v>
      </c>
      <c r="AQ227" t="s">
        <v>74</v>
      </c>
      <c r="AR227" t="s">
        <v>597</v>
      </c>
      <c r="AS227" t="s">
        <v>611</v>
      </c>
      <c r="AT227" t="s">
        <v>74</v>
      </c>
      <c r="AU227">
        <v>2015</v>
      </c>
      <c r="AV227">
        <v>12</v>
      </c>
      <c r="AW227">
        <v>2</v>
      </c>
      <c r="AX227" t="s">
        <v>74</v>
      </c>
      <c r="AY227" t="s">
        <v>74</v>
      </c>
      <c r="AZ227" t="s">
        <v>74</v>
      </c>
      <c r="BA227" t="s">
        <v>74</v>
      </c>
      <c r="BB227">
        <v>489</v>
      </c>
      <c r="BC227">
        <v>512</v>
      </c>
      <c r="BD227" t="s">
        <v>74</v>
      </c>
      <c r="BE227" t="s">
        <v>4710</v>
      </c>
      <c r="BF227" t="str">
        <f>HYPERLINK("http://dx.doi.org/10.5194/bg-12-489-2015","http://dx.doi.org/10.5194/bg-12-489-2015")</f>
        <v>http://dx.doi.org/10.5194/bg-12-489-2015</v>
      </c>
      <c r="BG227" t="s">
        <v>74</v>
      </c>
      <c r="BH227" t="s">
        <v>74</v>
      </c>
      <c r="BI227">
        <v>24</v>
      </c>
      <c r="BJ227" t="s">
        <v>613</v>
      </c>
      <c r="BK227" t="s">
        <v>91</v>
      </c>
      <c r="BL227" t="s">
        <v>614</v>
      </c>
      <c r="BM227" t="s">
        <v>2238</v>
      </c>
      <c r="BN227" t="s">
        <v>74</v>
      </c>
      <c r="BO227" t="s">
        <v>1458</v>
      </c>
      <c r="BP227" t="s">
        <v>74</v>
      </c>
      <c r="BQ227" t="s">
        <v>74</v>
      </c>
      <c r="BR227" t="s">
        <v>93</v>
      </c>
      <c r="BS227" t="s">
        <v>4711</v>
      </c>
      <c r="BT227" t="str">
        <f>HYPERLINK("https%3A%2F%2Fwww.webofscience.com%2Fwos%2Fwoscc%2Ffull-record%2FWOS:000348982200015","View Full Record in Web of Science")</f>
        <v>View Full Record in Web of Science</v>
      </c>
    </row>
    <row r="228" spans="1:72" x14ac:dyDescent="0.15">
      <c r="A228" t="s">
        <v>72</v>
      </c>
      <c r="B228" t="s">
        <v>4712</v>
      </c>
      <c r="C228" t="s">
        <v>74</v>
      </c>
      <c r="D228" t="s">
        <v>74</v>
      </c>
      <c r="E228" t="s">
        <v>74</v>
      </c>
      <c r="F228" t="s">
        <v>4713</v>
      </c>
      <c r="G228" t="s">
        <v>74</v>
      </c>
      <c r="H228" t="s">
        <v>74</v>
      </c>
      <c r="I228" t="s">
        <v>4714</v>
      </c>
      <c r="J228" t="s">
        <v>597</v>
      </c>
      <c r="K228" t="s">
        <v>74</v>
      </c>
      <c r="L228" t="s">
        <v>74</v>
      </c>
      <c r="M228" t="s">
        <v>78</v>
      </c>
      <c r="N228" t="s">
        <v>99</v>
      </c>
      <c r="O228" t="s">
        <v>74</v>
      </c>
      <c r="P228" t="s">
        <v>74</v>
      </c>
      <c r="Q228" t="s">
        <v>74</v>
      </c>
      <c r="R228" t="s">
        <v>74</v>
      </c>
      <c r="S228" t="s">
        <v>74</v>
      </c>
      <c r="T228" t="s">
        <v>74</v>
      </c>
      <c r="U228" t="s">
        <v>4715</v>
      </c>
      <c r="V228" t="s">
        <v>4716</v>
      </c>
      <c r="W228" t="s">
        <v>4717</v>
      </c>
      <c r="X228" t="s">
        <v>4718</v>
      </c>
      <c r="Y228" t="s">
        <v>4719</v>
      </c>
      <c r="Z228" t="s">
        <v>4720</v>
      </c>
      <c r="AA228" t="s">
        <v>4721</v>
      </c>
      <c r="AB228" t="s">
        <v>4722</v>
      </c>
      <c r="AC228" t="s">
        <v>4723</v>
      </c>
      <c r="AD228" t="s">
        <v>4724</v>
      </c>
      <c r="AE228" t="s">
        <v>4725</v>
      </c>
      <c r="AF228" t="s">
        <v>74</v>
      </c>
      <c r="AG228">
        <v>93</v>
      </c>
      <c r="AH228">
        <v>95</v>
      </c>
      <c r="AI228">
        <v>101</v>
      </c>
      <c r="AJ228">
        <v>0</v>
      </c>
      <c r="AK228">
        <v>67</v>
      </c>
      <c r="AL228" t="s">
        <v>244</v>
      </c>
      <c r="AM228" t="s">
        <v>245</v>
      </c>
      <c r="AN228" t="s">
        <v>246</v>
      </c>
      <c r="AO228" t="s">
        <v>609</v>
      </c>
      <c r="AP228" t="s">
        <v>610</v>
      </c>
      <c r="AQ228" t="s">
        <v>74</v>
      </c>
      <c r="AR228" t="s">
        <v>597</v>
      </c>
      <c r="AS228" t="s">
        <v>611</v>
      </c>
      <c r="AT228" t="s">
        <v>74</v>
      </c>
      <c r="AU228">
        <v>2015</v>
      </c>
      <c r="AV228">
        <v>12</v>
      </c>
      <c r="AW228">
        <v>4</v>
      </c>
      <c r="AX228" t="s">
        <v>74</v>
      </c>
      <c r="AY228" t="s">
        <v>74</v>
      </c>
      <c r="AZ228" t="s">
        <v>74</v>
      </c>
      <c r="BA228" t="s">
        <v>74</v>
      </c>
      <c r="BB228">
        <v>1007</v>
      </c>
      <c r="BC228">
        <v>1027</v>
      </c>
      <c r="BD228" t="s">
        <v>74</v>
      </c>
      <c r="BE228" t="s">
        <v>4726</v>
      </c>
      <c r="BF228" t="str">
        <f>HYPERLINK("http://dx.doi.org/10.5194/bg-12-1007-2015","http://dx.doi.org/10.5194/bg-12-1007-2015")</f>
        <v>http://dx.doi.org/10.5194/bg-12-1007-2015</v>
      </c>
      <c r="BG228" t="s">
        <v>74</v>
      </c>
      <c r="BH228" t="s">
        <v>74</v>
      </c>
      <c r="BI228">
        <v>21</v>
      </c>
      <c r="BJ228" t="s">
        <v>613</v>
      </c>
      <c r="BK228" t="s">
        <v>91</v>
      </c>
      <c r="BL228" t="s">
        <v>614</v>
      </c>
      <c r="BM228" t="s">
        <v>2098</v>
      </c>
      <c r="BN228" t="s">
        <v>74</v>
      </c>
      <c r="BO228" t="s">
        <v>4727</v>
      </c>
      <c r="BP228" t="s">
        <v>74</v>
      </c>
      <c r="BQ228" t="s">
        <v>74</v>
      </c>
      <c r="BR228" t="s">
        <v>93</v>
      </c>
      <c r="BS228" t="s">
        <v>4728</v>
      </c>
      <c r="BT228" t="str">
        <f>HYPERLINK("https%3A%2F%2Fwww.webofscience.com%2Fwos%2Fwoscc%2Ffull-record%2FWOS:000349794900008","View Full Record in Web of Science")</f>
        <v>View Full Record in Web of Science</v>
      </c>
    </row>
    <row r="229" spans="1:72" x14ac:dyDescent="0.15">
      <c r="A229" t="s">
        <v>72</v>
      </c>
      <c r="B229" t="s">
        <v>4729</v>
      </c>
      <c r="C229" t="s">
        <v>74</v>
      </c>
      <c r="D229" t="s">
        <v>74</v>
      </c>
      <c r="E229" t="s">
        <v>74</v>
      </c>
      <c r="F229" t="s">
        <v>4730</v>
      </c>
      <c r="G229" t="s">
        <v>74</v>
      </c>
      <c r="H229" t="s">
        <v>74</v>
      </c>
      <c r="I229" t="s">
        <v>4731</v>
      </c>
      <c r="J229" t="s">
        <v>597</v>
      </c>
      <c r="K229" t="s">
        <v>74</v>
      </c>
      <c r="L229" t="s">
        <v>74</v>
      </c>
      <c r="M229" t="s">
        <v>78</v>
      </c>
      <c r="N229" t="s">
        <v>99</v>
      </c>
      <c r="O229" t="s">
        <v>74</v>
      </c>
      <c r="P229" t="s">
        <v>74</v>
      </c>
      <c r="Q229" t="s">
        <v>74</v>
      </c>
      <c r="R229" t="s">
        <v>74</v>
      </c>
      <c r="S229" t="s">
        <v>74</v>
      </c>
      <c r="T229" t="s">
        <v>74</v>
      </c>
      <c r="U229" t="s">
        <v>4732</v>
      </c>
      <c r="V229" t="s">
        <v>4733</v>
      </c>
      <c r="W229" t="s">
        <v>4734</v>
      </c>
      <c r="X229" t="s">
        <v>4735</v>
      </c>
      <c r="Y229" t="s">
        <v>4736</v>
      </c>
      <c r="Z229" t="s">
        <v>4737</v>
      </c>
      <c r="AA229" t="s">
        <v>4738</v>
      </c>
      <c r="AB229" t="s">
        <v>4739</v>
      </c>
      <c r="AC229" t="s">
        <v>4740</v>
      </c>
      <c r="AD229" t="s">
        <v>4741</v>
      </c>
      <c r="AE229" t="s">
        <v>4742</v>
      </c>
      <c r="AF229" t="s">
        <v>74</v>
      </c>
      <c r="AG229">
        <v>65</v>
      </c>
      <c r="AH229">
        <v>21</v>
      </c>
      <c r="AI229">
        <v>21</v>
      </c>
      <c r="AJ229">
        <v>0</v>
      </c>
      <c r="AK229">
        <v>20</v>
      </c>
      <c r="AL229" t="s">
        <v>244</v>
      </c>
      <c r="AM229" t="s">
        <v>245</v>
      </c>
      <c r="AN229" t="s">
        <v>246</v>
      </c>
      <c r="AO229" t="s">
        <v>609</v>
      </c>
      <c r="AP229" t="s">
        <v>610</v>
      </c>
      <c r="AQ229" t="s">
        <v>74</v>
      </c>
      <c r="AR229" t="s">
        <v>597</v>
      </c>
      <c r="AS229" t="s">
        <v>611</v>
      </c>
      <c r="AT229" t="s">
        <v>74</v>
      </c>
      <c r="AU229">
        <v>2015</v>
      </c>
      <c r="AV229">
        <v>12</v>
      </c>
      <c r="AW229">
        <v>5</v>
      </c>
      <c r="AX229" t="s">
        <v>74</v>
      </c>
      <c r="AY229" t="s">
        <v>74</v>
      </c>
      <c r="AZ229" t="s">
        <v>74</v>
      </c>
      <c r="BA229" t="s">
        <v>74</v>
      </c>
      <c r="BB229">
        <v>1387</v>
      </c>
      <c r="BC229">
        <v>1401</v>
      </c>
      <c r="BD229" t="s">
        <v>74</v>
      </c>
      <c r="BE229" t="s">
        <v>4743</v>
      </c>
      <c r="BF229" t="str">
        <f>HYPERLINK("http://dx.doi.org/10.5194/bg-12-1387-2015","http://dx.doi.org/10.5194/bg-12-1387-2015")</f>
        <v>http://dx.doi.org/10.5194/bg-12-1387-2015</v>
      </c>
      <c r="BG229" t="s">
        <v>74</v>
      </c>
      <c r="BH229" t="s">
        <v>74</v>
      </c>
      <c r="BI229">
        <v>15</v>
      </c>
      <c r="BJ229" t="s">
        <v>613</v>
      </c>
      <c r="BK229" t="s">
        <v>91</v>
      </c>
      <c r="BL229" t="s">
        <v>614</v>
      </c>
      <c r="BM229" t="s">
        <v>1648</v>
      </c>
      <c r="BN229" t="s">
        <v>74</v>
      </c>
      <c r="BO229" t="s">
        <v>720</v>
      </c>
      <c r="BP229" t="s">
        <v>74</v>
      </c>
      <c r="BQ229" t="s">
        <v>74</v>
      </c>
      <c r="BR229" t="s">
        <v>93</v>
      </c>
      <c r="BS229" t="s">
        <v>4744</v>
      </c>
      <c r="BT229" t="str">
        <f>HYPERLINK("https%3A%2F%2Fwww.webofscience.com%2Fwos%2Fwoscc%2Ffull-record%2FWOS:000350987900007","View Full Record in Web of Science")</f>
        <v>View Full Record in Web of Science</v>
      </c>
    </row>
    <row r="230" spans="1:72" x14ac:dyDescent="0.15">
      <c r="A230" t="s">
        <v>72</v>
      </c>
      <c r="B230" t="s">
        <v>4745</v>
      </c>
      <c r="C230" t="s">
        <v>74</v>
      </c>
      <c r="D230" t="s">
        <v>74</v>
      </c>
      <c r="E230" t="s">
        <v>74</v>
      </c>
      <c r="F230" t="s">
        <v>4746</v>
      </c>
      <c r="G230" t="s">
        <v>74</v>
      </c>
      <c r="H230" t="s">
        <v>74</v>
      </c>
      <c r="I230" t="s">
        <v>4747</v>
      </c>
      <c r="J230" t="s">
        <v>597</v>
      </c>
      <c r="K230" t="s">
        <v>74</v>
      </c>
      <c r="L230" t="s">
        <v>74</v>
      </c>
      <c r="M230" t="s">
        <v>78</v>
      </c>
      <c r="N230" t="s">
        <v>99</v>
      </c>
      <c r="O230" t="s">
        <v>74</v>
      </c>
      <c r="P230" t="s">
        <v>74</v>
      </c>
      <c r="Q230" t="s">
        <v>74</v>
      </c>
      <c r="R230" t="s">
        <v>74</v>
      </c>
      <c r="S230" t="s">
        <v>74</v>
      </c>
      <c r="T230" t="s">
        <v>74</v>
      </c>
      <c r="U230" t="s">
        <v>4748</v>
      </c>
      <c r="V230" t="s">
        <v>4749</v>
      </c>
      <c r="W230" t="s">
        <v>4750</v>
      </c>
      <c r="X230" t="s">
        <v>4616</v>
      </c>
      <c r="Y230" t="s">
        <v>4751</v>
      </c>
      <c r="Z230" t="s">
        <v>4752</v>
      </c>
      <c r="AA230" t="s">
        <v>4753</v>
      </c>
      <c r="AB230" t="s">
        <v>4754</v>
      </c>
      <c r="AC230" t="s">
        <v>4755</v>
      </c>
      <c r="AD230" t="s">
        <v>4756</v>
      </c>
      <c r="AE230" t="s">
        <v>74</v>
      </c>
      <c r="AF230" t="s">
        <v>74</v>
      </c>
      <c r="AG230">
        <v>58</v>
      </c>
      <c r="AH230">
        <v>64</v>
      </c>
      <c r="AI230">
        <v>67</v>
      </c>
      <c r="AJ230">
        <v>0</v>
      </c>
      <c r="AK230">
        <v>32</v>
      </c>
      <c r="AL230" t="s">
        <v>244</v>
      </c>
      <c r="AM230" t="s">
        <v>245</v>
      </c>
      <c r="AN230" t="s">
        <v>246</v>
      </c>
      <c r="AO230" t="s">
        <v>609</v>
      </c>
      <c r="AP230" t="s">
        <v>610</v>
      </c>
      <c r="AQ230" t="s">
        <v>74</v>
      </c>
      <c r="AR230" t="s">
        <v>597</v>
      </c>
      <c r="AS230" t="s">
        <v>611</v>
      </c>
      <c r="AT230" t="s">
        <v>74</v>
      </c>
      <c r="AU230">
        <v>2015</v>
      </c>
      <c r="AV230">
        <v>12</v>
      </c>
      <c r="AW230">
        <v>6</v>
      </c>
      <c r="AX230" t="s">
        <v>74</v>
      </c>
      <c r="AY230" t="s">
        <v>74</v>
      </c>
      <c r="AZ230" t="s">
        <v>74</v>
      </c>
      <c r="BA230" t="s">
        <v>74</v>
      </c>
      <c r="BB230">
        <v>1955</v>
      </c>
      <c r="BC230">
        <v>1965</v>
      </c>
      <c r="BD230" t="s">
        <v>74</v>
      </c>
      <c r="BE230" t="s">
        <v>4757</v>
      </c>
      <c r="BF230" t="str">
        <f>HYPERLINK("http://dx.doi.org/10.5194/bg-12-1955-2015","http://dx.doi.org/10.5194/bg-12-1955-2015")</f>
        <v>http://dx.doi.org/10.5194/bg-12-1955-2015</v>
      </c>
      <c r="BG230" t="s">
        <v>74</v>
      </c>
      <c r="BH230" t="s">
        <v>74</v>
      </c>
      <c r="BI230">
        <v>11</v>
      </c>
      <c r="BJ230" t="s">
        <v>613</v>
      </c>
      <c r="BK230" t="s">
        <v>91</v>
      </c>
      <c r="BL230" t="s">
        <v>614</v>
      </c>
      <c r="BM230" t="s">
        <v>1556</v>
      </c>
      <c r="BN230" t="s">
        <v>74</v>
      </c>
      <c r="BO230" t="s">
        <v>1557</v>
      </c>
      <c r="BP230" t="s">
        <v>74</v>
      </c>
      <c r="BQ230" t="s">
        <v>74</v>
      </c>
      <c r="BR230" t="s">
        <v>93</v>
      </c>
      <c r="BS230" t="s">
        <v>4758</v>
      </c>
      <c r="BT230" t="str">
        <f>HYPERLINK("https%3A%2F%2Fwww.webofscience.com%2Fwos%2Fwoscc%2Ffull-record%2FWOS:000352112900023","View Full Record in Web of Science")</f>
        <v>View Full Record in Web of Science</v>
      </c>
    </row>
    <row r="231" spans="1:72" x14ac:dyDescent="0.15">
      <c r="A231" t="s">
        <v>72</v>
      </c>
      <c r="B231" t="s">
        <v>4759</v>
      </c>
      <c r="C231" t="s">
        <v>74</v>
      </c>
      <c r="D231" t="s">
        <v>74</v>
      </c>
      <c r="E231" t="s">
        <v>74</v>
      </c>
      <c r="F231" t="s">
        <v>4760</v>
      </c>
      <c r="G231" t="s">
        <v>74</v>
      </c>
      <c r="H231" t="s">
        <v>74</v>
      </c>
      <c r="I231" t="s">
        <v>4761</v>
      </c>
      <c r="J231" t="s">
        <v>597</v>
      </c>
      <c r="K231" t="s">
        <v>74</v>
      </c>
      <c r="L231" t="s">
        <v>74</v>
      </c>
      <c r="M231" t="s">
        <v>78</v>
      </c>
      <c r="N231" t="s">
        <v>99</v>
      </c>
      <c r="O231" t="s">
        <v>74</v>
      </c>
      <c r="P231" t="s">
        <v>74</v>
      </c>
      <c r="Q231" t="s">
        <v>74</v>
      </c>
      <c r="R231" t="s">
        <v>74</v>
      </c>
      <c r="S231" t="s">
        <v>74</v>
      </c>
      <c r="T231" t="s">
        <v>74</v>
      </c>
      <c r="U231" t="s">
        <v>4762</v>
      </c>
      <c r="V231" t="s">
        <v>4763</v>
      </c>
      <c r="W231" t="s">
        <v>4764</v>
      </c>
      <c r="X231" t="s">
        <v>4765</v>
      </c>
      <c r="Y231" t="s">
        <v>4766</v>
      </c>
      <c r="Z231" t="s">
        <v>4767</v>
      </c>
      <c r="AA231" t="s">
        <v>4768</v>
      </c>
      <c r="AB231" t="s">
        <v>4769</v>
      </c>
      <c r="AC231" t="s">
        <v>4770</v>
      </c>
      <c r="AD231" t="s">
        <v>4771</v>
      </c>
      <c r="AE231" t="s">
        <v>4772</v>
      </c>
      <c r="AF231" t="s">
        <v>74</v>
      </c>
      <c r="AG231">
        <v>43</v>
      </c>
      <c r="AH231">
        <v>32</v>
      </c>
      <c r="AI231">
        <v>34</v>
      </c>
      <c r="AJ231">
        <v>2</v>
      </c>
      <c r="AK231">
        <v>21</v>
      </c>
      <c r="AL231" t="s">
        <v>244</v>
      </c>
      <c r="AM231" t="s">
        <v>245</v>
      </c>
      <c r="AN231" t="s">
        <v>246</v>
      </c>
      <c r="AO231" t="s">
        <v>609</v>
      </c>
      <c r="AP231" t="s">
        <v>610</v>
      </c>
      <c r="AQ231" t="s">
        <v>74</v>
      </c>
      <c r="AR231" t="s">
        <v>597</v>
      </c>
      <c r="AS231" t="s">
        <v>611</v>
      </c>
      <c r="AT231" t="s">
        <v>74</v>
      </c>
      <c r="AU231">
        <v>2015</v>
      </c>
      <c r="AV231">
        <v>12</v>
      </c>
      <c r="AW231">
        <v>8</v>
      </c>
      <c r="AX231" t="s">
        <v>74</v>
      </c>
      <c r="AY231" t="s">
        <v>74</v>
      </c>
      <c r="AZ231" t="s">
        <v>74</v>
      </c>
      <c r="BA231" t="s">
        <v>74</v>
      </c>
      <c r="BB231">
        <v>2367</v>
      </c>
      <c r="BC231">
        <v>2382</v>
      </c>
      <c r="BD231" t="s">
        <v>74</v>
      </c>
      <c r="BE231" t="s">
        <v>4773</v>
      </c>
      <c r="BF231" t="str">
        <f>HYPERLINK("http://dx.doi.org/10.5194/bg-12-2367-2015","http://dx.doi.org/10.5194/bg-12-2367-2015")</f>
        <v>http://dx.doi.org/10.5194/bg-12-2367-2015</v>
      </c>
      <c r="BG231" t="s">
        <v>74</v>
      </c>
      <c r="BH231" t="s">
        <v>74</v>
      </c>
      <c r="BI231">
        <v>16</v>
      </c>
      <c r="BJ231" t="s">
        <v>613</v>
      </c>
      <c r="BK231" t="s">
        <v>91</v>
      </c>
      <c r="BL231" t="s">
        <v>614</v>
      </c>
      <c r="BM231" t="s">
        <v>4774</v>
      </c>
      <c r="BN231" t="s">
        <v>74</v>
      </c>
      <c r="BO231" t="s">
        <v>1557</v>
      </c>
      <c r="BP231" t="s">
        <v>74</v>
      </c>
      <c r="BQ231" t="s">
        <v>74</v>
      </c>
      <c r="BR231" t="s">
        <v>93</v>
      </c>
      <c r="BS231" t="s">
        <v>4775</v>
      </c>
      <c r="BT231" t="str">
        <f>HYPERLINK("https%3A%2F%2Fwww.webofscience.com%2Fwos%2Fwoscc%2Ffull-record%2FWOS:000353840500007","View Full Record in Web of Science")</f>
        <v>View Full Record in Web of Science</v>
      </c>
    </row>
    <row r="232" spans="1:72" x14ac:dyDescent="0.15">
      <c r="A232" t="s">
        <v>72</v>
      </c>
      <c r="B232" t="s">
        <v>4776</v>
      </c>
      <c r="C232" t="s">
        <v>74</v>
      </c>
      <c r="D232" t="s">
        <v>74</v>
      </c>
      <c r="E232" t="s">
        <v>74</v>
      </c>
      <c r="F232" t="s">
        <v>4777</v>
      </c>
      <c r="G232" t="s">
        <v>74</v>
      </c>
      <c r="H232" t="s">
        <v>74</v>
      </c>
      <c r="I232" t="s">
        <v>4778</v>
      </c>
      <c r="J232" t="s">
        <v>597</v>
      </c>
      <c r="K232" t="s">
        <v>74</v>
      </c>
      <c r="L232" t="s">
        <v>74</v>
      </c>
      <c r="M232" t="s">
        <v>78</v>
      </c>
      <c r="N232" t="s">
        <v>99</v>
      </c>
      <c r="O232" t="s">
        <v>74</v>
      </c>
      <c r="P232" t="s">
        <v>74</v>
      </c>
      <c r="Q232" t="s">
        <v>74</v>
      </c>
      <c r="R232" t="s">
        <v>74</v>
      </c>
      <c r="S232" t="s">
        <v>74</v>
      </c>
      <c r="T232" t="s">
        <v>74</v>
      </c>
      <c r="U232" t="s">
        <v>4779</v>
      </c>
      <c r="V232" t="s">
        <v>4780</v>
      </c>
      <c r="W232" t="s">
        <v>4781</v>
      </c>
      <c r="X232" t="s">
        <v>4782</v>
      </c>
      <c r="Y232" t="s">
        <v>4783</v>
      </c>
      <c r="Z232" t="s">
        <v>1299</v>
      </c>
      <c r="AA232" t="s">
        <v>4784</v>
      </c>
      <c r="AB232" t="s">
        <v>4785</v>
      </c>
      <c r="AC232" t="s">
        <v>4786</v>
      </c>
      <c r="AD232" t="s">
        <v>4786</v>
      </c>
      <c r="AE232" t="s">
        <v>4787</v>
      </c>
      <c r="AF232" t="s">
        <v>74</v>
      </c>
      <c r="AG232">
        <v>86</v>
      </c>
      <c r="AH232">
        <v>19</v>
      </c>
      <c r="AI232">
        <v>21</v>
      </c>
      <c r="AJ232">
        <v>4</v>
      </c>
      <c r="AK232">
        <v>41</v>
      </c>
      <c r="AL232" t="s">
        <v>244</v>
      </c>
      <c r="AM232" t="s">
        <v>245</v>
      </c>
      <c r="AN232" t="s">
        <v>246</v>
      </c>
      <c r="AO232" t="s">
        <v>609</v>
      </c>
      <c r="AP232" t="s">
        <v>610</v>
      </c>
      <c r="AQ232" t="s">
        <v>74</v>
      </c>
      <c r="AR232" t="s">
        <v>597</v>
      </c>
      <c r="AS232" t="s">
        <v>611</v>
      </c>
      <c r="AT232" t="s">
        <v>74</v>
      </c>
      <c r="AU232">
        <v>2015</v>
      </c>
      <c r="AV232">
        <v>12</v>
      </c>
      <c r="AW232">
        <v>12</v>
      </c>
      <c r="AX232" t="s">
        <v>74</v>
      </c>
      <c r="AY232" t="s">
        <v>74</v>
      </c>
      <c r="AZ232" t="s">
        <v>74</v>
      </c>
      <c r="BA232" t="s">
        <v>74</v>
      </c>
      <c r="BB232">
        <v>3769</v>
      </c>
      <c r="BC232">
        <v>3788</v>
      </c>
      <c r="BD232" t="s">
        <v>74</v>
      </c>
      <c r="BE232" t="s">
        <v>4788</v>
      </c>
      <c r="BF232" t="str">
        <f>HYPERLINK("http://dx.doi.org/10.5194/bg-12-3769-2015","http://dx.doi.org/10.5194/bg-12-3769-2015")</f>
        <v>http://dx.doi.org/10.5194/bg-12-3769-2015</v>
      </c>
      <c r="BG232" t="s">
        <v>74</v>
      </c>
      <c r="BH232" t="s">
        <v>74</v>
      </c>
      <c r="BI232">
        <v>20</v>
      </c>
      <c r="BJ232" t="s">
        <v>613</v>
      </c>
      <c r="BK232" t="s">
        <v>91</v>
      </c>
      <c r="BL232" t="s">
        <v>614</v>
      </c>
      <c r="BM232" t="s">
        <v>679</v>
      </c>
      <c r="BN232" t="s">
        <v>74</v>
      </c>
      <c r="BO232" t="s">
        <v>255</v>
      </c>
      <c r="BP232" t="s">
        <v>74</v>
      </c>
      <c r="BQ232" t="s">
        <v>74</v>
      </c>
      <c r="BR232" t="s">
        <v>93</v>
      </c>
      <c r="BS232" t="s">
        <v>4789</v>
      </c>
      <c r="BT232" t="str">
        <f>HYPERLINK("https%3A%2F%2Fwww.webofscience.com%2Fwos%2Fwoscc%2Ffull-record%2FWOS:000357119000008","View Full Record in Web of Science")</f>
        <v>View Full Record in Web of Science</v>
      </c>
    </row>
    <row r="233" spans="1:72" x14ac:dyDescent="0.15">
      <c r="A233" t="s">
        <v>72</v>
      </c>
      <c r="B233" t="s">
        <v>4790</v>
      </c>
      <c r="C233" t="s">
        <v>74</v>
      </c>
      <c r="D233" t="s">
        <v>74</v>
      </c>
      <c r="E233" t="s">
        <v>74</v>
      </c>
      <c r="F233" t="s">
        <v>4791</v>
      </c>
      <c r="G233" t="s">
        <v>74</v>
      </c>
      <c r="H233" t="s">
        <v>74</v>
      </c>
      <c r="I233" t="s">
        <v>4792</v>
      </c>
      <c r="J233" t="s">
        <v>597</v>
      </c>
      <c r="K233" t="s">
        <v>74</v>
      </c>
      <c r="L233" t="s">
        <v>74</v>
      </c>
      <c r="M233" t="s">
        <v>78</v>
      </c>
      <c r="N233" t="s">
        <v>99</v>
      </c>
      <c r="O233" t="s">
        <v>74</v>
      </c>
      <c r="P233" t="s">
        <v>74</v>
      </c>
      <c r="Q233" t="s">
        <v>74</v>
      </c>
      <c r="R233" t="s">
        <v>74</v>
      </c>
      <c r="S233" t="s">
        <v>74</v>
      </c>
      <c r="T233" t="s">
        <v>74</v>
      </c>
      <c r="U233" t="s">
        <v>4793</v>
      </c>
      <c r="V233" t="s">
        <v>4794</v>
      </c>
      <c r="W233" t="s">
        <v>4795</v>
      </c>
      <c r="X233" t="s">
        <v>4796</v>
      </c>
      <c r="Y233" t="s">
        <v>4797</v>
      </c>
      <c r="Z233" t="s">
        <v>4798</v>
      </c>
      <c r="AA233" t="s">
        <v>4799</v>
      </c>
      <c r="AB233" t="s">
        <v>4800</v>
      </c>
      <c r="AC233" t="s">
        <v>4801</v>
      </c>
      <c r="AD233" t="s">
        <v>4802</v>
      </c>
      <c r="AE233" t="s">
        <v>4803</v>
      </c>
      <c r="AF233" t="s">
        <v>74</v>
      </c>
      <c r="AG233">
        <v>122</v>
      </c>
      <c r="AH233">
        <v>48</v>
      </c>
      <c r="AI233">
        <v>48</v>
      </c>
      <c r="AJ233">
        <v>0</v>
      </c>
      <c r="AK233">
        <v>43</v>
      </c>
      <c r="AL233" t="s">
        <v>244</v>
      </c>
      <c r="AM233" t="s">
        <v>245</v>
      </c>
      <c r="AN233" t="s">
        <v>246</v>
      </c>
      <c r="AO233" t="s">
        <v>609</v>
      </c>
      <c r="AP233" t="s">
        <v>610</v>
      </c>
      <c r="AQ233" t="s">
        <v>74</v>
      </c>
      <c r="AR233" t="s">
        <v>597</v>
      </c>
      <c r="AS233" t="s">
        <v>611</v>
      </c>
      <c r="AT233" t="s">
        <v>74</v>
      </c>
      <c r="AU233">
        <v>2015</v>
      </c>
      <c r="AV233">
        <v>12</v>
      </c>
      <c r="AW233">
        <v>14</v>
      </c>
      <c r="AX233" t="s">
        <v>74</v>
      </c>
      <c r="AY233" t="s">
        <v>74</v>
      </c>
      <c r="AZ233" t="s">
        <v>74</v>
      </c>
      <c r="BA233" t="s">
        <v>74</v>
      </c>
      <c r="BB233">
        <v>4421</v>
      </c>
      <c r="BC233">
        <v>4445</v>
      </c>
      <c r="BD233" t="s">
        <v>74</v>
      </c>
      <c r="BE233" t="s">
        <v>4804</v>
      </c>
      <c r="BF233" t="str">
        <f>HYPERLINK("http://dx.doi.org/10.5194/bg-12-4421-2015","http://dx.doi.org/10.5194/bg-12-4421-2015")</f>
        <v>http://dx.doi.org/10.5194/bg-12-4421-2015</v>
      </c>
      <c r="BG233" t="s">
        <v>74</v>
      </c>
      <c r="BH233" t="s">
        <v>74</v>
      </c>
      <c r="BI233">
        <v>25</v>
      </c>
      <c r="BJ233" t="s">
        <v>613</v>
      </c>
      <c r="BK233" t="s">
        <v>91</v>
      </c>
      <c r="BL233" t="s">
        <v>614</v>
      </c>
      <c r="BM233" t="s">
        <v>4805</v>
      </c>
      <c r="BN233" t="s">
        <v>74</v>
      </c>
      <c r="BO233" t="s">
        <v>805</v>
      </c>
      <c r="BP233" t="s">
        <v>74</v>
      </c>
      <c r="BQ233" t="s">
        <v>74</v>
      </c>
      <c r="BR233" t="s">
        <v>93</v>
      </c>
      <c r="BS233" t="s">
        <v>4806</v>
      </c>
      <c r="BT233" t="str">
        <f>HYPERLINK("https%3A%2F%2Fwww.webofscience.com%2Fwos%2Fwoscc%2Ffull-record%2FWOS:000358800900016","View Full Record in Web of Science")</f>
        <v>View Full Record in Web of Science</v>
      </c>
    </row>
    <row r="234" spans="1:72" x14ac:dyDescent="0.15">
      <c r="A234" t="s">
        <v>72</v>
      </c>
      <c r="B234" t="s">
        <v>4807</v>
      </c>
      <c r="C234" t="s">
        <v>74</v>
      </c>
      <c r="D234" t="s">
        <v>74</v>
      </c>
      <c r="E234" t="s">
        <v>74</v>
      </c>
      <c r="F234" t="s">
        <v>4808</v>
      </c>
      <c r="G234" t="s">
        <v>74</v>
      </c>
      <c r="H234" t="s">
        <v>74</v>
      </c>
      <c r="I234" t="s">
        <v>4809</v>
      </c>
      <c r="J234" t="s">
        <v>597</v>
      </c>
      <c r="K234" t="s">
        <v>74</v>
      </c>
      <c r="L234" t="s">
        <v>74</v>
      </c>
      <c r="M234" t="s">
        <v>78</v>
      </c>
      <c r="N234" t="s">
        <v>99</v>
      </c>
      <c r="O234" t="s">
        <v>74</v>
      </c>
      <c r="P234" t="s">
        <v>74</v>
      </c>
      <c r="Q234" t="s">
        <v>74</v>
      </c>
      <c r="R234" t="s">
        <v>74</v>
      </c>
      <c r="S234" t="s">
        <v>74</v>
      </c>
      <c r="T234" t="s">
        <v>74</v>
      </c>
      <c r="U234" t="s">
        <v>4810</v>
      </c>
      <c r="V234" t="s">
        <v>4811</v>
      </c>
      <c r="W234" t="s">
        <v>4812</v>
      </c>
      <c r="X234" t="s">
        <v>4813</v>
      </c>
      <c r="Y234" t="s">
        <v>4814</v>
      </c>
      <c r="Z234" t="s">
        <v>4815</v>
      </c>
      <c r="AA234" t="s">
        <v>4816</v>
      </c>
      <c r="AB234" t="s">
        <v>4817</v>
      </c>
      <c r="AC234" t="s">
        <v>4818</v>
      </c>
      <c r="AD234" t="s">
        <v>4819</v>
      </c>
      <c r="AE234" t="s">
        <v>4820</v>
      </c>
      <c r="AF234" t="s">
        <v>74</v>
      </c>
      <c r="AG234">
        <v>74</v>
      </c>
      <c r="AH234">
        <v>41</v>
      </c>
      <c r="AI234">
        <v>45</v>
      </c>
      <c r="AJ234">
        <v>0</v>
      </c>
      <c r="AK234">
        <v>25</v>
      </c>
      <c r="AL234" t="s">
        <v>244</v>
      </c>
      <c r="AM234" t="s">
        <v>245</v>
      </c>
      <c r="AN234" t="s">
        <v>246</v>
      </c>
      <c r="AO234" t="s">
        <v>609</v>
      </c>
      <c r="AP234" t="s">
        <v>610</v>
      </c>
      <c r="AQ234" t="s">
        <v>74</v>
      </c>
      <c r="AR234" t="s">
        <v>597</v>
      </c>
      <c r="AS234" t="s">
        <v>611</v>
      </c>
      <c r="AT234" t="s">
        <v>74</v>
      </c>
      <c r="AU234">
        <v>2015</v>
      </c>
      <c r="AV234">
        <v>12</v>
      </c>
      <c r="AW234">
        <v>19</v>
      </c>
      <c r="AX234" t="s">
        <v>74</v>
      </c>
      <c r="AY234" t="s">
        <v>74</v>
      </c>
      <c r="AZ234" t="s">
        <v>74</v>
      </c>
      <c r="BA234" t="s">
        <v>74</v>
      </c>
      <c r="BB234">
        <v>5715</v>
      </c>
      <c r="BC234">
        <v>5734</v>
      </c>
      <c r="BD234" t="s">
        <v>74</v>
      </c>
      <c r="BE234" t="s">
        <v>4821</v>
      </c>
      <c r="BF234" t="str">
        <f>HYPERLINK("http://dx.doi.org/10.5194/bg-12-5715-2015","http://dx.doi.org/10.5194/bg-12-5715-2015")</f>
        <v>http://dx.doi.org/10.5194/bg-12-5715-2015</v>
      </c>
      <c r="BG234" t="s">
        <v>74</v>
      </c>
      <c r="BH234" t="s">
        <v>74</v>
      </c>
      <c r="BI234">
        <v>20</v>
      </c>
      <c r="BJ234" t="s">
        <v>613</v>
      </c>
      <c r="BK234" t="s">
        <v>91</v>
      </c>
      <c r="BL234" t="s">
        <v>614</v>
      </c>
      <c r="BM234" t="s">
        <v>4822</v>
      </c>
      <c r="BN234" t="s">
        <v>74</v>
      </c>
      <c r="BO234" t="s">
        <v>255</v>
      </c>
      <c r="BP234" t="s">
        <v>74</v>
      </c>
      <c r="BQ234" t="s">
        <v>74</v>
      </c>
      <c r="BR234" t="s">
        <v>93</v>
      </c>
      <c r="BS234" t="s">
        <v>4823</v>
      </c>
      <c r="BT234" t="str">
        <f>HYPERLINK("https%3A%2F%2Fwww.webofscience.com%2Fwos%2Fwoscc%2Ffull-record%2FWOS:000362972200011","View Full Record in Web of Science")</f>
        <v>View Full Record in Web of Science</v>
      </c>
    </row>
    <row r="235" spans="1:72" x14ac:dyDescent="0.15">
      <c r="A235" t="s">
        <v>72</v>
      </c>
      <c r="B235" t="s">
        <v>4824</v>
      </c>
      <c r="C235" t="s">
        <v>74</v>
      </c>
      <c r="D235" t="s">
        <v>74</v>
      </c>
      <c r="E235" t="s">
        <v>74</v>
      </c>
      <c r="F235" t="s">
        <v>4825</v>
      </c>
      <c r="G235" t="s">
        <v>74</v>
      </c>
      <c r="H235" t="s">
        <v>74</v>
      </c>
      <c r="I235" t="s">
        <v>4826</v>
      </c>
      <c r="J235" t="s">
        <v>597</v>
      </c>
      <c r="K235" t="s">
        <v>74</v>
      </c>
      <c r="L235" t="s">
        <v>74</v>
      </c>
      <c r="M235" t="s">
        <v>78</v>
      </c>
      <c r="N235" t="s">
        <v>99</v>
      </c>
      <c r="O235" t="s">
        <v>74</v>
      </c>
      <c r="P235" t="s">
        <v>74</v>
      </c>
      <c r="Q235" t="s">
        <v>74</v>
      </c>
      <c r="R235" t="s">
        <v>74</v>
      </c>
      <c r="S235" t="s">
        <v>74</v>
      </c>
      <c r="T235" t="s">
        <v>74</v>
      </c>
      <c r="U235" t="s">
        <v>4827</v>
      </c>
      <c r="V235" t="s">
        <v>4828</v>
      </c>
      <c r="W235" t="s">
        <v>4829</v>
      </c>
      <c r="X235" t="s">
        <v>4830</v>
      </c>
      <c r="Y235" t="s">
        <v>4831</v>
      </c>
      <c r="Z235" t="s">
        <v>4832</v>
      </c>
      <c r="AA235" t="s">
        <v>4833</v>
      </c>
      <c r="AB235" t="s">
        <v>4834</v>
      </c>
      <c r="AC235" t="s">
        <v>4835</v>
      </c>
      <c r="AD235" t="s">
        <v>4836</v>
      </c>
      <c r="AE235" t="s">
        <v>4837</v>
      </c>
      <c r="AF235" t="s">
        <v>74</v>
      </c>
      <c r="AG235">
        <v>72</v>
      </c>
      <c r="AH235">
        <v>42</v>
      </c>
      <c r="AI235">
        <v>45</v>
      </c>
      <c r="AJ235">
        <v>3</v>
      </c>
      <c r="AK235">
        <v>41</v>
      </c>
      <c r="AL235" t="s">
        <v>244</v>
      </c>
      <c r="AM235" t="s">
        <v>245</v>
      </c>
      <c r="AN235" t="s">
        <v>246</v>
      </c>
      <c r="AO235" t="s">
        <v>609</v>
      </c>
      <c r="AP235" t="s">
        <v>610</v>
      </c>
      <c r="AQ235" t="s">
        <v>74</v>
      </c>
      <c r="AR235" t="s">
        <v>597</v>
      </c>
      <c r="AS235" t="s">
        <v>611</v>
      </c>
      <c r="AT235" t="s">
        <v>74</v>
      </c>
      <c r="AU235">
        <v>2015</v>
      </c>
      <c r="AV235">
        <v>12</v>
      </c>
      <c r="AW235">
        <v>20</v>
      </c>
      <c r="AX235" t="s">
        <v>74</v>
      </c>
      <c r="AY235" t="s">
        <v>74</v>
      </c>
      <c r="AZ235" t="s">
        <v>74</v>
      </c>
      <c r="BA235" t="s">
        <v>74</v>
      </c>
      <c r="BB235">
        <v>5941</v>
      </c>
      <c r="BC235">
        <v>5965</v>
      </c>
      <c r="BD235" t="s">
        <v>74</v>
      </c>
      <c r="BE235" t="s">
        <v>4838</v>
      </c>
      <c r="BF235" t="str">
        <f>HYPERLINK("http://dx.doi.org/10.5194/bg-12-5941-2015","http://dx.doi.org/10.5194/bg-12-5941-2015")</f>
        <v>http://dx.doi.org/10.5194/bg-12-5941-2015</v>
      </c>
      <c r="BG235" t="s">
        <v>74</v>
      </c>
      <c r="BH235" t="s">
        <v>74</v>
      </c>
      <c r="BI235">
        <v>25</v>
      </c>
      <c r="BJ235" t="s">
        <v>613</v>
      </c>
      <c r="BK235" t="s">
        <v>91</v>
      </c>
      <c r="BL235" t="s">
        <v>614</v>
      </c>
      <c r="BM235" t="s">
        <v>4839</v>
      </c>
      <c r="BN235" t="s">
        <v>74</v>
      </c>
      <c r="BO235" t="s">
        <v>255</v>
      </c>
      <c r="BP235" t="s">
        <v>74</v>
      </c>
      <c r="BQ235" t="s">
        <v>74</v>
      </c>
      <c r="BR235" t="s">
        <v>93</v>
      </c>
      <c r="BS235" t="s">
        <v>4840</v>
      </c>
      <c r="BT235" t="str">
        <f>HYPERLINK("https%3A%2F%2Fwww.webofscience.com%2Fwos%2Fwoscc%2Ffull-record%2FWOS:000363182200004","View Full Record in Web of Science")</f>
        <v>View Full Record in Web of Science</v>
      </c>
    </row>
    <row r="236" spans="1:72" x14ac:dyDescent="0.15">
      <c r="A236" t="s">
        <v>72</v>
      </c>
      <c r="B236" t="s">
        <v>4841</v>
      </c>
      <c r="C236" t="s">
        <v>74</v>
      </c>
      <c r="D236" t="s">
        <v>74</v>
      </c>
      <c r="E236" t="s">
        <v>74</v>
      </c>
      <c r="F236" t="s">
        <v>4842</v>
      </c>
      <c r="G236" t="s">
        <v>74</v>
      </c>
      <c r="H236" t="s">
        <v>74</v>
      </c>
      <c r="I236" t="s">
        <v>4843</v>
      </c>
      <c r="J236" t="s">
        <v>597</v>
      </c>
      <c r="K236" t="s">
        <v>74</v>
      </c>
      <c r="L236" t="s">
        <v>74</v>
      </c>
      <c r="M236" t="s">
        <v>78</v>
      </c>
      <c r="N236" t="s">
        <v>99</v>
      </c>
      <c r="O236" t="s">
        <v>74</v>
      </c>
      <c r="P236" t="s">
        <v>74</v>
      </c>
      <c r="Q236" t="s">
        <v>74</v>
      </c>
      <c r="R236" t="s">
        <v>74</v>
      </c>
      <c r="S236" t="s">
        <v>74</v>
      </c>
      <c r="T236" t="s">
        <v>74</v>
      </c>
      <c r="U236" t="s">
        <v>4844</v>
      </c>
      <c r="V236" t="s">
        <v>4845</v>
      </c>
      <c r="W236" t="s">
        <v>4846</v>
      </c>
      <c r="X236" t="s">
        <v>4847</v>
      </c>
      <c r="Y236" t="s">
        <v>4848</v>
      </c>
      <c r="Z236" t="s">
        <v>4849</v>
      </c>
      <c r="AA236" t="s">
        <v>4850</v>
      </c>
      <c r="AB236" t="s">
        <v>4851</v>
      </c>
      <c r="AC236" t="s">
        <v>4852</v>
      </c>
      <c r="AD236" t="s">
        <v>4853</v>
      </c>
      <c r="AE236" t="s">
        <v>4854</v>
      </c>
      <c r="AF236" t="s">
        <v>74</v>
      </c>
      <c r="AG236">
        <v>79</v>
      </c>
      <c r="AH236">
        <v>44</v>
      </c>
      <c r="AI236">
        <v>51</v>
      </c>
      <c r="AJ236">
        <v>0</v>
      </c>
      <c r="AK236">
        <v>29</v>
      </c>
      <c r="AL236" t="s">
        <v>244</v>
      </c>
      <c r="AM236" t="s">
        <v>245</v>
      </c>
      <c r="AN236" t="s">
        <v>246</v>
      </c>
      <c r="AO236" t="s">
        <v>609</v>
      </c>
      <c r="AP236" t="s">
        <v>610</v>
      </c>
      <c r="AQ236" t="s">
        <v>74</v>
      </c>
      <c r="AR236" t="s">
        <v>597</v>
      </c>
      <c r="AS236" t="s">
        <v>611</v>
      </c>
      <c r="AT236" t="s">
        <v>74</v>
      </c>
      <c r="AU236">
        <v>2015</v>
      </c>
      <c r="AV236">
        <v>12</v>
      </c>
      <c r="AW236">
        <v>22</v>
      </c>
      <c r="AX236" t="s">
        <v>74</v>
      </c>
      <c r="AY236" t="s">
        <v>74</v>
      </c>
      <c r="AZ236" t="s">
        <v>74</v>
      </c>
      <c r="BA236" t="s">
        <v>74</v>
      </c>
      <c r="BB236">
        <v>6761</v>
      </c>
      <c r="BC236">
        <v>6779</v>
      </c>
      <c r="BD236" t="s">
        <v>74</v>
      </c>
      <c r="BE236" t="s">
        <v>4855</v>
      </c>
      <c r="BF236" t="str">
        <f>HYPERLINK("http://dx.doi.org/10.5194/bg-12-6761-2015","http://dx.doi.org/10.5194/bg-12-6761-2015")</f>
        <v>http://dx.doi.org/10.5194/bg-12-6761-2015</v>
      </c>
      <c r="BG236" t="s">
        <v>74</v>
      </c>
      <c r="BH236" t="s">
        <v>74</v>
      </c>
      <c r="BI236">
        <v>19</v>
      </c>
      <c r="BJ236" t="s">
        <v>613</v>
      </c>
      <c r="BK236" t="s">
        <v>91</v>
      </c>
      <c r="BL236" t="s">
        <v>614</v>
      </c>
      <c r="BM236" t="s">
        <v>4856</v>
      </c>
      <c r="BN236" t="s">
        <v>74</v>
      </c>
      <c r="BO236" t="s">
        <v>255</v>
      </c>
      <c r="BP236" t="s">
        <v>74</v>
      </c>
      <c r="BQ236" t="s">
        <v>74</v>
      </c>
      <c r="BR236" t="s">
        <v>93</v>
      </c>
      <c r="BS236" t="s">
        <v>4857</v>
      </c>
      <c r="BT236" t="str">
        <f>HYPERLINK("https%3A%2F%2Fwww.webofscience.com%2Fwos%2Fwoscc%2Ffull-record%2FWOS:000365442600014","View Full Record in Web of Science")</f>
        <v>View Full Record in Web of Science</v>
      </c>
    </row>
    <row r="237" spans="1:72" x14ac:dyDescent="0.15">
      <c r="A237" t="s">
        <v>72</v>
      </c>
      <c r="B237" t="s">
        <v>4858</v>
      </c>
      <c r="C237" t="s">
        <v>74</v>
      </c>
      <c r="D237" t="s">
        <v>74</v>
      </c>
      <c r="E237" t="s">
        <v>74</v>
      </c>
      <c r="F237" t="s">
        <v>4859</v>
      </c>
      <c r="G237" t="s">
        <v>74</v>
      </c>
      <c r="H237" t="s">
        <v>74</v>
      </c>
      <c r="I237" t="s">
        <v>4860</v>
      </c>
      <c r="J237" t="s">
        <v>4861</v>
      </c>
      <c r="K237" t="s">
        <v>74</v>
      </c>
      <c r="L237" t="s">
        <v>74</v>
      </c>
      <c r="M237" t="s">
        <v>78</v>
      </c>
      <c r="N237" t="s">
        <v>99</v>
      </c>
      <c r="O237" t="s">
        <v>74</v>
      </c>
      <c r="P237" t="s">
        <v>74</v>
      </c>
      <c r="Q237" t="s">
        <v>74</v>
      </c>
      <c r="R237" t="s">
        <v>74</v>
      </c>
      <c r="S237" t="s">
        <v>74</v>
      </c>
      <c r="T237" t="s">
        <v>4862</v>
      </c>
      <c r="U237" t="s">
        <v>74</v>
      </c>
      <c r="V237" t="s">
        <v>4863</v>
      </c>
      <c r="W237" t="s">
        <v>4864</v>
      </c>
      <c r="X237" t="s">
        <v>2754</v>
      </c>
      <c r="Y237" t="s">
        <v>4865</v>
      </c>
      <c r="Z237" t="s">
        <v>74</v>
      </c>
      <c r="AA237" t="s">
        <v>74</v>
      </c>
      <c r="AB237" t="s">
        <v>74</v>
      </c>
      <c r="AC237" t="s">
        <v>74</v>
      </c>
      <c r="AD237" t="s">
        <v>74</v>
      </c>
      <c r="AE237" t="s">
        <v>74</v>
      </c>
      <c r="AF237" t="s">
        <v>74</v>
      </c>
      <c r="AG237">
        <v>31</v>
      </c>
      <c r="AH237">
        <v>9</v>
      </c>
      <c r="AI237">
        <v>9</v>
      </c>
      <c r="AJ237">
        <v>0</v>
      </c>
      <c r="AK237">
        <v>0</v>
      </c>
      <c r="AL237" t="s">
        <v>4866</v>
      </c>
      <c r="AM237" t="s">
        <v>4867</v>
      </c>
      <c r="AN237" t="s">
        <v>4868</v>
      </c>
      <c r="AO237" t="s">
        <v>4869</v>
      </c>
      <c r="AP237" t="s">
        <v>4870</v>
      </c>
      <c r="AQ237" t="s">
        <v>74</v>
      </c>
      <c r="AR237" t="s">
        <v>4871</v>
      </c>
      <c r="AS237" t="s">
        <v>4872</v>
      </c>
      <c r="AT237" t="s">
        <v>200</v>
      </c>
      <c r="AU237">
        <v>2015</v>
      </c>
      <c r="AV237">
        <v>4</v>
      </c>
      <c r="AW237">
        <v>1</v>
      </c>
      <c r="AX237" t="s">
        <v>74</v>
      </c>
      <c r="AY237" t="s">
        <v>74</v>
      </c>
      <c r="AZ237" t="s">
        <v>74</v>
      </c>
      <c r="BA237" t="s">
        <v>74</v>
      </c>
      <c r="BB237">
        <v>181</v>
      </c>
      <c r="BC237">
        <v>190</v>
      </c>
      <c r="BD237" t="s">
        <v>74</v>
      </c>
      <c r="BE237" t="s">
        <v>4873</v>
      </c>
      <c r="BF237" t="str">
        <f>HYPERLINK("http://dx.doi.org/10.7574/cjicl.04.01.181","http://dx.doi.org/10.7574/cjicl.04.01.181")</f>
        <v>http://dx.doi.org/10.7574/cjicl.04.01.181</v>
      </c>
      <c r="BG237" t="s">
        <v>74</v>
      </c>
      <c r="BH237" t="s">
        <v>74</v>
      </c>
      <c r="BI237">
        <v>10</v>
      </c>
      <c r="BJ237" t="s">
        <v>890</v>
      </c>
      <c r="BK237" t="s">
        <v>202</v>
      </c>
      <c r="BL237" t="s">
        <v>892</v>
      </c>
      <c r="BM237" t="s">
        <v>4874</v>
      </c>
      <c r="BN237" t="s">
        <v>74</v>
      </c>
      <c r="BO237" t="s">
        <v>1393</v>
      </c>
      <c r="BP237" t="s">
        <v>74</v>
      </c>
      <c r="BQ237" t="s">
        <v>74</v>
      </c>
      <c r="BR237" t="s">
        <v>93</v>
      </c>
      <c r="BS237" t="s">
        <v>4875</v>
      </c>
      <c r="BT237" t="str">
        <f>HYPERLINK("https%3A%2F%2Fwww.webofscience.com%2Fwos%2Fwoscc%2Ffull-record%2FWOS:000433814500010","View Full Record in Web of Science")</f>
        <v>View Full Record in Web of Science</v>
      </c>
    </row>
    <row r="238" spans="1:72" x14ac:dyDescent="0.15">
      <c r="A238" t="s">
        <v>72</v>
      </c>
      <c r="B238" t="s">
        <v>4876</v>
      </c>
      <c r="C238" t="s">
        <v>74</v>
      </c>
      <c r="D238" t="s">
        <v>74</v>
      </c>
      <c r="E238" t="s">
        <v>74</v>
      </c>
      <c r="F238" t="s">
        <v>4877</v>
      </c>
      <c r="G238" t="s">
        <v>74</v>
      </c>
      <c r="H238" t="s">
        <v>74</v>
      </c>
      <c r="I238" t="s">
        <v>4878</v>
      </c>
      <c r="J238" t="s">
        <v>4879</v>
      </c>
      <c r="K238" t="s">
        <v>74</v>
      </c>
      <c r="L238" t="s">
        <v>74</v>
      </c>
      <c r="M238" t="s">
        <v>78</v>
      </c>
      <c r="N238" t="s">
        <v>99</v>
      </c>
      <c r="O238" t="s">
        <v>74</v>
      </c>
      <c r="P238" t="s">
        <v>74</v>
      </c>
      <c r="Q238" t="s">
        <v>74</v>
      </c>
      <c r="R238" t="s">
        <v>74</v>
      </c>
      <c r="S238" t="s">
        <v>74</v>
      </c>
      <c r="T238" t="s">
        <v>74</v>
      </c>
      <c r="U238" t="s">
        <v>4880</v>
      </c>
      <c r="V238" t="s">
        <v>4881</v>
      </c>
      <c r="W238" t="s">
        <v>4882</v>
      </c>
      <c r="X238" t="s">
        <v>1314</v>
      </c>
      <c r="Y238" t="s">
        <v>4883</v>
      </c>
      <c r="Z238" t="s">
        <v>4884</v>
      </c>
      <c r="AA238" t="s">
        <v>74</v>
      </c>
      <c r="AB238" t="s">
        <v>4885</v>
      </c>
      <c r="AC238" t="s">
        <v>4886</v>
      </c>
      <c r="AD238" t="s">
        <v>4887</v>
      </c>
      <c r="AE238" t="s">
        <v>4888</v>
      </c>
      <c r="AF238" t="s">
        <v>74</v>
      </c>
      <c r="AG238">
        <v>32</v>
      </c>
      <c r="AH238">
        <v>2</v>
      </c>
      <c r="AI238">
        <v>2</v>
      </c>
      <c r="AJ238">
        <v>0</v>
      </c>
      <c r="AK238">
        <v>8</v>
      </c>
      <c r="AL238" t="s">
        <v>4889</v>
      </c>
      <c r="AM238" t="s">
        <v>4890</v>
      </c>
      <c r="AN238" t="s">
        <v>4891</v>
      </c>
      <c r="AO238" t="s">
        <v>4892</v>
      </c>
      <c r="AP238" t="s">
        <v>74</v>
      </c>
      <c r="AQ238" t="s">
        <v>74</v>
      </c>
      <c r="AR238" t="s">
        <v>4893</v>
      </c>
      <c r="AS238" t="s">
        <v>4894</v>
      </c>
      <c r="AT238" t="s">
        <v>74</v>
      </c>
      <c r="AU238">
        <v>2015</v>
      </c>
      <c r="AV238">
        <v>22</v>
      </c>
      <c r="AW238" t="s">
        <v>74</v>
      </c>
      <c r="AX238" t="s">
        <v>74</v>
      </c>
      <c r="AY238" t="s">
        <v>74</v>
      </c>
      <c r="AZ238" t="s">
        <v>74</v>
      </c>
      <c r="BA238" t="s">
        <v>74</v>
      </c>
      <c r="BB238">
        <v>15</v>
      </c>
      <c r="BC238">
        <v>28</v>
      </c>
      <c r="BD238" t="s">
        <v>74</v>
      </c>
      <c r="BE238" t="s">
        <v>74</v>
      </c>
      <c r="BF238" t="s">
        <v>74</v>
      </c>
      <c r="BG238" t="s">
        <v>74</v>
      </c>
      <c r="BH238" t="s">
        <v>74</v>
      </c>
      <c r="BI238">
        <v>14</v>
      </c>
      <c r="BJ238" t="s">
        <v>4895</v>
      </c>
      <c r="BK238" t="s">
        <v>91</v>
      </c>
      <c r="BL238" t="s">
        <v>4895</v>
      </c>
      <c r="BM238" t="s">
        <v>4896</v>
      </c>
      <c r="BN238" t="s">
        <v>74</v>
      </c>
      <c r="BO238" t="s">
        <v>74</v>
      </c>
      <c r="BP238" t="s">
        <v>74</v>
      </c>
      <c r="BQ238" t="s">
        <v>74</v>
      </c>
      <c r="BR238" t="s">
        <v>93</v>
      </c>
      <c r="BS238" t="s">
        <v>4897</v>
      </c>
      <c r="BT238" t="str">
        <f>HYPERLINK("https%3A%2F%2Fwww.webofscience.com%2Fwos%2Fwoscc%2Ffull-record%2FWOS:000369884300002","View Full Record in Web of Science")</f>
        <v>View Full Record in Web of Science</v>
      </c>
    </row>
    <row r="239" spans="1:72" x14ac:dyDescent="0.15">
      <c r="A239" t="s">
        <v>1395</v>
      </c>
      <c r="B239" t="s">
        <v>4898</v>
      </c>
      <c r="C239" t="s">
        <v>4898</v>
      </c>
      <c r="D239" t="s">
        <v>74</v>
      </c>
      <c r="E239" t="s">
        <v>74</v>
      </c>
      <c r="F239" t="s">
        <v>4899</v>
      </c>
      <c r="G239" t="s">
        <v>4898</v>
      </c>
      <c r="H239" t="s">
        <v>74</v>
      </c>
      <c r="I239" t="s">
        <v>4900</v>
      </c>
      <c r="J239" t="s">
        <v>4901</v>
      </c>
      <c r="K239" t="s">
        <v>74</v>
      </c>
      <c r="L239" t="s">
        <v>74</v>
      </c>
      <c r="M239" t="s">
        <v>78</v>
      </c>
      <c r="N239" t="s">
        <v>918</v>
      </c>
      <c r="O239" t="s">
        <v>74</v>
      </c>
      <c r="P239" t="s">
        <v>74</v>
      </c>
      <c r="Q239" t="s">
        <v>74</v>
      </c>
      <c r="R239" t="s">
        <v>74</v>
      </c>
      <c r="S239" t="s">
        <v>74</v>
      </c>
      <c r="T239" t="s">
        <v>74</v>
      </c>
      <c r="U239" t="s">
        <v>74</v>
      </c>
      <c r="V239" t="s">
        <v>4902</v>
      </c>
      <c r="W239" t="s">
        <v>74</v>
      </c>
      <c r="X239" t="s">
        <v>74</v>
      </c>
      <c r="Y239" t="s">
        <v>74</v>
      </c>
      <c r="Z239" t="s">
        <v>74</v>
      </c>
      <c r="AA239" t="s">
        <v>74</v>
      </c>
      <c r="AB239" t="s">
        <v>74</v>
      </c>
      <c r="AC239" t="s">
        <v>74</v>
      </c>
      <c r="AD239" t="s">
        <v>74</v>
      </c>
      <c r="AE239" t="s">
        <v>74</v>
      </c>
      <c r="AF239" t="s">
        <v>74</v>
      </c>
      <c r="AG239">
        <v>0</v>
      </c>
      <c r="AH239">
        <v>0</v>
      </c>
      <c r="AI239">
        <v>0</v>
      </c>
      <c r="AJ239">
        <v>0</v>
      </c>
      <c r="AK239">
        <v>0</v>
      </c>
      <c r="AL239" t="s">
        <v>4903</v>
      </c>
      <c r="AM239" t="s">
        <v>4904</v>
      </c>
      <c r="AN239" t="s">
        <v>4905</v>
      </c>
      <c r="AO239" t="s">
        <v>74</v>
      </c>
      <c r="AP239" t="s">
        <v>74</v>
      </c>
      <c r="AQ239" t="s">
        <v>4906</v>
      </c>
      <c r="AR239" t="s">
        <v>74</v>
      </c>
      <c r="AS239" t="s">
        <v>74</v>
      </c>
      <c r="AT239" t="s">
        <v>74</v>
      </c>
      <c r="AU239">
        <v>2015</v>
      </c>
      <c r="AV239" t="s">
        <v>74</v>
      </c>
      <c r="AW239" t="s">
        <v>74</v>
      </c>
      <c r="AX239" t="s">
        <v>74</v>
      </c>
      <c r="AY239" t="s">
        <v>74</v>
      </c>
      <c r="AZ239" t="s">
        <v>74</v>
      </c>
      <c r="BA239" t="s">
        <v>74</v>
      </c>
      <c r="BB239">
        <v>99</v>
      </c>
      <c r="BC239">
        <v>101</v>
      </c>
      <c r="BD239" t="s">
        <v>74</v>
      </c>
      <c r="BE239" t="s">
        <v>74</v>
      </c>
      <c r="BF239" t="s">
        <v>74</v>
      </c>
      <c r="BG239" t="s">
        <v>74</v>
      </c>
      <c r="BH239" t="s">
        <v>74</v>
      </c>
      <c r="BI239">
        <v>3</v>
      </c>
      <c r="BJ239" t="s">
        <v>3587</v>
      </c>
      <c r="BK239" t="s">
        <v>936</v>
      </c>
      <c r="BL239" t="s">
        <v>395</v>
      </c>
      <c r="BM239" t="s">
        <v>4907</v>
      </c>
      <c r="BN239" t="s">
        <v>74</v>
      </c>
      <c r="BO239" t="s">
        <v>74</v>
      </c>
      <c r="BP239" t="s">
        <v>74</v>
      </c>
      <c r="BQ239" t="s">
        <v>74</v>
      </c>
      <c r="BR239" t="s">
        <v>93</v>
      </c>
      <c r="BS239" t="s">
        <v>4908</v>
      </c>
      <c r="BT239" t="str">
        <f>HYPERLINK("https%3A%2F%2Fwww.webofscience.com%2Fwos%2Fwoscc%2Ffull-record%2FWOS:000408825800036","View Full Record in Web of Science")</f>
        <v>View Full Record in Web of Science</v>
      </c>
    </row>
    <row r="240" spans="1:72" x14ac:dyDescent="0.15">
      <c r="A240" t="s">
        <v>1395</v>
      </c>
      <c r="B240" t="s">
        <v>4898</v>
      </c>
      <c r="C240" t="s">
        <v>4898</v>
      </c>
      <c r="D240" t="s">
        <v>74</v>
      </c>
      <c r="E240" t="s">
        <v>74</v>
      </c>
      <c r="F240" t="s">
        <v>4899</v>
      </c>
      <c r="G240" t="s">
        <v>4898</v>
      </c>
      <c r="H240" t="s">
        <v>74</v>
      </c>
      <c r="I240" t="s">
        <v>4909</v>
      </c>
      <c r="J240" t="s">
        <v>4901</v>
      </c>
      <c r="K240" t="s">
        <v>74</v>
      </c>
      <c r="L240" t="s">
        <v>74</v>
      </c>
      <c r="M240" t="s">
        <v>78</v>
      </c>
      <c r="N240" t="s">
        <v>918</v>
      </c>
      <c r="O240" t="s">
        <v>74</v>
      </c>
      <c r="P240" t="s">
        <v>74</v>
      </c>
      <c r="Q240" t="s">
        <v>74</v>
      </c>
      <c r="R240" t="s">
        <v>74</v>
      </c>
      <c r="S240" t="s">
        <v>74</v>
      </c>
      <c r="T240" t="s">
        <v>74</v>
      </c>
      <c r="U240" t="s">
        <v>74</v>
      </c>
      <c r="V240" t="s">
        <v>4910</v>
      </c>
      <c r="W240" t="s">
        <v>74</v>
      </c>
      <c r="X240" t="s">
        <v>74</v>
      </c>
      <c r="Y240" t="s">
        <v>74</v>
      </c>
      <c r="Z240" t="s">
        <v>74</v>
      </c>
      <c r="AA240" t="s">
        <v>74</v>
      </c>
      <c r="AB240" t="s">
        <v>74</v>
      </c>
      <c r="AC240" t="s">
        <v>74</v>
      </c>
      <c r="AD240" t="s">
        <v>74</v>
      </c>
      <c r="AE240" t="s">
        <v>74</v>
      </c>
      <c r="AF240" t="s">
        <v>74</v>
      </c>
      <c r="AG240">
        <v>0</v>
      </c>
      <c r="AH240">
        <v>0</v>
      </c>
      <c r="AI240">
        <v>0</v>
      </c>
      <c r="AJ240">
        <v>0</v>
      </c>
      <c r="AK240">
        <v>2</v>
      </c>
      <c r="AL240" t="s">
        <v>4903</v>
      </c>
      <c r="AM240" t="s">
        <v>4904</v>
      </c>
      <c r="AN240" t="s">
        <v>4905</v>
      </c>
      <c r="AO240" t="s">
        <v>74</v>
      </c>
      <c r="AP240" t="s">
        <v>74</v>
      </c>
      <c r="AQ240" t="s">
        <v>4906</v>
      </c>
      <c r="AR240" t="s">
        <v>74</v>
      </c>
      <c r="AS240" t="s">
        <v>74</v>
      </c>
      <c r="AT240" t="s">
        <v>74</v>
      </c>
      <c r="AU240">
        <v>2015</v>
      </c>
      <c r="AV240" t="s">
        <v>74</v>
      </c>
      <c r="AW240" t="s">
        <v>74</v>
      </c>
      <c r="AX240" t="s">
        <v>74</v>
      </c>
      <c r="AY240" t="s">
        <v>74</v>
      </c>
      <c r="AZ240" t="s">
        <v>74</v>
      </c>
      <c r="BA240" t="s">
        <v>74</v>
      </c>
      <c r="BB240">
        <v>102</v>
      </c>
      <c r="BC240">
        <v>107</v>
      </c>
      <c r="BD240" t="s">
        <v>74</v>
      </c>
      <c r="BE240" t="s">
        <v>74</v>
      </c>
      <c r="BF240" t="s">
        <v>74</v>
      </c>
      <c r="BG240" t="s">
        <v>74</v>
      </c>
      <c r="BH240" t="s">
        <v>74</v>
      </c>
      <c r="BI240">
        <v>6</v>
      </c>
      <c r="BJ240" t="s">
        <v>3587</v>
      </c>
      <c r="BK240" t="s">
        <v>936</v>
      </c>
      <c r="BL240" t="s">
        <v>395</v>
      </c>
      <c r="BM240" t="s">
        <v>4907</v>
      </c>
      <c r="BN240" t="s">
        <v>74</v>
      </c>
      <c r="BO240" t="s">
        <v>74</v>
      </c>
      <c r="BP240" t="s">
        <v>74</v>
      </c>
      <c r="BQ240" t="s">
        <v>74</v>
      </c>
      <c r="BR240" t="s">
        <v>93</v>
      </c>
      <c r="BS240" t="s">
        <v>4911</v>
      </c>
      <c r="BT240" t="str">
        <f>HYPERLINK("https%3A%2F%2Fwww.webofscience.com%2Fwos%2Fwoscc%2Ffull-record%2FWOS:000408825800037","View Full Record in Web of Science")</f>
        <v>View Full Record in Web of Science</v>
      </c>
    </row>
    <row r="241" spans="1:72" x14ac:dyDescent="0.15">
      <c r="A241" t="s">
        <v>72</v>
      </c>
      <c r="B241" t="s">
        <v>4912</v>
      </c>
      <c r="C241" t="s">
        <v>74</v>
      </c>
      <c r="D241" t="s">
        <v>74</v>
      </c>
      <c r="E241" t="s">
        <v>74</v>
      </c>
      <c r="F241" t="s">
        <v>4913</v>
      </c>
      <c r="G241" t="s">
        <v>74</v>
      </c>
      <c r="H241" t="s">
        <v>74</v>
      </c>
      <c r="I241" t="s">
        <v>4914</v>
      </c>
      <c r="J241" t="s">
        <v>702</v>
      </c>
      <c r="K241" t="s">
        <v>74</v>
      </c>
      <c r="L241" t="s">
        <v>74</v>
      </c>
      <c r="M241" t="s">
        <v>78</v>
      </c>
      <c r="N241" t="s">
        <v>99</v>
      </c>
      <c r="O241" t="s">
        <v>74</v>
      </c>
      <c r="P241" t="s">
        <v>74</v>
      </c>
      <c r="Q241" t="s">
        <v>74</v>
      </c>
      <c r="R241" t="s">
        <v>74</v>
      </c>
      <c r="S241" t="s">
        <v>74</v>
      </c>
      <c r="T241" t="s">
        <v>74</v>
      </c>
      <c r="U241" t="s">
        <v>4915</v>
      </c>
      <c r="V241" t="s">
        <v>4916</v>
      </c>
      <c r="W241" t="s">
        <v>4917</v>
      </c>
      <c r="X241" t="s">
        <v>4918</v>
      </c>
      <c r="Y241" t="s">
        <v>4919</v>
      </c>
      <c r="Z241" t="s">
        <v>4920</v>
      </c>
      <c r="AA241" t="s">
        <v>4921</v>
      </c>
      <c r="AB241" t="s">
        <v>4922</v>
      </c>
      <c r="AC241" t="s">
        <v>4923</v>
      </c>
      <c r="AD241" t="s">
        <v>4924</v>
      </c>
      <c r="AE241" t="s">
        <v>4925</v>
      </c>
      <c r="AF241" t="s">
        <v>74</v>
      </c>
      <c r="AG241">
        <v>103</v>
      </c>
      <c r="AH241">
        <v>156</v>
      </c>
      <c r="AI241">
        <v>183</v>
      </c>
      <c r="AJ241">
        <v>0</v>
      </c>
      <c r="AK241">
        <v>68</v>
      </c>
      <c r="AL241" t="s">
        <v>244</v>
      </c>
      <c r="AM241" t="s">
        <v>245</v>
      </c>
      <c r="AN241" t="s">
        <v>246</v>
      </c>
      <c r="AO241" t="s">
        <v>714</v>
      </c>
      <c r="AP241" t="s">
        <v>715</v>
      </c>
      <c r="AQ241" t="s">
        <v>74</v>
      </c>
      <c r="AR241" t="s">
        <v>716</v>
      </c>
      <c r="AS241" t="s">
        <v>717</v>
      </c>
      <c r="AT241" t="s">
        <v>74</v>
      </c>
      <c r="AU241">
        <v>2015</v>
      </c>
      <c r="AV241">
        <v>11</v>
      </c>
      <c r="AW241">
        <v>2</v>
      </c>
      <c r="AX241" t="s">
        <v>74</v>
      </c>
      <c r="AY241" t="s">
        <v>74</v>
      </c>
      <c r="AZ241" t="s">
        <v>74</v>
      </c>
      <c r="BA241" t="s">
        <v>74</v>
      </c>
      <c r="BB241">
        <v>153</v>
      </c>
      <c r="BC241">
        <v>173</v>
      </c>
      <c r="BD241" t="s">
        <v>74</v>
      </c>
      <c r="BE241" t="s">
        <v>4926</v>
      </c>
      <c r="BF241" t="str">
        <f>HYPERLINK("http://dx.doi.org/10.5194/cp-11-153-2015","http://dx.doi.org/10.5194/cp-11-153-2015")</f>
        <v>http://dx.doi.org/10.5194/cp-11-153-2015</v>
      </c>
      <c r="BG241" t="s">
        <v>74</v>
      </c>
      <c r="BH241" t="s">
        <v>74</v>
      </c>
      <c r="BI241">
        <v>21</v>
      </c>
      <c r="BJ241" t="s">
        <v>637</v>
      </c>
      <c r="BK241" t="s">
        <v>91</v>
      </c>
      <c r="BL241" t="s">
        <v>638</v>
      </c>
      <c r="BM241" t="s">
        <v>1879</v>
      </c>
      <c r="BN241" t="s">
        <v>74</v>
      </c>
      <c r="BO241" t="s">
        <v>805</v>
      </c>
      <c r="BP241" t="s">
        <v>74</v>
      </c>
      <c r="BQ241" t="s">
        <v>74</v>
      </c>
      <c r="BR241" t="s">
        <v>93</v>
      </c>
      <c r="BS241" t="s">
        <v>4927</v>
      </c>
      <c r="BT241" t="str">
        <f>HYPERLINK("https%3A%2F%2Fwww.webofscience.com%2Fwos%2Fwoscc%2Ffull-record%2FWOS:000350560400003","View Full Record in Web of Science")</f>
        <v>View Full Record in Web of Science</v>
      </c>
    </row>
    <row r="242" spans="1:72" x14ac:dyDescent="0.15">
      <c r="A242" t="s">
        <v>72</v>
      </c>
      <c r="B242" t="s">
        <v>4928</v>
      </c>
      <c r="C242" t="s">
        <v>74</v>
      </c>
      <c r="D242" t="s">
        <v>74</v>
      </c>
      <c r="E242" t="s">
        <v>74</v>
      </c>
      <c r="F242" t="s">
        <v>4929</v>
      </c>
      <c r="G242" t="s">
        <v>74</v>
      </c>
      <c r="H242" t="s">
        <v>74</v>
      </c>
      <c r="I242" t="s">
        <v>4930</v>
      </c>
      <c r="J242" t="s">
        <v>702</v>
      </c>
      <c r="K242" t="s">
        <v>74</v>
      </c>
      <c r="L242" t="s">
        <v>74</v>
      </c>
      <c r="M242" t="s">
        <v>78</v>
      </c>
      <c r="N242" t="s">
        <v>99</v>
      </c>
      <c r="O242" t="s">
        <v>74</v>
      </c>
      <c r="P242" t="s">
        <v>74</v>
      </c>
      <c r="Q242" t="s">
        <v>74</v>
      </c>
      <c r="R242" t="s">
        <v>74</v>
      </c>
      <c r="S242" t="s">
        <v>74</v>
      </c>
      <c r="T242" t="s">
        <v>74</v>
      </c>
      <c r="U242" t="s">
        <v>4931</v>
      </c>
      <c r="V242" t="s">
        <v>4932</v>
      </c>
      <c r="W242" t="s">
        <v>4933</v>
      </c>
      <c r="X242" t="s">
        <v>4934</v>
      </c>
      <c r="Y242" t="s">
        <v>4935</v>
      </c>
      <c r="Z242" t="s">
        <v>4936</v>
      </c>
      <c r="AA242" t="s">
        <v>4937</v>
      </c>
      <c r="AB242" t="s">
        <v>4938</v>
      </c>
      <c r="AC242" t="s">
        <v>4939</v>
      </c>
      <c r="AD242" t="s">
        <v>4940</v>
      </c>
      <c r="AE242" t="s">
        <v>4941</v>
      </c>
      <c r="AF242" t="s">
        <v>74</v>
      </c>
      <c r="AG242">
        <v>125</v>
      </c>
      <c r="AH242">
        <v>31</v>
      </c>
      <c r="AI242">
        <v>32</v>
      </c>
      <c r="AJ242">
        <v>2</v>
      </c>
      <c r="AK242">
        <v>31</v>
      </c>
      <c r="AL242" t="s">
        <v>244</v>
      </c>
      <c r="AM242" t="s">
        <v>245</v>
      </c>
      <c r="AN242" t="s">
        <v>246</v>
      </c>
      <c r="AO242" t="s">
        <v>714</v>
      </c>
      <c r="AP242" t="s">
        <v>715</v>
      </c>
      <c r="AQ242" t="s">
        <v>74</v>
      </c>
      <c r="AR242" t="s">
        <v>716</v>
      </c>
      <c r="AS242" t="s">
        <v>717</v>
      </c>
      <c r="AT242" t="s">
        <v>74</v>
      </c>
      <c r="AU242">
        <v>2015</v>
      </c>
      <c r="AV242">
        <v>11</v>
      </c>
      <c r="AW242">
        <v>3</v>
      </c>
      <c r="AX242" t="s">
        <v>74</v>
      </c>
      <c r="AY242" t="s">
        <v>74</v>
      </c>
      <c r="AZ242" t="s">
        <v>74</v>
      </c>
      <c r="BA242" t="s">
        <v>74</v>
      </c>
      <c r="BB242">
        <v>403</v>
      </c>
      <c r="BC242">
        <v>424</v>
      </c>
      <c r="BD242" t="s">
        <v>74</v>
      </c>
      <c r="BE242" t="s">
        <v>4942</v>
      </c>
      <c r="BF242" t="str">
        <f>HYPERLINK("http://dx.doi.org/10.5194/cp-11-403-2015","http://dx.doi.org/10.5194/cp-11-403-2015")</f>
        <v>http://dx.doi.org/10.5194/cp-11-403-2015</v>
      </c>
      <c r="BG242" t="s">
        <v>74</v>
      </c>
      <c r="BH242" t="s">
        <v>74</v>
      </c>
      <c r="BI242">
        <v>22</v>
      </c>
      <c r="BJ242" t="s">
        <v>637</v>
      </c>
      <c r="BK242" t="s">
        <v>91</v>
      </c>
      <c r="BL242" t="s">
        <v>638</v>
      </c>
      <c r="BM242" t="s">
        <v>1493</v>
      </c>
      <c r="BN242" t="s">
        <v>74</v>
      </c>
      <c r="BO242" t="s">
        <v>1557</v>
      </c>
      <c r="BP242" t="s">
        <v>74</v>
      </c>
      <c r="BQ242" t="s">
        <v>74</v>
      </c>
      <c r="BR242" t="s">
        <v>93</v>
      </c>
      <c r="BS242" t="s">
        <v>4943</v>
      </c>
      <c r="BT242" t="str">
        <f>HYPERLINK("https%3A%2F%2Fwww.webofscience.com%2Fwos%2Fwoscc%2Ffull-record%2FWOS:000352159900004","View Full Record in Web of Science")</f>
        <v>View Full Record in Web of Science</v>
      </c>
    </row>
    <row r="243" spans="1:72" x14ac:dyDescent="0.15">
      <c r="A243" t="s">
        <v>72</v>
      </c>
      <c r="B243" t="s">
        <v>4944</v>
      </c>
      <c r="C243" t="s">
        <v>74</v>
      </c>
      <c r="D243" t="s">
        <v>74</v>
      </c>
      <c r="E243" t="s">
        <v>74</v>
      </c>
      <c r="F243" t="s">
        <v>4945</v>
      </c>
      <c r="G243" t="s">
        <v>74</v>
      </c>
      <c r="H243" t="s">
        <v>74</v>
      </c>
      <c r="I243" t="s">
        <v>4946</v>
      </c>
      <c r="J243" t="s">
        <v>702</v>
      </c>
      <c r="K243" t="s">
        <v>74</v>
      </c>
      <c r="L243" t="s">
        <v>74</v>
      </c>
      <c r="M243" t="s">
        <v>78</v>
      </c>
      <c r="N243" t="s">
        <v>99</v>
      </c>
      <c r="O243" t="s">
        <v>74</v>
      </c>
      <c r="P243" t="s">
        <v>74</v>
      </c>
      <c r="Q243" t="s">
        <v>74</v>
      </c>
      <c r="R243" t="s">
        <v>74</v>
      </c>
      <c r="S243" t="s">
        <v>74</v>
      </c>
      <c r="T243" t="s">
        <v>74</v>
      </c>
      <c r="U243" t="s">
        <v>4947</v>
      </c>
      <c r="V243" t="s">
        <v>4948</v>
      </c>
      <c r="W243" t="s">
        <v>4949</v>
      </c>
      <c r="X243" t="s">
        <v>4616</v>
      </c>
      <c r="Y243" t="s">
        <v>4950</v>
      </c>
      <c r="Z243" t="s">
        <v>4951</v>
      </c>
      <c r="AA243" t="s">
        <v>4952</v>
      </c>
      <c r="AB243" t="s">
        <v>4953</v>
      </c>
      <c r="AC243" t="s">
        <v>4954</v>
      </c>
      <c r="AD243" t="s">
        <v>4292</v>
      </c>
      <c r="AE243" t="s">
        <v>4955</v>
      </c>
      <c r="AF243" t="s">
        <v>74</v>
      </c>
      <c r="AG243">
        <v>36</v>
      </c>
      <c r="AH243">
        <v>4</v>
      </c>
      <c r="AI243">
        <v>4</v>
      </c>
      <c r="AJ243">
        <v>0</v>
      </c>
      <c r="AK243">
        <v>12</v>
      </c>
      <c r="AL243" t="s">
        <v>244</v>
      </c>
      <c r="AM243" t="s">
        <v>245</v>
      </c>
      <c r="AN243" t="s">
        <v>246</v>
      </c>
      <c r="AO243" t="s">
        <v>714</v>
      </c>
      <c r="AP243" t="s">
        <v>715</v>
      </c>
      <c r="AQ243" t="s">
        <v>74</v>
      </c>
      <c r="AR243" t="s">
        <v>716</v>
      </c>
      <c r="AS243" t="s">
        <v>717</v>
      </c>
      <c r="AT243" t="s">
        <v>74</v>
      </c>
      <c r="AU243">
        <v>2015</v>
      </c>
      <c r="AV243">
        <v>11</v>
      </c>
      <c r="AW243">
        <v>3</v>
      </c>
      <c r="AX243" t="s">
        <v>74</v>
      </c>
      <c r="AY243" t="s">
        <v>74</v>
      </c>
      <c r="AZ243" t="s">
        <v>74</v>
      </c>
      <c r="BA243" t="s">
        <v>74</v>
      </c>
      <c r="BB243">
        <v>547</v>
      </c>
      <c r="BC243">
        <v>557</v>
      </c>
      <c r="BD243" t="s">
        <v>74</v>
      </c>
      <c r="BE243" t="s">
        <v>4956</v>
      </c>
      <c r="BF243" t="str">
        <f>HYPERLINK("http://dx.doi.org/10.5194/cp-11-547-2015","http://dx.doi.org/10.5194/cp-11-547-2015")</f>
        <v>http://dx.doi.org/10.5194/cp-11-547-2015</v>
      </c>
      <c r="BG243" t="s">
        <v>74</v>
      </c>
      <c r="BH243" t="s">
        <v>74</v>
      </c>
      <c r="BI243">
        <v>11</v>
      </c>
      <c r="BJ243" t="s">
        <v>637</v>
      </c>
      <c r="BK243" t="s">
        <v>91</v>
      </c>
      <c r="BL243" t="s">
        <v>638</v>
      </c>
      <c r="BM243" t="s">
        <v>1493</v>
      </c>
      <c r="BN243" t="s">
        <v>74</v>
      </c>
      <c r="BO243" t="s">
        <v>805</v>
      </c>
      <c r="BP243" t="s">
        <v>74</v>
      </c>
      <c r="BQ243" t="s">
        <v>74</v>
      </c>
      <c r="BR243" t="s">
        <v>93</v>
      </c>
      <c r="BS243" t="s">
        <v>4957</v>
      </c>
      <c r="BT243" t="str">
        <f>HYPERLINK("https%3A%2F%2Fwww.webofscience.com%2Fwos%2Fwoscc%2Ffull-record%2FWOS:000352159900012","View Full Record in Web of Science")</f>
        <v>View Full Record in Web of Science</v>
      </c>
    </row>
    <row r="244" spans="1:72" x14ac:dyDescent="0.15">
      <c r="A244" t="s">
        <v>72</v>
      </c>
      <c r="B244" t="s">
        <v>4958</v>
      </c>
      <c r="C244" t="s">
        <v>74</v>
      </c>
      <c r="D244" t="s">
        <v>74</v>
      </c>
      <c r="E244" t="s">
        <v>74</v>
      </c>
      <c r="F244" t="s">
        <v>4959</v>
      </c>
      <c r="G244" t="s">
        <v>74</v>
      </c>
      <c r="H244" t="s">
        <v>74</v>
      </c>
      <c r="I244" t="s">
        <v>4960</v>
      </c>
      <c r="J244" t="s">
        <v>702</v>
      </c>
      <c r="K244" t="s">
        <v>74</v>
      </c>
      <c r="L244" t="s">
        <v>74</v>
      </c>
      <c r="M244" t="s">
        <v>78</v>
      </c>
      <c r="N244" t="s">
        <v>99</v>
      </c>
      <c r="O244" t="s">
        <v>74</v>
      </c>
      <c r="P244" t="s">
        <v>74</v>
      </c>
      <c r="Q244" t="s">
        <v>74</v>
      </c>
      <c r="R244" t="s">
        <v>74</v>
      </c>
      <c r="S244" t="s">
        <v>74</v>
      </c>
      <c r="T244" t="s">
        <v>74</v>
      </c>
      <c r="U244" t="s">
        <v>4961</v>
      </c>
      <c r="V244" t="s">
        <v>4962</v>
      </c>
      <c r="W244" t="s">
        <v>4963</v>
      </c>
      <c r="X244" t="s">
        <v>4964</v>
      </c>
      <c r="Y244" t="s">
        <v>4965</v>
      </c>
      <c r="Z244" t="s">
        <v>4966</v>
      </c>
      <c r="AA244" t="s">
        <v>4967</v>
      </c>
      <c r="AB244" t="s">
        <v>4968</v>
      </c>
      <c r="AC244" t="s">
        <v>4969</v>
      </c>
      <c r="AD244" t="s">
        <v>4970</v>
      </c>
      <c r="AE244" t="s">
        <v>4971</v>
      </c>
      <c r="AF244" t="s">
        <v>74</v>
      </c>
      <c r="AG244">
        <v>56</v>
      </c>
      <c r="AH244">
        <v>19</v>
      </c>
      <c r="AI244">
        <v>21</v>
      </c>
      <c r="AJ244">
        <v>1</v>
      </c>
      <c r="AK244">
        <v>38</v>
      </c>
      <c r="AL244" t="s">
        <v>244</v>
      </c>
      <c r="AM244" t="s">
        <v>245</v>
      </c>
      <c r="AN244" t="s">
        <v>246</v>
      </c>
      <c r="AO244" t="s">
        <v>714</v>
      </c>
      <c r="AP244" t="s">
        <v>715</v>
      </c>
      <c r="AQ244" t="s">
        <v>74</v>
      </c>
      <c r="AR244" t="s">
        <v>716</v>
      </c>
      <c r="AS244" t="s">
        <v>717</v>
      </c>
      <c r="AT244" t="s">
        <v>74</v>
      </c>
      <c r="AU244">
        <v>2015</v>
      </c>
      <c r="AV244">
        <v>11</v>
      </c>
      <c r="AW244">
        <v>5</v>
      </c>
      <c r="AX244" t="s">
        <v>74</v>
      </c>
      <c r="AY244" t="s">
        <v>74</v>
      </c>
      <c r="AZ244" t="s">
        <v>74</v>
      </c>
      <c r="BA244" t="s">
        <v>74</v>
      </c>
      <c r="BB244">
        <v>765</v>
      </c>
      <c r="BC244">
        <v>779</v>
      </c>
      <c r="BD244" t="s">
        <v>74</v>
      </c>
      <c r="BE244" t="s">
        <v>4972</v>
      </c>
      <c r="BF244" t="str">
        <f>HYPERLINK("http://dx.doi.org/10.5194/cp-11-765-2015","http://dx.doi.org/10.5194/cp-11-765-2015")</f>
        <v>http://dx.doi.org/10.5194/cp-11-765-2015</v>
      </c>
      <c r="BG244" t="s">
        <v>74</v>
      </c>
      <c r="BH244" t="s">
        <v>74</v>
      </c>
      <c r="BI244">
        <v>15</v>
      </c>
      <c r="BJ244" t="s">
        <v>637</v>
      </c>
      <c r="BK244" t="s">
        <v>91</v>
      </c>
      <c r="BL244" t="s">
        <v>638</v>
      </c>
      <c r="BM244" t="s">
        <v>804</v>
      </c>
      <c r="BN244" t="s">
        <v>74</v>
      </c>
      <c r="BO244" t="s">
        <v>1136</v>
      </c>
      <c r="BP244" t="s">
        <v>74</v>
      </c>
      <c r="BQ244" t="s">
        <v>74</v>
      </c>
      <c r="BR244" t="s">
        <v>93</v>
      </c>
      <c r="BS244" t="s">
        <v>4973</v>
      </c>
      <c r="BT244" t="str">
        <f>HYPERLINK("https%3A%2F%2Fwww.webofscience.com%2Fwos%2Fwoscc%2Ffull-record%2FWOS:000357121100005","View Full Record in Web of Science")</f>
        <v>View Full Record in Web of Science</v>
      </c>
    </row>
    <row r="245" spans="1:72" x14ac:dyDescent="0.15">
      <c r="A245" t="s">
        <v>72</v>
      </c>
      <c r="B245" t="s">
        <v>4974</v>
      </c>
      <c r="C245" t="s">
        <v>74</v>
      </c>
      <c r="D245" t="s">
        <v>74</v>
      </c>
      <c r="E245" t="s">
        <v>74</v>
      </c>
      <c r="F245" t="s">
        <v>4975</v>
      </c>
      <c r="G245" t="s">
        <v>74</v>
      </c>
      <c r="H245" t="s">
        <v>74</v>
      </c>
      <c r="I245" t="s">
        <v>4976</v>
      </c>
      <c r="J245" t="s">
        <v>702</v>
      </c>
      <c r="K245" t="s">
        <v>74</v>
      </c>
      <c r="L245" t="s">
        <v>74</v>
      </c>
      <c r="M245" t="s">
        <v>78</v>
      </c>
      <c r="N245" t="s">
        <v>99</v>
      </c>
      <c r="O245" t="s">
        <v>74</v>
      </c>
      <c r="P245" t="s">
        <v>74</v>
      </c>
      <c r="Q245" t="s">
        <v>74</v>
      </c>
      <c r="R245" t="s">
        <v>74</v>
      </c>
      <c r="S245" t="s">
        <v>74</v>
      </c>
      <c r="T245" t="s">
        <v>74</v>
      </c>
      <c r="U245" t="s">
        <v>4977</v>
      </c>
      <c r="V245" t="s">
        <v>4978</v>
      </c>
      <c r="W245" t="s">
        <v>4979</v>
      </c>
      <c r="X245" t="s">
        <v>4980</v>
      </c>
      <c r="Y245" t="s">
        <v>4981</v>
      </c>
      <c r="Z245" t="s">
        <v>4982</v>
      </c>
      <c r="AA245" t="s">
        <v>4983</v>
      </c>
      <c r="AB245" t="s">
        <v>4984</v>
      </c>
      <c r="AC245" t="s">
        <v>4985</v>
      </c>
      <c r="AD245" t="s">
        <v>4986</v>
      </c>
      <c r="AE245" t="s">
        <v>4987</v>
      </c>
      <c r="AF245" t="s">
        <v>74</v>
      </c>
      <c r="AG245">
        <v>54</v>
      </c>
      <c r="AH245">
        <v>9</v>
      </c>
      <c r="AI245">
        <v>10</v>
      </c>
      <c r="AJ245">
        <v>1</v>
      </c>
      <c r="AK245">
        <v>35</v>
      </c>
      <c r="AL245" t="s">
        <v>244</v>
      </c>
      <c r="AM245" t="s">
        <v>245</v>
      </c>
      <c r="AN245" t="s">
        <v>246</v>
      </c>
      <c r="AO245" t="s">
        <v>714</v>
      </c>
      <c r="AP245" t="s">
        <v>715</v>
      </c>
      <c r="AQ245" t="s">
        <v>74</v>
      </c>
      <c r="AR245" t="s">
        <v>716</v>
      </c>
      <c r="AS245" t="s">
        <v>717</v>
      </c>
      <c r="AT245" t="s">
        <v>74</v>
      </c>
      <c r="AU245">
        <v>2015</v>
      </c>
      <c r="AV245">
        <v>11</v>
      </c>
      <c r="AW245">
        <v>11</v>
      </c>
      <c r="AX245" t="s">
        <v>74</v>
      </c>
      <c r="AY245" t="s">
        <v>74</v>
      </c>
      <c r="AZ245" t="s">
        <v>74</v>
      </c>
      <c r="BA245" t="s">
        <v>74</v>
      </c>
      <c r="BB245">
        <v>1575</v>
      </c>
      <c r="BC245">
        <v>1586</v>
      </c>
      <c r="BD245" t="s">
        <v>74</v>
      </c>
      <c r="BE245" t="s">
        <v>4988</v>
      </c>
      <c r="BF245" t="str">
        <f>HYPERLINK("http://dx.doi.org/10.5194/cp-11-1575-2015","http://dx.doi.org/10.5194/cp-11-1575-2015")</f>
        <v>http://dx.doi.org/10.5194/cp-11-1575-2015</v>
      </c>
      <c r="BG245" t="s">
        <v>74</v>
      </c>
      <c r="BH245" t="s">
        <v>74</v>
      </c>
      <c r="BI245">
        <v>12</v>
      </c>
      <c r="BJ245" t="s">
        <v>637</v>
      </c>
      <c r="BK245" t="s">
        <v>91</v>
      </c>
      <c r="BL245" t="s">
        <v>638</v>
      </c>
      <c r="BM245" t="s">
        <v>4989</v>
      </c>
      <c r="BN245" t="s">
        <v>74</v>
      </c>
      <c r="BO245" t="s">
        <v>255</v>
      </c>
      <c r="BP245" t="s">
        <v>74</v>
      </c>
      <c r="BQ245" t="s">
        <v>74</v>
      </c>
      <c r="BR245" t="s">
        <v>93</v>
      </c>
      <c r="BS245" t="s">
        <v>4990</v>
      </c>
      <c r="BT245" t="str">
        <f>HYPERLINK("https%3A%2F%2Fwww.webofscience.com%2Fwos%2Fwoscc%2Ffull-record%2FWOS:000365979200006","View Full Record in Web of Science")</f>
        <v>View Full Record in Web of Science</v>
      </c>
    </row>
    <row r="246" spans="1:72" x14ac:dyDescent="0.15">
      <c r="A246" t="s">
        <v>72</v>
      </c>
      <c r="B246" t="s">
        <v>4991</v>
      </c>
      <c r="C246" t="s">
        <v>74</v>
      </c>
      <c r="D246" t="s">
        <v>74</v>
      </c>
      <c r="E246" t="s">
        <v>74</v>
      </c>
      <c r="F246" t="s">
        <v>4992</v>
      </c>
      <c r="G246" t="s">
        <v>74</v>
      </c>
      <c r="H246" t="s">
        <v>74</v>
      </c>
      <c r="I246" t="s">
        <v>4993</v>
      </c>
      <c r="J246" t="s">
        <v>702</v>
      </c>
      <c r="K246" t="s">
        <v>74</v>
      </c>
      <c r="L246" t="s">
        <v>74</v>
      </c>
      <c r="M246" t="s">
        <v>78</v>
      </c>
      <c r="N246" t="s">
        <v>99</v>
      </c>
      <c r="O246" t="s">
        <v>74</v>
      </c>
      <c r="P246" t="s">
        <v>74</v>
      </c>
      <c r="Q246" t="s">
        <v>74</v>
      </c>
      <c r="R246" t="s">
        <v>74</v>
      </c>
      <c r="S246" t="s">
        <v>74</v>
      </c>
      <c r="T246" t="s">
        <v>74</v>
      </c>
      <c r="U246" t="s">
        <v>4994</v>
      </c>
      <c r="V246" t="s">
        <v>4995</v>
      </c>
      <c r="W246" t="s">
        <v>4996</v>
      </c>
      <c r="X246" t="s">
        <v>4997</v>
      </c>
      <c r="Y246" t="s">
        <v>4998</v>
      </c>
      <c r="Z246" t="s">
        <v>4999</v>
      </c>
      <c r="AA246" t="s">
        <v>5000</v>
      </c>
      <c r="AB246" t="s">
        <v>5001</v>
      </c>
      <c r="AC246" t="s">
        <v>5002</v>
      </c>
      <c r="AD246" t="s">
        <v>5003</v>
      </c>
      <c r="AE246" t="s">
        <v>5004</v>
      </c>
      <c r="AF246" t="s">
        <v>74</v>
      </c>
      <c r="AG246">
        <v>87</v>
      </c>
      <c r="AH246">
        <v>14</v>
      </c>
      <c r="AI246">
        <v>16</v>
      </c>
      <c r="AJ246">
        <v>0</v>
      </c>
      <c r="AK246">
        <v>8</v>
      </c>
      <c r="AL246" t="s">
        <v>244</v>
      </c>
      <c r="AM246" t="s">
        <v>245</v>
      </c>
      <c r="AN246" t="s">
        <v>246</v>
      </c>
      <c r="AO246" t="s">
        <v>714</v>
      </c>
      <c r="AP246" t="s">
        <v>715</v>
      </c>
      <c r="AQ246" t="s">
        <v>74</v>
      </c>
      <c r="AR246" t="s">
        <v>716</v>
      </c>
      <c r="AS246" t="s">
        <v>717</v>
      </c>
      <c r="AT246" t="s">
        <v>74</v>
      </c>
      <c r="AU246">
        <v>2015</v>
      </c>
      <c r="AV246">
        <v>11</v>
      </c>
      <c r="AW246">
        <v>12</v>
      </c>
      <c r="AX246" t="s">
        <v>74</v>
      </c>
      <c r="AY246" t="s">
        <v>74</v>
      </c>
      <c r="AZ246" t="s">
        <v>74</v>
      </c>
      <c r="BA246" t="s">
        <v>74</v>
      </c>
      <c r="BB246">
        <v>1599</v>
      </c>
      <c r="BC246">
        <v>1620</v>
      </c>
      <c r="BD246" t="s">
        <v>74</v>
      </c>
      <c r="BE246" t="s">
        <v>5005</v>
      </c>
      <c r="BF246" t="str">
        <f>HYPERLINK("http://dx.doi.org/10.5194/cp-11-1599-2015","http://dx.doi.org/10.5194/cp-11-1599-2015")</f>
        <v>http://dx.doi.org/10.5194/cp-11-1599-2015</v>
      </c>
      <c r="BG246" t="s">
        <v>74</v>
      </c>
      <c r="BH246" t="s">
        <v>74</v>
      </c>
      <c r="BI246">
        <v>22</v>
      </c>
      <c r="BJ246" t="s">
        <v>637</v>
      </c>
      <c r="BK246" t="s">
        <v>91</v>
      </c>
      <c r="BL246" t="s">
        <v>638</v>
      </c>
      <c r="BM246" t="s">
        <v>5006</v>
      </c>
      <c r="BN246" t="s">
        <v>74</v>
      </c>
      <c r="BO246" t="s">
        <v>1557</v>
      </c>
      <c r="BP246" t="s">
        <v>74</v>
      </c>
      <c r="BQ246" t="s">
        <v>74</v>
      </c>
      <c r="BR246" t="s">
        <v>93</v>
      </c>
      <c r="BS246" t="s">
        <v>5007</v>
      </c>
      <c r="BT246" t="str">
        <f>HYPERLINK("https%3A%2F%2Fwww.webofscience.com%2Fwos%2Fwoscc%2Ffull-record%2FWOS:000367351500002","View Full Record in Web of Science")</f>
        <v>View Full Record in Web of Science</v>
      </c>
    </row>
    <row r="247" spans="1:72" x14ac:dyDescent="0.15">
      <c r="A247" t="s">
        <v>72</v>
      </c>
      <c r="B247" t="s">
        <v>5008</v>
      </c>
      <c r="C247" t="s">
        <v>74</v>
      </c>
      <c r="D247" t="s">
        <v>74</v>
      </c>
      <c r="E247" t="s">
        <v>74</v>
      </c>
      <c r="F247" t="s">
        <v>5009</v>
      </c>
      <c r="G247" t="s">
        <v>74</v>
      </c>
      <c r="H247" t="s">
        <v>74</v>
      </c>
      <c r="I247" t="s">
        <v>5010</v>
      </c>
      <c r="J247" t="s">
        <v>5011</v>
      </c>
      <c r="K247" t="s">
        <v>74</v>
      </c>
      <c r="L247" t="s">
        <v>74</v>
      </c>
      <c r="M247" t="s">
        <v>78</v>
      </c>
      <c r="N247" t="s">
        <v>99</v>
      </c>
      <c r="O247" t="s">
        <v>74</v>
      </c>
      <c r="P247" t="s">
        <v>74</v>
      </c>
      <c r="Q247" t="s">
        <v>74</v>
      </c>
      <c r="R247" t="s">
        <v>74</v>
      </c>
      <c r="S247" t="s">
        <v>74</v>
      </c>
      <c r="T247" t="s">
        <v>5012</v>
      </c>
      <c r="U247" t="s">
        <v>5013</v>
      </c>
      <c r="V247" t="s">
        <v>5014</v>
      </c>
      <c r="W247" t="s">
        <v>5015</v>
      </c>
      <c r="X247" t="s">
        <v>5016</v>
      </c>
      <c r="Y247" t="s">
        <v>5017</v>
      </c>
      <c r="Z247" t="s">
        <v>5018</v>
      </c>
      <c r="AA247" t="s">
        <v>5019</v>
      </c>
      <c r="AB247" t="s">
        <v>5020</v>
      </c>
      <c r="AC247" t="s">
        <v>5021</v>
      </c>
      <c r="AD247" t="s">
        <v>5022</v>
      </c>
      <c r="AE247" t="s">
        <v>5023</v>
      </c>
      <c r="AF247" t="s">
        <v>74</v>
      </c>
      <c r="AG247">
        <v>50</v>
      </c>
      <c r="AH247">
        <v>87</v>
      </c>
      <c r="AI247">
        <v>91</v>
      </c>
      <c r="AJ247">
        <v>5</v>
      </c>
      <c r="AK247">
        <v>66</v>
      </c>
      <c r="AL247" t="s">
        <v>1219</v>
      </c>
      <c r="AM247" t="s">
        <v>1220</v>
      </c>
      <c r="AN247" t="s">
        <v>1221</v>
      </c>
      <c r="AO247" t="s">
        <v>5024</v>
      </c>
      <c r="AP247" t="s">
        <v>5025</v>
      </c>
      <c r="AQ247" t="s">
        <v>74</v>
      </c>
      <c r="AR247" t="s">
        <v>5026</v>
      </c>
      <c r="AS247" t="s">
        <v>5027</v>
      </c>
      <c r="AT247" t="s">
        <v>74</v>
      </c>
      <c r="AU247">
        <v>2015</v>
      </c>
      <c r="AV247">
        <v>64</v>
      </c>
      <c r="AW247">
        <v>1</v>
      </c>
      <c r="AX247" t="s">
        <v>74</v>
      </c>
      <c r="AY247" t="s">
        <v>74</v>
      </c>
      <c r="AZ247" t="s">
        <v>74</v>
      </c>
      <c r="BA247" t="s">
        <v>74</v>
      </c>
      <c r="BB247">
        <v>15</v>
      </c>
      <c r="BC247">
        <v>23</v>
      </c>
      <c r="BD247" t="s">
        <v>74</v>
      </c>
      <c r="BE247" t="s">
        <v>5028</v>
      </c>
      <c r="BF247" t="str">
        <f>HYPERLINK("http://dx.doi.org/10.3354/cr01309","http://dx.doi.org/10.3354/cr01309")</f>
        <v>http://dx.doi.org/10.3354/cr01309</v>
      </c>
      <c r="BG247" t="s">
        <v>74</v>
      </c>
      <c r="BH247" t="s">
        <v>74</v>
      </c>
      <c r="BI247">
        <v>9</v>
      </c>
      <c r="BJ247" t="s">
        <v>497</v>
      </c>
      <c r="BK247" t="s">
        <v>91</v>
      </c>
      <c r="BL247" t="s">
        <v>498</v>
      </c>
      <c r="BM247" t="s">
        <v>5029</v>
      </c>
      <c r="BN247" t="s">
        <v>74</v>
      </c>
      <c r="BO247" t="s">
        <v>5030</v>
      </c>
      <c r="BP247" t="s">
        <v>74</v>
      </c>
      <c r="BQ247" t="s">
        <v>74</v>
      </c>
      <c r="BR247" t="s">
        <v>93</v>
      </c>
      <c r="BS247" t="s">
        <v>5031</v>
      </c>
      <c r="BT247" t="str">
        <f>HYPERLINK("https%3A%2F%2Fwww.webofscience.com%2Fwos%2Fwoscc%2Ffull-record%2FWOS:000356616300003","View Full Record in Web of Science")</f>
        <v>View Full Record in Web of Science</v>
      </c>
    </row>
    <row r="248" spans="1:72" x14ac:dyDescent="0.15">
      <c r="A248" t="s">
        <v>72</v>
      </c>
      <c r="B248" t="s">
        <v>5032</v>
      </c>
      <c r="C248" t="s">
        <v>74</v>
      </c>
      <c r="D248" t="s">
        <v>74</v>
      </c>
      <c r="E248" t="s">
        <v>74</v>
      </c>
      <c r="F248" t="s">
        <v>5033</v>
      </c>
      <c r="G248" t="s">
        <v>74</v>
      </c>
      <c r="H248" t="s">
        <v>74</v>
      </c>
      <c r="I248" t="s">
        <v>5034</v>
      </c>
      <c r="J248" t="s">
        <v>5035</v>
      </c>
      <c r="K248" t="s">
        <v>74</v>
      </c>
      <c r="L248" t="s">
        <v>74</v>
      </c>
      <c r="M248" t="s">
        <v>78</v>
      </c>
      <c r="N248" t="s">
        <v>99</v>
      </c>
      <c r="O248" t="s">
        <v>74</v>
      </c>
      <c r="P248" t="s">
        <v>74</v>
      </c>
      <c r="Q248" t="s">
        <v>74</v>
      </c>
      <c r="R248" t="s">
        <v>74</v>
      </c>
      <c r="S248" t="s">
        <v>74</v>
      </c>
      <c r="T248" t="s">
        <v>5036</v>
      </c>
      <c r="U248" t="s">
        <v>5037</v>
      </c>
      <c r="V248" t="s">
        <v>5038</v>
      </c>
      <c r="W248" t="s">
        <v>5039</v>
      </c>
      <c r="X248" t="s">
        <v>5040</v>
      </c>
      <c r="Y248" t="s">
        <v>5041</v>
      </c>
      <c r="Z248" t="s">
        <v>5042</v>
      </c>
      <c r="AA248" t="s">
        <v>5043</v>
      </c>
      <c r="AB248" t="s">
        <v>5044</v>
      </c>
      <c r="AC248" t="s">
        <v>5045</v>
      </c>
      <c r="AD248" t="s">
        <v>5045</v>
      </c>
      <c r="AE248" t="s">
        <v>5046</v>
      </c>
      <c r="AF248" t="s">
        <v>74</v>
      </c>
      <c r="AG248">
        <v>101</v>
      </c>
      <c r="AH248">
        <v>7</v>
      </c>
      <c r="AI248">
        <v>8</v>
      </c>
      <c r="AJ248">
        <v>0</v>
      </c>
      <c r="AK248">
        <v>7</v>
      </c>
      <c r="AL248" t="s">
        <v>2640</v>
      </c>
      <c r="AM248" t="s">
        <v>1176</v>
      </c>
      <c r="AN248" t="s">
        <v>2641</v>
      </c>
      <c r="AO248" t="s">
        <v>5047</v>
      </c>
      <c r="AP248" t="s">
        <v>74</v>
      </c>
      <c r="AQ248" t="s">
        <v>74</v>
      </c>
      <c r="AR248" t="s">
        <v>5048</v>
      </c>
      <c r="AS248" t="s">
        <v>5049</v>
      </c>
      <c r="AT248" t="s">
        <v>74</v>
      </c>
      <c r="AU248">
        <v>2015</v>
      </c>
      <c r="AV248">
        <v>10</v>
      </c>
      <c r="AW248" t="s">
        <v>74</v>
      </c>
      <c r="AX248" t="s">
        <v>74</v>
      </c>
      <c r="AY248" t="s">
        <v>74</v>
      </c>
      <c r="AZ248" t="s">
        <v>74</v>
      </c>
      <c r="BA248" t="s">
        <v>74</v>
      </c>
      <c r="BB248">
        <v>77</v>
      </c>
      <c r="BC248">
        <v>94</v>
      </c>
      <c r="BD248" t="s">
        <v>74</v>
      </c>
      <c r="BE248" t="s">
        <v>5050</v>
      </c>
      <c r="BF248" t="str">
        <f>HYPERLINK("http://dx.doi.org/10.1016/j.crm.2015.06.004","http://dx.doi.org/10.1016/j.crm.2015.06.004")</f>
        <v>http://dx.doi.org/10.1016/j.crm.2015.06.004</v>
      </c>
      <c r="BG248" t="s">
        <v>74</v>
      </c>
      <c r="BH248" t="s">
        <v>74</v>
      </c>
      <c r="BI248">
        <v>18</v>
      </c>
      <c r="BJ248" t="s">
        <v>5051</v>
      </c>
      <c r="BK248" t="s">
        <v>202</v>
      </c>
      <c r="BL248" t="s">
        <v>498</v>
      </c>
      <c r="BM248" t="s">
        <v>5052</v>
      </c>
      <c r="BN248" t="s">
        <v>74</v>
      </c>
      <c r="BO248" t="s">
        <v>549</v>
      </c>
      <c r="BP248" t="s">
        <v>74</v>
      </c>
      <c r="BQ248" t="s">
        <v>74</v>
      </c>
      <c r="BR248" t="s">
        <v>93</v>
      </c>
      <c r="BS248" t="s">
        <v>5053</v>
      </c>
      <c r="BT248" t="str">
        <f>HYPERLINK("https%3A%2F%2Fwww.webofscience.com%2Fwos%2Fwoscc%2Ffull-record%2FWOS:000216866900008","View Full Record in Web of Science")</f>
        <v>View Full Record in Web of Science</v>
      </c>
    </row>
    <row r="249" spans="1:72" x14ac:dyDescent="0.15">
      <c r="A249" t="s">
        <v>72</v>
      </c>
      <c r="B249" t="s">
        <v>5054</v>
      </c>
      <c r="C249" t="s">
        <v>74</v>
      </c>
      <c r="D249" t="s">
        <v>74</v>
      </c>
      <c r="E249" t="s">
        <v>74</v>
      </c>
      <c r="F249" t="s">
        <v>5055</v>
      </c>
      <c r="G249" t="s">
        <v>74</v>
      </c>
      <c r="H249" t="s">
        <v>74</v>
      </c>
      <c r="I249" t="s">
        <v>5056</v>
      </c>
      <c r="J249" t="s">
        <v>5057</v>
      </c>
      <c r="K249" t="s">
        <v>74</v>
      </c>
      <c r="L249" t="s">
        <v>74</v>
      </c>
      <c r="M249" t="s">
        <v>78</v>
      </c>
      <c r="N249" t="s">
        <v>99</v>
      </c>
      <c r="O249" t="s">
        <v>74</v>
      </c>
      <c r="P249" t="s">
        <v>74</v>
      </c>
      <c r="Q249" t="s">
        <v>74</v>
      </c>
      <c r="R249" t="s">
        <v>74</v>
      </c>
      <c r="S249" t="s">
        <v>74</v>
      </c>
      <c r="T249" t="s">
        <v>5058</v>
      </c>
      <c r="U249" t="s">
        <v>74</v>
      </c>
      <c r="V249" t="s">
        <v>5059</v>
      </c>
      <c r="W249" t="s">
        <v>5060</v>
      </c>
      <c r="X249" t="s">
        <v>5061</v>
      </c>
      <c r="Y249" t="s">
        <v>5062</v>
      </c>
      <c r="Z249" t="s">
        <v>5063</v>
      </c>
      <c r="AA249" t="s">
        <v>74</v>
      </c>
      <c r="AB249" t="s">
        <v>5064</v>
      </c>
      <c r="AC249" t="s">
        <v>5065</v>
      </c>
      <c r="AD249" t="s">
        <v>5066</v>
      </c>
      <c r="AE249" t="s">
        <v>5067</v>
      </c>
      <c r="AF249" t="s">
        <v>74</v>
      </c>
      <c r="AG249">
        <v>25</v>
      </c>
      <c r="AH249">
        <v>19</v>
      </c>
      <c r="AI249">
        <v>23</v>
      </c>
      <c r="AJ249">
        <v>0</v>
      </c>
      <c r="AK249">
        <v>45</v>
      </c>
      <c r="AL249" t="s">
        <v>1175</v>
      </c>
      <c r="AM249" t="s">
        <v>1176</v>
      </c>
      <c r="AN249" t="s">
        <v>2938</v>
      </c>
      <c r="AO249" t="s">
        <v>5068</v>
      </c>
      <c r="AP249" t="s">
        <v>5069</v>
      </c>
      <c r="AQ249" t="s">
        <v>74</v>
      </c>
      <c r="AR249" t="s">
        <v>5070</v>
      </c>
      <c r="AS249" t="s">
        <v>5071</v>
      </c>
      <c r="AT249" t="s">
        <v>200</v>
      </c>
      <c r="AU249">
        <v>2015</v>
      </c>
      <c r="AV249">
        <v>109</v>
      </c>
      <c r="AW249" t="s">
        <v>74</v>
      </c>
      <c r="AX249" t="s">
        <v>74</v>
      </c>
      <c r="AY249" t="s">
        <v>74</v>
      </c>
      <c r="AZ249" t="s">
        <v>74</v>
      </c>
      <c r="BA249" t="s">
        <v>74</v>
      </c>
      <c r="BB249">
        <v>9</v>
      </c>
      <c r="BC249">
        <v>17</v>
      </c>
      <c r="BD249" t="s">
        <v>74</v>
      </c>
      <c r="BE249" t="s">
        <v>5072</v>
      </c>
      <c r="BF249" t="str">
        <f>HYPERLINK("http://dx.doi.org/10.1016/j.coldregions.2014.08.004","http://dx.doi.org/10.1016/j.coldregions.2014.08.004")</f>
        <v>http://dx.doi.org/10.1016/j.coldregions.2014.08.004</v>
      </c>
      <c r="BG249" t="s">
        <v>74</v>
      </c>
      <c r="BH249" t="s">
        <v>74</v>
      </c>
      <c r="BI249">
        <v>9</v>
      </c>
      <c r="BJ249" t="s">
        <v>5073</v>
      </c>
      <c r="BK249" t="s">
        <v>91</v>
      </c>
      <c r="BL249" t="s">
        <v>5074</v>
      </c>
      <c r="BM249" t="s">
        <v>5075</v>
      </c>
      <c r="BN249" t="s">
        <v>74</v>
      </c>
      <c r="BO249" t="s">
        <v>5076</v>
      </c>
      <c r="BP249" t="s">
        <v>74</v>
      </c>
      <c r="BQ249" t="s">
        <v>74</v>
      </c>
      <c r="BR249" t="s">
        <v>93</v>
      </c>
      <c r="BS249" t="s">
        <v>5077</v>
      </c>
      <c r="BT249" t="str">
        <f>HYPERLINK("https%3A%2F%2Fwww.webofscience.com%2Fwos%2Fwoscc%2Ffull-record%2FWOS:000345647900002","View Full Record in Web of Science")</f>
        <v>View Full Record in Web of Science</v>
      </c>
    </row>
    <row r="250" spans="1:72" x14ac:dyDescent="0.15">
      <c r="A250" t="s">
        <v>72</v>
      </c>
      <c r="B250" t="s">
        <v>5078</v>
      </c>
      <c r="C250" t="s">
        <v>74</v>
      </c>
      <c r="D250" t="s">
        <v>74</v>
      </c>
      <c r="E250" t="s">
        <v>74</v>
      </c>
      <c r="F250" t="s">
        <v>5079</v>
      </c>
      <c r="G250" t="s">
        <v>74</v>
      </c>
      <c r="H250" t="s">
        <v>74</v>
      </c>
      <c r="I250" t="s">
        <v>5080</v>
      </c>
      <c r="J250" t="s">
        <v>5081</v>
      </c>
      <c r="K250" t="s">
        <v>74</v>
      </c>
      <c r="L250" t="s">
        <v>74</v>
      </c>
      <c r="M250" t="s">
        <v>78</v>
      </c>
      <c r="N250" t="s">
        <v>99</v>
      </c>
      <c r="O250" t="s">
        <v>74</v>
      </c>
      <c r="P250" t="s">
        <v>74</v>
      </c>
      <c r="Q250" t="s">
        <v>74</v>
      </c>
      <c r="R250" t="s">
        <v>74</v>
      </c>
      <c r="S250" t="s">
        <v>74</v>
      </c>
      <c r="T250" t="s">
        <v>74</v>
      </c>
      <c r="U250" t="s">
        <v>74</v>
      </c>
      <c r="V250" t="s">
        <v>5082</v>
      </c>
      <c r="W250" t="s">
        <v>5083</v>
      </c>
      <c r="X250" t="s">
        <v>5084</v>
      </c>
      <c r="Y250" t="s">
        <v>5085</v>
      </c>
      <c r="Z250" t="s">
        <v>74</v>
      </c>
      <c r="AA250" t="s">
        <v>74</v>
      </c>
      <c r="AB250" t="s">
        <v>74</v>
      </c>
      <c r="AC250" t="s">
        <v>74</v>
      </c>
      <c r="AD250" t="s">
        <v>74</v>
      </c>
      <c r="AE250" t="s">
        <v>74</v>
      </c>
      <c r="AF250" t="s">
        <v>74</v>
      </c>
      <c r="AG250">
        <v>13</v>
      </c>
      <c r="AH250">
        <v>0</v>
      </c>
      <c r="AI250">
        <v>1</v>
      </c>
      <c r="AJ250">
        <v>0</v>
      </c>
      <c r="AK250">
        <v>3</v>
      </c>
      <c r="AL250" t="s">
        <v>5086</v>
      </c>
      <c r="AM250" t="s">
        <v>5087</v>
      </c>
      <c r="AN250" t="s">
        <v>5088</v>
      </c>
      <c r="AO250" t="s">
        <v>5089</v>
      </c>
      <c r="AP250" t="s">
        <v>74</v>
      </c>
      <c r="AQ250" t="s">
        <v>74</v>
      </c>
      <c r="AR250" t="s">
        <v>5090</v>
      </c>
      <c r="AS250" t="s">
        <v>5091</v>
      </c>
      <c r="AT250" t="s">
        <v>74</v>
      </c>
      <c r="AU250">
        <v>2015</v>
      </c>
      <c r="AV250">
        <v>48</v>
      </c>
      <c r="AW250">
        <v>1</v>
      </c>
      <c r="AX250" t="s">
        <v>74</v>
      </c>
      <c r="AY250" t="s">
        <v>74</v>
      </c>
      <c r="AZ250" t="s">
        <v>74</v>
      </c>
      <c r="BA250" t="s">
        <v>74</v>
      </c>
      <c r="BB250">
        <v>59</v>
      </c>
      <c r="BC250">
        <v>88</v>
      </c>
      <c r="BD250" t="s">
        <v>74</v>
      </c>
      <c r="BE250" t="s">
        <v>74</v>
      </c>
      <c r="BF250" t="s">
        <v>74</v>
      </c>
      <c r="BG250" t="s">
        <v>74</v>
      </c>
      <c r="BH250" t="s">
        <v>74</v>
      </c>
      <c r="BI250">
        <v>30</v>
      </c>
      <c r="BJ250" t="s">
        <v>890</v>
      </c>
      <c r="BK250" t="s">
        <v>202</v>
      </c>
      <c r="BL250" t="s">
        <v>892</v>
      </c>
      <c r="BM250" t="s">
        <v>5092</v>
      </c>
      <c r="BN250" t="s">
        <v>74</v>
      </c>
      <c r="BO250" t="s">
        <v>74</v>
      </c>
      <c r="BP250" t="s">
        <v>74</v>
      </c>
      <c r="BQ250" t="s">
        <v>74</v>
      </c>
      <c r="BR250" t="s">
        <v>93</v>
      </c>
      <c r="BS250" t="s">
        <v>5093</v>
      </c>
      <c r="BT250" t="str">
        <f>HYPERLINK("https%3A%2F%2Fwww.webofscience.com%2Fwos%2Fwoscc%2Ffull-record%2FWOS:000217387500003","View Full Record in Web of Science")</f>
        <v>View Full Record in Web of Science</v>
      </c>
    </row>
    <row r="251" spans="1:72" x14ac:dyDescent="0.15">
      <c r="A251" t="s">
        <v>72</v>
      </c>
      <c r="B251" t="s">
        <v>5094</v>
      </c>
      <c r="C251" t="s">
        <v>74</v>
      </c>
      <c r="D251" t="s">
        <v>74</v>
      </c>
      <c r="E251" t="s">
        <v>74</v>
      </c>
      <c r="F251" t="s">
        <v>5095</v>
      </c>
      <c r="G251" t="s">
        <v>74</v>
      </c>
      <c r="H251" t="s">
        <v>74</v>
      </c>
      <c r="I251" t="s">
        <v>5096</v>
      </c>
      <c r="J251" t="s">
        <v>5097</v>
      </c>
      <c r="K251" t="s">
        <v>74</v>
      </c>
      <c r="L251" t="s">
        <v>74</v>
      </c>
      <c r="M251" t="s">
        <v>78</v>
      </c>
      <c r="N251" t="s">
        <v>99</v>
      </c>
      <c r="O251" t="s">
        <v>74</v>
      </c>
      <c r="P251" t="s">
        <v>74</v>
      </c>
      <c r="Q251" t="s">
        <v>74</v>
      </c>
      <c r="R251" t="s">
        <v>74</v>
      </c>
      <c r="S251" t="s">
        <v>74</v>
      </c>
      <c r="T251" t="s">
        <v>5098</v>
      </c>
      <c r="U251" t="s">
        <v>5099</v>
      </c>
      <c r="V251" t="s">
        <v>5100</v>
      </c>
      <c r="W251" t="s">
        <v>5101</v>
      </c>
      <c r="X251" t="s">
        <v>5102</v>
      </c>
      <c r="Y251" t="s">
        <v>5103</v>
      </c>
      <c r="Z251" t="s">
        <v>5104</v>
      </c>
      <c r="AA251" t="s">
        <v>5105</v>
      </c>
      <c r="AB251" t="s">
        <v>5106</v>
      </c>
      <c r="AC251" t="s">
        <v>5107</v>
      </c>
      <c r="AD251" t="s">
        <v>5107</v>
      </c>
      <c r="AE251" t="s">
        <v>5108</v>
      </c>
      <c r="AF251" t="s">
        <v>74</v>
      </c>
      <c r="AG251">
        <v>65</v>
      </c>
      <c r="AH251">
        <v>9</v>
      </c>
      <c r="AI251">
        <v>9</v>
      </c>
      <c r="AJ251">
        <v>0</v>
      </c>
      <c r="AK251">
        <v>23</v>
      </c>
      <c r="AL251" t="s">
        <v>656</v>
      </c>
      <c r="AM251" t="s">
        <v>515</v>
      </c>
      <c r="AN251" t="s">
        <v>657</v>
      </c>
      <c r="AO251" t="s">
        <v>5109</v>
      </c>
      <c r="AP251" t="s">
        <v>5110</v>
      </c>
      <c r="AQ251" t="s">
        <v>74</v>
      </c>
      <c r="AR251" t="s">
        <v>5111</v>
      </c>
      <c r="AS251" t="s">
        <v>5112</v>
      </c>
      <c r="AT251" t="s">
        <v>74</v>
      </c>
      <c r="AU251">
        <v>2015</v>
      </c>
      <c r="AV251">
        <v>9</v>
      </c>
      <c r="AW251">
        <v>1</v>
      </c>
      <c r="AX251" t="s">
        <v>74</v>
      </c>
      <c r="AY251" t="s">
        <v>74</v>
      </c>
      <c r="AZ251" t="s">
        <v>74</v>
      </c>
      <c r="BA251" t="s">
        <v>74</v>
      </c>
      <c r="BB251">
        <v>1</v>
      </c>
      <c r="BC251">
        <v>15</v>
      </c>
      <c r="BD251" t="s">
        <v>74</v>
      </c>
      <c r="BE251" t="s">
        <v>5113</v>
      </c>
      <c r="BF251" t="str">
        <f>HYPERLINK("http://dx.doi.org/10.3897/CompCytogen.v9i1.8731","http://dx.doi.org/10.3897/CompCytogen.v9i1.8731")</f>
        <v>http://dx.doi.org/10.3897/CompCytogen.v9i1.8731</v>
      </c>
      <c r="BG251" t="s">
        <v>74</v>
      </c>
      <c r="BH251" t="s">
        <v>74</v>
      </c>
      <c r="BI251">
        <v>15</v>
      </c>
      <c r="BJ251" t="s">
        <v>5114</v>
      </c>
      <c r="BK251" t="s">
        <v>91</v>
      </c>
      <c r="BL251" t="s">
        <v>5114</v>
      </c>
      <c r="BM251" t="s">
        <v>5115</v>
      </c>
      <c r="BN251">
        <v>25893071</v>
      </c>
      <c r="BO251" t="s">
        <v>1539</v>
      </c>
      <c r="BP251" t="s">
        <v>74</v>
      </c>
      <c r="BQ251" t="s">
        <v>74</v>
      </c>
      <c r="BR251" t="s">
        <v>93</v>
      </c>
      <c r="BS251" t="s">
        <v>5116</v>
      </c>
      <c r="BT251" t="str">
        <f>HYPERLINK("https%3A%2F%2Fwww.webofscience.com%2Fwos%2Fwoscc%2Ffull-record%2FWOS:000350400200001","View Full Record in Web of Science")</f>
        <v>View Full Record in Web of Science</v>
      </c>
    </row>
    <row r="252" spans="1:72" x14ac:dyDescent="0.15">
      <c r="A252" t="s">
        <v>840</v>
      </c>
      <c r="B252" t="s">
        <v>5117</v>
      </c>
      <c r="C252" t="s">
        <v>74</v>
      </c>
      <c r="D252" t="s">
        <v>5118</v>
      </c>
      <c r="E252" t="s">
        <v>74</v>
      </c>
      <c r="F252" t="s">
        <v>5119</v>
      </c>
      <c r="G252" t="s">
        <v>74</v>
      </c>
      <c r="H252" t="s">
        <v>74</v>
      </c>
      <c r="I252" t="s">
        <v>5120</v>
      </c>
      <c r="J252" t="s">
        <v>5121</v>
      </c>
      <c r="K252" t="s">
        <v>917</v>
      </c>
      <c r="L252" t="s">
        <v>74</v>
      </c>
      <c r="M252" t="s">
        <v>78</v>
      </c>
      <c r="N252" t="s">
        <v>918</v>
      </c>
      <c r="O252" t="s">
        <v>74</v>
      </c>
      <c r="P252" t="s">
        <v>74</v>
      </c>
      <c r="Q252" t="s">
        <v>74</v>
      </c>
      <c r="R252" t="s">
        <v>74</v>
      </c>
      <c r="S252" t="s">
        <v>74</v>
      </c>
      <c r="T252" t="s">
        <v>74</v>
      </c>
      <c r="U252" t="s">
        <v>5122</v>
      </c>
      <c r="V252" t="s">
        <v>5123</v>
      </c>
      <c r="W252" t="s">
        <v>5124</v>
      </c>
      <c r="X252" t="s">
        <v>5125</v>
      </c>
      <c r="Y252" t="s">
        <v>5126</v>
      </c>
      <c r="Z252" t="s">
        <v>5127</v>
      </c>
      <c r="AA252" t="s">
        <v>5128</v>
      </c>
      <c r="AB252" t="s">
        <v>5129</v>
      </c>
      <c r="AC252" t="s">
        <v>74</v>
      </c>
      <c r="AD252" t="s">
        <v>74</v>
      </c>
      <c r="AE252" t="s">
        <v>74</v>
      </c>
      <c r="AF252" t="s">
        <v>74</v>
      </c>
      <c r="AG252">
        <v>87</v>
      </c>
      <c r="AH252">
        <v>12</v>
      </c>
      <c r="AI252">
        <v>13</v>
      </c>
      <c r="AJ252">
        <v>0</v>
      </c>
      <c r="AK252">
        <v>1</v>
      </c>
      <c r="AL252" t="s">
        <v>927</v>
      </c>
      <c r="AM252" t="s">
        <v>928</v>
      </c>
      <c r="AN252" t="s">
        <v>929</v>
      </c>
      <c r="AO252" t="s">
        <v>930</v>
      </c>
      <c r="AP252" t="s">
        <v>74</v>
      </c>
      <c r="AQ252" t="s">
        <v>5130</v>
      </c>
      <c r="AR252" t="s">
        <v>932</v>
      </c>
      <c r="AS252" t="s">
        <v>933</v>
      </c>
      <c r="AT252" t="s">
        <v>74</v>
      </c>
      <c r="AU252">
        <v>2015</v>
      </c>
      <c r="AV252">
        <v>389</v>
      </c>
      <c r="AW252" t="s">
        <v>74</v>
      </c>
      <c r="AX252" t="s">
        <v>74</v>
      </c>
      <c r="AY252" t="s">
        <v>74</v>
      </c>
      <c r="AZ252" t="s">
        <v>74</v>
      </c>
      <c r="BA252" t="s">
        <v>74</v>
      </c>
      <c r="BB252">
        <v>323</v>
      </c>
      <c r="BC252">
        <v>353</v>
      </c>
      <c r="BD252" t="s">
        <v>74</v>
      </c>
      <c r="BE252" t="s">
        <v>5131</v>
      </c>
      <c r="BF252" t="str">
        <f>HYPERLINK("http://dx.doi.org/10.1144/SP389.10","http://dx.doi.org/10.1144/SP389.10")</f>
        <v>http://dx.doi.org/10.1144/SP389.10</v>
      </c>
      <c r="BG252" t="s">
        <v>74</v>
      </c>
      <c r="BH252" t="s">
        <v>74</v>
      </c>
      <c r="BI252">
        <v>31</v>
      </c>
      <c r="BJ252" t="s">
        <v>1954</v>
      </c>
      <c r="BK252" t="s">
        <v>936</v>
      </c>
      <c r="BL252" t="s">
        <v>1954</v>
      </c>
      <c r="BM252" t="s">
        <v>5132</v>
      </c>
      <c r="BN252" t="s">
        <v>74</v>
      </c>
      <c r="BO252" t="s">
        <v>574</v>
      </c>
      <c r="BP252" t="s">
        <v>74</v>
      </c>
      <c r="BQ252" t="s">
        <v>74</v>
      </c>
      <c r="BR252" t="s">
        <v>93</v>
      </c>
      <c r="BS252" t="s">
        <v>5133</v>
      </c>
      <c r="BT252" t="str">
        <f>HYPERLINK("https%3A%2F%2Fwww.webofscience.com%2Fwos%2Fwoscc%2Ffull-record%2FWOS:000355194100014","View Full Record in Web of Science")</f>
        <v>View Full Record in Web of Science</v>
      </c>
    </row>
    <row r="253" spans="1:72" x14ac:dyDescent="0.15">
      <c r="A253" t="s">
        <v>840</v>
      </c>
      <c r="B253" t="s">
        <v>5134</v>
      </c>
      <c r="C253" t="s">
        <v>5134</v>
      </c>
      <c r="D253" t="s">
        <v>74</v>
      </c>
      <c r="E253" t="s">
        <v>74</v>
      </c>
      <c r="F253" t="s">
        <v>5135</v>
      </c>
      <c r="G253" t="s">
        <v>5134</v>
      </c>
      <c r="H253" t="s">
        <v>74</v>
      </c>
      <c r="I253" t="s">
        <v>5136</v>
      </c>
      <c r="J253" t="s">
        <v>5137</v>
      </c>
      <c r="K253" t="s">
        <v>5138</v>
      </c>
      <c r="L253" t="s">
        <v>74</v>
      </c>
      <c r="M253" t="s">
        <v>78</v>
      </c>
      <c r="N253" t="s">
        <v>918</v>
      </c>
      <c r="O253" t="s">
        <v>74</v>
      </c>
      <c r="P253" t="s">
        <v>74</v>
      </c>
      <c r="Q253" t="s">
        <v>74</v>
      </c>
      <c r="R253" t="s">
        <v>74</v>
      </c>
      <c r="S253" t="s">
        <v>74</v>
      </c>
      <c r="T253" t="s">
        <v>74</v>
      </c>
      <c r="U253" t="s">
        <v>5139</v>
      </c>
      <c r="V253" t="s">
        <v>74</v>
      </c>
      <c r="W253" t="s">
        <v>5140</v>
      </c>
      <c r="X253" t="s">
        <v>5141</v>
      </c>
      <c r="Y253" t="s">
        <v>5142</v>
      </c>
      <c r="Z253" t="s">
        <v>74</v>
      </c>
      <c r="AA253" t="s">
        <v>74</v>
      </c>
      <c r="AB253" t="s">
        <v>74</v>
      </c>
      <c r="AC253" t="s">
        <v>74</v>
      </c>
      <c r="AD253" t="s">
        <v>74</v>
      </c>
      <c r="AE253" t="s">
        <v>74</v>
      </c>
      <c r="AF253" t="s">
        <v>74</v>
      </c>
      <c r="AG253">
        <v>41</v>
      </c>
      <c r="AH253">
        <v>0</v>
      </c>
      <c r="AI253">
        <v>0</v>
      </c>
      <c r="AJ253">
        <v>0</v>
      </c>
      <c r="AK253">
        <v>0</v>
      </c>
      <c r="AL253" t="s">
        <v>5143</v>
      </c>
      <c r="AM253" t="s">
        <v>315</v>
      </c>
      <c r="AN253" t="s">
        <v>316</v>
      </c>
      <c r="AO253" t="s">
        <v>5144</v>
      </c>
      <c r="AP253" t="s">
        <v>74</v>
      </c>
      <c r="AQ253" t="s">
        <v>5145</v>
      </c>
      <c r="AR253" t="s">
        <v>5146</v>
      </c>
      <c r="AS253" t="s">
        <v>74</v>
      </c>
      <c r="AT253" t="s">
        <v>74</v>
      </c>
      <c r="AU253">
        <v>2015</v>
      </c>
      <c r="AV253" t="s">
        <v>74</v>
      </c>
      <c r="AW253" t="s">
        <v>74</v>
      </c>
      <c r="AX253" t="s">
        <v>74</v>
      </c>
      <c r="AY253" t="s">
        <v>74</v>
      </c>
      <c r="AZ253" t="s">
        <v>74</v>
      </c>
      <c r="BA253" t="s">
        <v>74</v>
      </c>
      <c r="BB253">
        <v>135</v>
      </c>
      <c r="BC253">
        <v>155</v>
      </c>
      <c r="BD253" t="s">
        <v>74</v>
      </c>
      <c r="BE253" t="s">
        <v>5147</v>
      </c>
      <c r="BF253" t="str">
        <f>HYPERLINK("http://dx.doi.org/10.1007/978-3-319-08485-5_11","http://dx.doi.org/10.1007/978-3-319-08485-5_11")</f>
        <v>http://dx.doi.org/10.1007/978-3-319-08485-5_11</v>
      </c>
      <c r="BG253" t="s">
        <v>5148</v>
      </c>
      <c r="BH253" t="s">
        <v>74</v>
      </c>
      <c r="BI253">
        <v>21</v>
      </c>
      <c r="BJ253" t="s">
        <v>5149</v>
      </c>
      <c r="BK253" t="s">
        <v>936</v>
      </c>
      <c r="BL253" t="s">
        <v>5150</v>
      </c>
      <c r="BM253" t="s">
        <v>5151</v>
      </c>
      <c r="BN253" t="s">
        <v>74</v>
      </c>
      <c r="BO253" t="s">
        <v>74</v>
      </c>
      <c r="BP253" t="s">
        <v>74</v>
      </c>
      <c r="BQ253" t="s">
        <v>74</v>
      </c>
      <c r="BR253" t="s">
        <v>93</v>
      </c>
      <c r="BS253" t="s">
        <v>5152</v>
      </c>
      <c r="BT253" t="str">
        <f>HYPERLINK("https%3A%2F%2Fwww.webofscience.com%2Fwos%2Fwoscc%2Ffull-record%2FWOS:000398091900012","View Full Record in Web of Science")</f>
        <v>View Full Record in Web of Science</v>
      </c>
    </row>
    <row r="254" spans="1:72" x14ac:dyDescent="0.15">
      <c r="A254" t="s">
        <v>72</v>
      </c>
      <c r="B254" t="s">
        <v>5153</v>
      </c>
      <c r="C254" t="s">
        <v>74</v>
      </c>
      <c r="D254" t="s">
        <v>74</v>
      </c>
      <c r="E254" t="s">
        <v>74</v>
      </c>
      <c r="F254" t="s">
        <v>5154</v>
      </c>
      <c r="G254" t="s">
        <v>74</v>
      </c>
      <c r="H254" t="s">
        <v>74</v>
      </c>
      <c r="I254" t="s">
        <v>5155</v>
      </c>
      <c r="J254" t="s">
        <v>1074</v>
      </c>
      <c r="K254" t="s">
        <v>74</v>
      </c>
      <c r="L254" t="s">
        <v>74</v>
      </c>
      <c r="M254" t="s">
        <v>78</v>
      </c>
      <c r="N254" t="s">
        <v>99</v>
      </c>
      <c r="O254" t="s">
        <v>74</v>
      </c>
      <c r="P254" t="s">
        <v>74</v>
      </c>
      <c r="Q254" t="s">
        <v>74</v>
      </c>
      <c r="R254" t="s">
        <v>74</v>
      </c>
      <c r="S254" t="s">
        <v>74</v>
      </c>
      <c r="T254" t="s">
        <v>74</v>
      </c>
      <c r="U254" t="s">
        <v>5156</v>
      </c>
      <c r="V254" t="s">
        <v>5157</v>
      </c>
      <c r="W254" t="s">
        <v>5158</v>
      </c>
      <c r="X254" t="s">
        <v>5159</v>
      </c>
      <c r="Y254" t="s">
        <v>5160</v>
      </c>
      <c r="Z254" t="s">
        <v>5161</v>
      </c>
      <c r="AA254" t="s">
        <v>5162</v>
      </c>
      <c r="AB254" t="s">
        <v>5163</v>
      </c>
      <c r="AC254" t="s">
        <v>5164</v>
      </c>
      <c r="AD254" t="s">
        <v>5165</v>
      </c>
      <c r="AE254" t="s">
        <v>5166</v>
      </c>
      <c r="AF254" t="s">
        <v>74</v>
      </c>
      <c r="AG254">
        <v>122</v>
      </c>
      <c r="AH254">
        <v>133</v>
      </c>
      <c r="AI254">
        <v>147</v>
      </c>
      <c r="AJ254">
        <v>0</v>
      </c>
      <c r="AK254">
        <v>53</v>
      </c>
      <c r="AL254" t="s">
        <v>244</v>
      </c>
      <c r="AM254" t="s">
        <v>245</v>
      </c>
      <c r="AN254" t="s">
        <v>246</v>
      </c>
      <c r="AO254" t="s">
        <v>1086</v>
      </c>
      <c r="AP254" t="s">
        <v>1087</v>
      </c>
      <c r="AQ254" t="s">
        <v>74</v>
      </c>
      <c r="AR254" t="s">
        <v>1074</v>
      </c>
      <c r="AS254" t="s">
        <v>1088</v>
      </c>
      <c r="AT254" t="s">
        <v>74</v>
      </c>
      <c r="AU254">
        <v>2015</v>
      </c>
      <c r="AV254">
        <v>9</v>
      </c>
      <c r="AW254">
        <v>1</v>
      </c>
      <c r="AX254" t="s">
        <v>74</v>
      </c>
      <c r="AY254" t="s">
        <v>74</v>
      </c>
      <c r="AZ254" t="s">
        <v>74</v>
      </c>
      <c r="BA254" t="s">
        <v>74</v>
      </c>
      <c r="BB254">
        <v>151</v>
      </c>
      <c r="BC254">
        <v>178</v>
      </c>
      <c r="BD254" t="s">
        <v>74</v>
      </c>
      <c r="BE254" t="s">
        <v>5167</v>
      </c>
      <c r="BF254" t="str">
        <f>HYPERLINK("http://dx.doi.org/10.5194/tc-9-151-2015","http://dx.doi.org/10.5194/tc-9-151-2015")</f>
        <v>http://dx.doi.org/10.5194/tc-9-151-2015</v>
      </c>
      <c r="BG254" t="s">
        <v>74</v>
      </c>
      <c r="BH254" t="s">
        <v>74</v>
      </c>
      <c r="BI254">
        <v>28</v>
      </c>
      <c r="BJ254" t="s">
        <v>372</v>
      </c>
      <c r="BK254" t="s">
        <v>91</v>
      </c>
      <c r="BL254" t="s">
        <v>373</v>
      </c>
      <c r="BM254" t="s">
        <v>1783</v>
      </c>
      <c r="BN254" t="s">
        <v>74</v>
      </c>
      <c r="BO254" t="s">
        <v>255</v>
      </c>
      <c r="BP254" t="s">
        <v>74</v>
      </c>
      <c r="BQ254" t="s">
        <v>74</v>
      </c>
      <c r="BR254" t="s">
        <v>93</v>
      </c>
      <c r="BS254" t="s">
        <v>5168</v>
      </c>
      <c r="BT254" t="str">
        <f>HYPERLINK("https%3A%2F%2Fwww.webofscience.com%2Fwos%2Fwoscc%2Ffull-record%2FWOS:000350555400013","View Full Record in Web of Science")</f>
        <v>View Full Record in Web of Science</v>
      </c>
    </row>
    <row r="255" spans="1:72" x14ac:dyDescent="0.15">
      <c r="A255" t="s">
        <v>72</v>
      </c>
      <c r="B255" t="s">
        <v>5169</v>
      </c>
      <c r="C255" t="s">
        <v>74</v>
      </c>
      <c r="D255" t="s">
        <v>74</v>
      </c>
      <c r="E255" t="s">
        <v>74</v>
      </c>
      <c r="F255" t="s">
        <v>5170</v>
      </c>
      <c r="G255" t="s">
        <v>74</v>
      </c>
      <c r="H255" t="s">
        <v>74</v>
      </c>
      <c r="I255" t="s">
        <v>5171</v>
      </c>
      <c r="J255" t="s">
        <v>1074</v>
      </c>
      <c r="K255" t="s">
        <v>74</v>
      </c>
      <c r="L255" t="s">
        <v>74</v>
      </c>
      <c r="M255" t="s">
        <v>78</v>
      </c>
      <c r="N255" t="s">
        <v>99</v>
      </c>
      <c r="O255" t="s">
        <v>74</v>
      </c>
      <c r="P255" t="s">
        <v>74</v>
      </c>
      <c r="Q255" t="s">
        <v>74</v>
      </c>
      <c r="R255" t="s">
        <v>74</v>
      </c>
      <c r="S255" t="s">
        <v>74</v>
      </c>
      <c r="T255" t="s">
        <v>74</v>
      </c>
      <c r="U255" t="s">
        <v>5172</v>
      </c>
      <c r="V255" t="s">
        <v>5173</v>
      </c>
      <c r="W255" t="s">
        <v>5174</v>
      </c>
      <c r="X255" t="s">
        <v>5175</v>
      </c>
      <c r="Y255" t="s">
        <v>5176</v>
      </c>
      <c r="Z255" t="s">
        <v>5177</v>
      </c>
      <c r="AA255" t="s">
        <v>5178</v>
      </c>
      <c r="AB255" t="s">
        <v>5179</v>
      </c>
      <c r="AC255" t="s">
        <v>5180</v>
      </c>
      <c r="AD255" t="s">
        <v>5181</v>
      </c>
      <c r="AE255" t="s">
        <v>5182</v>
      </c>
      <c r="AF255" t="s">
        <v>74</v>
      </c>
      <c r="AG255">
        <v>112</v>
      </c>
      <c r="AH255">
        <v>61</v>
      </c>
      <c r="AI255">
        <v>63</v>
      </c>
      <c r="AJ255">
        <v>0</v>
      </c>
      <c r="AK255">
        <v>28</v>
      </c>
      <c r="AL255" t="s">
        <v>244</v>
      </c>
      <c r="AM255" t="s">
        <v>245</v>
      </c>
      <c r="AN255" t="s">
        <v>246</v>
      </c>
      <c r="AO255" t="s">
        <v>1086</v>
      </c>
      <c r="AP255" t="s">
        <v>1087</v>
      </c>
      <c r="AQ255" t="s">
        <v>74</v>
      </c>
      <c r="AR255" t="s">
        <v>1074</v>
      </c>
      <c r="AS255" t="s">
        <v>1088</v>
      </c>
      <c r="AT255" t="s">
        <v>74</v>
      </c>
      <c r="AU255">
        <v>2015</v>
      </c>
      <c r="AV255">
        <v>9</v>
      </c>
      <c r="AW255">
        <v>1</v>
      </c>
      <c r="AX255" t="s">
        <v>74</v>
      </c>
      <c r="AY255" t="s">
        <v>74</v>
      </c>
      <c r="AZ255" t="s">
        <v>74</v>
      </c>
      <c r="BA255" t="s">
        <v>74</v>
      </c>
      <c r="BB255">
        <v>285</v>
      </c>
      <c r="BC255">
        <v>304</v>
      </c>
      <c r="BD255" t="s">
        <v>74</v>
      </c>
      <c r="BE255" t="s">
        <v>5183</v>
      </c>
      <c r="BF255" t="str">
        <f>HYPERLINK("http://dx.doi.org/10.5194/tc-9-285-2015","http://dx.doi.org/10.5194/tc-9-285-2015")</f>
        <v>http://dx.doi.org/10.5194/tc-9-285-2015</v>
      </c>
      <c r="BG255" t="s">
        <v>74</v>
      </c>
      <c r="BH255" t="s">
        <v>74</v>
      </c>
      <c r="BI255">
        <v>20</v>
      </c>
      <c r="BJ255" t="s">
        <v>372</v>
      </c>
      <c r="BK255" t="s">
        <v>91</v>
      </c>
      <c r="BL255" t="s">
        <v>373</v>
      </c>
      <c r="BM255" t="s">
        <v>1783</v>
      </c>
      <c r="BN255" t="s">
        <v>74</v>
      </c>
      <c r="BO255" t="s">
        <v>805</v>
      </c>
      <c r="BP255" t="s">
        <v>74</v>
      </c>
      <c r="BQ255" t="s">
        <v>74</v>
      </c>
      <c r="BR255" t="s">
        <v>93</v>
      </c>
      <c r="BS255" t="s">
        <v>5184</v>
      </c>
      <c r="BT255" t="str">
        <f>HYPERLINK("https%3A%2F%2Fwww.webofscience.com%2Fwos%2Fwoscc%2Ffull-record%2FWOS:000350555400021","View Full Record in Web of Science")</f>
        <v>View Full Record in Web of Science</v>
      </c>
    </row>
    <row r="256" spans="1:72" x14ac:dyDescent="0.15">
      <c r="A256" t="s">
        <v>72</v>
      </c>
      <c r="B256" t="s">
        <v>5185</v>
      </c>
      <c r="C256" t="s">
        <v>74</v>
      </c>
      <c r="D256" t="s">
        <v>74</v>
      </c>
      <c r="E256" t="s">
        <v>74</v>
      </c>
      <c r="F256" t="s">
        <v>5186</v>
      </c>
      <c r="G256" t="s">
        <v>74</v>
      </c>
      <c r="H256" t="s">
        <v>74</v>
      </c>
      <c r="I256" t="s">
        <v>5187</v>
      </c>
      <c r="J256" t="s">
        <v>1074</v>
      </c>
      <c r="K256" t="s">
        <v>74</v>
      </c>
      <c r="L256" t="s">
        <v>74</v>
      </c>
      <c r="M256" t="s">
        <v>78</v>
      </c>
      <c r="N256" t="s">
        <v>99</v>
      </c>
      <c r="O256" t="s">
        <v>74</v>
      </c>
      <c r="P256" t="s">
        <v>74</v>
      </c>
      <c r="Q256" t="s">
        <v>74</v>
      </c>
      <c r="R256" t="s">
        <v>74</v>
      </c>
      <c r="S256" t="s">
        <v>74</v>
      </c>
      <c r="T256" t="s">
        <v>74</v>
      </c>
      <c r="U256" t="s">
        <v>5188</v>
      </c>
      <c r="V256" t="s">
        <v>5189</v>
      </c>
      <c r="W256" t="s">
        <v>5190</v>
      </c>
      <c r="X256" t="s">
        <v>5191</v>
      </c>
      <c r="Y256" t="s">
        <v>5192</v>
      </c>
      <c r="Z256" t="s">
        <v>5193</v>
      </c>
      <c r="AA256" t="s">
        <v>5194</v>
      </c>
      <c r="AB256" t="s">
        <v>5195</v>
      </c>
      <c r="AC256" t="s">
        <v>5196</v>
      </c>
      <c r="AD256" t="s">
        <v>5197</v>
      </c>
      <c r="AE256" t="s">
        <v>5198</v>
      </c>
      <c r="AF256" t="s">
        <v>74</v>
      </c>
      <c r="AG256">
        <v>34</v>
      </c>
      <c r="AH256">
        <v>27</v>
      </c>
      <c r="AI256">
        <v>28</v>
      </c>
      <c r="AJ256">
        <v>0</v>
      </c>
      <c r="AK256">
        <v>13</v>
      </c>
      <c r="AL256" t="s">
        <v>244</v>
      </c>
      <c r="AM256" t="s">
        <v>245</v>
      </c>
      <c r="AN256" t="s">
        <v>246</v>
      </c>
      <c r="AO256" t="s">
        <v>1086</v>
      </c>
      <c r="AP256" t="s">
        <v>1087</v>
      </c>
      <c r="AQ256" t="s">
        <v>74</v>
      </c>
      <c r="AR256" t="s">
        <v>1074</v>
      </c>
      <c r="AS256" t="s">
        <v>1088</v>
      </c>
      <c r="AT256" t="s">
        <v>74</v>
      </c>
      <c r="AU256">
        <v>2015</v>
      </c>
      <c r="AV256">
        <v>9</v>
      </c>
      <c r="AW256">
        <v>1</v>
      </c>
      <c r="AX256" t="s">
        <v>74</v>
      </c>
      <c r="AY256" t="s">
        <v>74</v>
      </c>
      <c r="AZ256" t="s">
        <v>74</v>
      </c>
      <c r="BA256" t="s">
        <v>74</v>
      </c>
      <c r="BB256">
        <v>385</v>
      </c>
      <c r="BC256">
        <v>398</v>
      </c>
      <c r="BD256" t="s">
        <v>74</v>
      </c>
      <c r="BE256" t="s">
        <v>5199</v>
      </c>
      <c r="BF256" t="str">
        <f>HYPERLINK("http://dx.doi.org/10.5194/tc-9-385-2015","http://dx.doi.org/10.5194/tc-9-385-2015")</f>
        <v>http://dx.doi.org/10.5194/tc-9-385-2015</v>
      </c>
      <c r="BG256" t="s">
        <v>74</v>
      </c>
      <c r="BH256" t="s">
        <v>74</v>
      </c>
      <c r="BI256">
        <v>14</v>
      </c>
      <c r="BJ256" t="s">
        <v>372</v>
      </c>
      <c r="BK256" t="s">
        <v>91</v>
      </c>
      <c r="BL256" t="s">
        <v>373</v>
      </c>
      <c r="BM256" t="s">
        <v>1783</v>
      </c>
      <c r="BN256" t="s">
        <v>74</v>
      </c>
      <c r="BO256" t="s">
        <v>523</v>
      </c>
      <c r="BP256" t="s">
        <v>74</v>
      </c>
      <c r="BQ256" t="s">
        <v>74</v>
      </c>
      <c r="BR256" t="s">
        <v>93</v>
      </c>
      <c r="BS256" t="s">
        <v>5200</v>
      </c>
      <c r="BT256" t="str">
        <f>HYPERLINK("https%3A%2F%2Fwww.webofscience.com%2Fwos%2Fwoscc%2Ffull-record%2FWOS:000350555400027","View Full Record in Web of Science")</f>
        <v>View Full Record in Web of Science</v>
      </c>
    </row>
    <row r="257" spans="1:72" x14ac:dyDescent="0.15">
      <c r="A257" t="s">
        <v>72</v>
      </c>
      <c r="B257" t="s">
        <v>5201</v>
      </c>
      <c r="C257" t="s">
        <v>74</v>
      </c>
      <c r="D257" t="s">
        <v>74</v>
      </c>
      <c r="E257" t="s">
        <v>74</v>
      </c>
      <c r="F257" t="s">
        <v>5202</v>
      </c>
      <c r="G257" t="s">
        <v>74</v>
      </c>
      <c r="H257" t="s">
        <v>74</v>
      </c>
      <c r="I257" t="s">
        <v>5203</v>
      </c>
      <c r="J257" t="s">
        <v>1074</v>
      </c>
      <c r="K257" t="s">
        <v>74</v>
      </c>
      <c r="L257" t="s">
        <v>74</v>
      </c>
      <c r="M257" t="s">
        <v>78</v>
      </c>
      <c r="N257" t="s">
        <v>99</v>
      </c>
      <c r="O257" t="s">
        <v>74</v>
      </c>
      <c r="P257" t="s">
        <v>74</v>
      </c>
      <c r="Q257" t="s">
        <v>74</v>
      </c>
      <c r="R257" t="s">
        <v>74</v>
      </c>
      <c r="S257" t="s">
        <v>74</v>
      </c>
      <c r="T257" t="s">
        <v>74</v>
      </c>
      <c r="U257" t="s">
        <v>5204</v>
      </c>
      <c r="V257" t="s">
        <v>5205</v>
      </c>
      <c r="W257" t="s">
        <v>5206</v>
      </c>
      <c r="X257" t="s">
        <v>5207</v>
      </c>
      <c r="Y257" t="s">
        <v>5208</v>
      </c>
      <c r="Z257" t="s">
        <v>5209</v>
      </c>
      <c r="AA257" t="s">
        <v>5210</v>
      </c>
      <c r="AB257" t="s">
        <v>5211</v>
      </c>
      <c r="AC257" t="s">
        <v>5212</v>
      </c>
      <c r="AD257" t="s">
        <v>5213</v>
      </c>
      <c r="AE257" t="s">
        <v>5214</v>
      </c>
      <c r="AF257" t="s">
        <v>74</v>
      </c>
      <c r="AG257">
        <v>65</v>
      </c>
      <c r="AH257">
        <v>36</v>
      </c>
      <c r="AI257">
        <v>36</v>
      </c>
      <c r="AJ257">
        <v>0</v>
      </c>
      <c r="AK257">
        <v>18</v>
      </c>
      <c r="AL257" t="s">
        <v>244</v>
      </c>
      <c r="AM257" t="s">
        <v>245</v>
      </c>
      <c r="AN257" t="s">
        <v>246</v>
      </c>
      <c r="AO257" t="s">
        <v>1086</v>
      </c>
      <c r="AP257" t="s">
        <v>1087</v>
      </c>
      <c r="AQ257" t="s">
        <v>74</v>
      </c>
      <c r="AR257" t="s">
        <v>1074</v>
      </c>
      <c r="AS257" t="s">
        <v>1088</v>
      </c>
      <c r="AT257" t="s">
        <v>74</v>
      </c>
      <c r="AU257">
        <v>2015</v>
      </c>
      <c r="AV257">
        <v>9</v>
      </c>
      <c r="AW257">
        <v>2</v>
      </c>
      <c r="AX257" t="s">
        <v>74</v>
      </c>
      <c r="AY257" t="s">
        <v>74</v>
      </c>
      <c r="AZ257" t="s">
        <v>74</v>
      </c>
      <c r="BA257" t="s">
        <v>74</v>
      </c>
      <c r="BB257">
        <v>613</v>
      </c>
      <c r="BC257">
        <v>629</v>
      </c>
      <c r="BD257" t="s">
        <v>74</v>
      </c>
      <c r="BE257" t="s">
        <v>5215</v>
      </c>
      <c r="BF257" t="str">
        <f>HYPERLINK("http://dx.doi.org/10.5194/tc-9-613-2015","http://dx.doi.org/10.5194/tc-9-613-2015")</f>
        <v>http://dx.doi.org/10.5194/tc-9-613-2015</v>
      </c>
      <c r="BG257" t="s">
        <v>74</v>
      </c>
      <c r="BH257" t="s">
        <v>74</v>
      </c>
      <c r="BI257">
        <v>17</v>
      </c>
      <c r="BJ257" t="s">
        <v>372</v>
      </c>
      <c r="BK257" t="s">
        <v>91</v>
      </c>
      <c r="BL257" t="s">
        <v>373</v>
      </c>
      <c r="BM257" t="s">
        <v>1090</v>
      </c>
      <c r="BN257" t="s">
        <v>74</v>
      </c>
      <c r="BO257" t="s">
        <v>697</v>
      </c>
      <c r="BP257" t="s">
        <v>74</v>
      </c>
      <c r="BQ257" t="s">
        <v>74</v>
      </c>
      <c r="BR257" t="s">
        <v>93</v>
      </c>
      <c r="BS257" t="s">
        <v>5216</v>
      </c>
      <c r="BT257" t="str">
        <f>HYPERLINK("https%3A%2F%2Fwww.webofscience.com%2Fwos%2Fwoscc%2Ffull-record%2FWOS:000353878400014","View Full Record in Web of Science")</f>
        <v>View Full Record in Web of Science</v>
      </c>
    </row>
    <row r="258" spans="1:72" x14ac:dyDescent="0.15">
      <c r="A258" t="s">
        <v>72</v>
      </c>
      <c r="B258" t="s">
        <v>5217</v>
      </c>
      <c r="C258" t="s">
        <v>74</v>
      </c>
      <c r="D258" t="s">
        <v>74</v>
      </c>
      <c r="E258" t="s">
        <v>74</v>
      </c>
      <c r="F258" t="s">
        <v>5218</v>
      </c>
      <c r="G258" t="s">
        <v>74</v>
      </c>
      <c r="H258" t="s">
        <v>74</v>
      </c>
      <c r="I258" t="s">
        <v>5219</v>
      </c>
      <c r="J258" t="s">
        <v>1074</v>
      </c>
      <c r="K258" t="s">
        <v>74</v>
      </c>
      <c r="L258" t="s">
        <v>74</v>
      </c>
      <c r="M258" t="s">
        <v>78</v>
      </c>
      <c r="N258" t="s">
        <v>99</v>
      </c>
      <c r="O258" t="s">
        <v>74</v>
      </c>
      <c r="P258" t="s">
        <v>74</v>
      </c>
      <c r="Q258" t="s">
        <v>74</v>
      </c>
      <c r="R258" t="s">
        <v>74</v>
      </c>
      <c r="S258" t="s">
        <v>74</v>
      </c>
      <c r="T258" t="s">
        <v>74</v>
      </c>
      <c r="U258" t="s">
        <v>5220</v>
      </c>
      <c r="V258" t="s">
        <v>5221</v>
      </c>
      <c r="W258" t="s">
        <v>5222</v>
      </c>
      <c r="X258" t="s">
        <v>5223</v>
      </c>
      <c r="Y258" t="s">
        <v>5224</v>
      </c>
      <c r="Z258" t="s">
        <v>5225</v>
      </c>
      <c r="AA258" t="s">
        <v>5226</v>
      </c>
      <c r="AB258" t="s">
        <v>5227</v>
      </c>
      <c r="AC258" t="s">
        <v>5228</v>
      </c>
      <c r="AD258" t="s">
        <v>5229</v>
      </c>
      <c r="AE258" t="s">
        <v>5230</v>
      </c>
      <c r="AF258" t="s">
        <v>74</v>
      </c>
      <c r="AG258">
        <v>58</v>
      </c>
      <c r="AH258">
        <v>8</v>
      </c>
      <c r="AI258">
        <v>11</v>
      </c>
      <c r="AJ258">
        <v>0</v>
      </c>
      <c r="AK258">
        <v>17</v>
      </c>
      <c r="AL258" t="s">
        <v>244</v>
      </c>
      <c r="AM258" t="s">
        <v>245</v>
      </c>
      <c r="AN258" t="s">
        <v>246</v>
      </c>
      <c r="AO258" t="s">
        <v>1086</v>
      </c>
      <c r="AP258" t="s">
        <v>1087</v>
      </c>
      <c r="AQ258" t="s">
        <v>74</v>
      </c>
      <c r="AR258" t="s">
        <v>1074</v>
      </c>
      <c r="AS258" t="s">
        <v>1088</v>
      </c>
      <c r="AT258" t="s">
        <v>74</v>
      </c>
      <c r="AU258">
        <v>2015</v>
      </c>
      <c r="AV258">
        <v>9</v>
      </c>
      <c r="AW258">
        <v>2</v>
      </c>
      <c r="AX258" t="s">
        <v>74</v>
      </c>
      <c r="AY258" t="s">
        <v>74</v>
      </c>
      <c r="AZ258" t="s">
        <v>74</v>
      </c>
      <c r="BA258" t="s">
        <v>74</v>
      </c>
      <c r="BB258">
        <v>805</v>
      </c>
      <c r="BC258">
        <v>819</v>
      </c>
      <c r="BD258" t="s">
        <v>74</v>
      </c>
      <c r="BE258" t="s">
        <v>5231</v>
      </c>
      <c r="BF258" t="str">
        <f>HYPERLINK("http://dx.doi.org/10.5194/tc-9-805-2015","http://dx.doi.org/10.5194/tc-9-805-2015")</f>
        <v>http://dx.doi.org/10.5194/tc-9-805-2015</v>
      </c>
      <c r="BG258" t="s">
        <v>74</v>
      </c>
      <c r="BH258" t="s">
        <v>74</v>
      </c>
      <c r="BI258">
        <v>15</v>
      </c>
      <c r="BJ258" t="s">
        <v>372</v>
      </c>
      <c r="BK258" t="s">
        <v>91</v>
      </c>
      <c r="BL258" t="s">
        <v>373</v>
      </c>
      <c r="BM258" t="s">
        <v>1090</v>
      </c>
      <c r="BN258" t="s">
        <v>74</v>
      </c>
      <c r="BO258" t="s">
        <v>255</v>
      </c>
      <c r="BP258" t="s">
        <v>74</v>
      </c>
      <c r="BQ258" t="s">
        <v>74</v>
      </c>
      <c r="BR258" t="s">
        <v>93</v>
      </c>
      <c r="BS258" t="s">
        <v>5232</v>
      </c>
      <c r="BT258" t="str">
        <f>HYPERLINK("https%3A%2F%2Fwww.webofscience.com%2Fwos%2Fwoscc%2Ffull-record%2FWOS:000353878400027","View Full Record in Web of Science")</f>
        <v>View Full Record in Web of Science</v>
      </c>
    </row>
    <row r="259" spans="1:72" x14ac:dyDescent="0.15">
      <c r="A259" t="s">
        <v>72</v>
      </c>
      <c r="B259" t="s">
        <v>5233</v>
      </c>
      <c r="C259" t="s">
        <v>74</v>
      </c>
      <c r="D259" t="s">
        <v>74</v>
      </c>
      <c r="E259" t="s">
        <v>74</v>
      </c>
      <c r="F259" t="s">
        <v>5234</v>
      </c>
      <c r="G259" t="s">
        <v>74</v>
      </c>
      <c r="H259" t="s">
        <v>74</v>
      </c>
      <c r="I259" t="s">
        <v>5235</v>
      </c>
      <c r="J259" t="s">
        <v>1074</v>
      </c>
      <c r="K259" t="s">
        <v>74</v>
      </c>
      <c r="L259" t="s">
        <v>74</v>
      </c>
      <c r="M259" t="s">
        <v>78</v>
      </c>
      <c r="N259" t="s">
        <v>99</v>
      </c>
      <c r="O259" t="s">
        <v>74</v>
      </c>
      <c r="P259" t="s">
        <v>74</v>
      </c>
      <c r="Q259" t="s">
        <v>74</v>
      </c>
      <c r="R259" t="s">
        <v>74</v>
      </c>
      <c r="S259" t="s">
        <v>74</v>
      </c>
      <c r="T259" t="s">
        <v>74</v>
      </c>
      <c r="U259" t="s">
        <v>5236</v>
      </c>
      <c r="V259" t="s">
        <v>5237</v>
      </c>
      <c r="W259" t="s">
        <v>5238</v>
      </c>
      <c r="X259" t="s">
        <v>5239</v>
      </c>
      <c r="Y259" t="s">
        <v>5240</v>
      </c>
      <c r="Z259" t="s">
        <v>5241</v>
      </c>
      <c r="AA259" t="s">
        <v>5242</v>
      </c>
      <c r="AB259" t="s">
        <v>5243</v>
      </c>
      <c r="AC259" t="s">
        <v>5244</v>
      </c>
      <c r="AD259" t="s">
        <v>5245</v>
      </c>
      <c r="AE259" t="s">
        <v>5246</v>
      </c>
      <c r="AF259" t="s">
        <v>74</v>
      </c>
      <c r="AG259">
        <v>91</v>
      </c>
      <c r="AH259">
        <v>55</v>
      </c>
      <c r="AI259">
        <v>61</v>
      </c>
      <c r="AJ259">
        <v>1</v>
      </c>
      <c r="AK259">
        <v>29</v>
      </c>
      <c r="AL259" t="s">
        <v>244</v>
      </c>
      <c r="AM259" t="s">
        <v>245</v>
      </c>
      <c r="AN259" t="s">
        <v>246</v>
      </c>
      <c r="AO259" t="s">
        <v>1086</v>
      </c>
      <c r="AP259" t="s">
        <v>1087</v>
      </c>
      <c r="AQ259" t="s">
        <v>74</v>
      </c>
      <c r="AR259" t="s">
        <v>1074</v>
      </c>
      <c r="AS259" t="s">
        <v>1088</v>
      </c>
      <c r="AT259" t="s">
        <v>74</v>
      </c>
      <c r="AU259">
        <v>2015</v>
      </c>
      <c r="AV259">
        <v>9</v>
      </c>
      <c r="AW259">
        <v>3</v>
      </c>
      <c r="AX259" t="s">
        <v>74</v>
      </c>
      <c r="AY259" t="s">
        <v>74</v>
      </c>
      <c r="AZ259" t="s">
        <v>74</v>
      </c>
      <c r="BA259" t="s">
        <v>74</v>
      </c>
      <c r="BB259">
        <v>881</v>
      </c>
      <c r="BC259">
        <v>903</v>
      </c>
      <c r="BD259" t="s">
        <v>74</v>
      </c>
      <c r="BE259" t="s">
        <v>5247</v>
      </c>
      <c r="BF259" t="str">
        <f>HYPERLINK("http://dx.doi.org/10.5194/tc-9-881-2015","http://dx.doi.org/10.5194/tc-9-881-2015")</f>
        <v>http://dx.doi.org/10.5194/tc-9-881-2015</v>
      </c>
      <c r="BG259" t="s">
        <v>74</v>
      </c>
      <c r="BH259" t="s">
        <v>74</v>
      </c>
      <c r="BI259">
        <v>23</v>
      </c>
      <c r="BJ259" t="s">
        <v>372</v>
      </c>
      <c r="BK259" t="s">
        <v>91</v>
      </c>
      <c r="BL259" t="s">
        <v>373</v>
      </c>
      <c r="BM259" t="s">
        <v>1135</v>
      </c>
      <c r="BN259" t="s">
        <v>74</v>
      </c>
      <c r="BO259" t="s">
        <v>1989</v>
      </c>
      <c r="BP259" t="s">
        <v>74</v>
      </c>
      <c r="BQ259" t="s">
        <v>74</v>
      </c>
      <c r="BR259" t="s">
        <v>93</v>
      </c>
      <c r="BS259" t="s">
        <v>5248</v>
      </c>
      <c r="BT259" t="str">
        <f>HYPERLINK("https%3A%2F%2Fwww.webofscience.com%2Fwos%2Fwoscc%2Ffull-record%2FWOS:000354442400005","View Full Record in Web of Science")</f>
        <v>View Full Record in Web of Science</v>
      </c>
    </row>
    <row r="260" spans="1:72" x14ac:dyDescent="0.15">
      <c r="A260" t="s">
        <v>72</v>
      </c>
      <c r="B260" t="s">
        <v>5249</v>
      </c>
      <c r="C260" t="s">
        <v>74</v>
      </c>
      <c r="D260" t="s">
        <v>74</v>
      </c>
      <c r="E260" t="s">
        <v>74</v>
      </c>
      <c r="F260" t="s">
        <v>5250</v>
      </c>
      <c r="G260" t="s">
        <v>74</v>
      </c>
      <c r="H260" t="s">
        <v>74</v>
      </c>
      <c r="I260" t="s">
        <v>5251</v>
      </c>
      <c r="J260" t="s">
        <v>1074</v>
      </c>
      <c r="K260" t="s">
        <v>74</v>
      </c>
      <c r="L260" t="s">
        <v>74</v>
      </c>
      <c r="M260" t="s">
        <v>78</v>
      </c>
      <c r="N260" t="s">
        <v>99</v>
      </c>
      <c r="O260" t="s">
        <v>74</v>
      </c>
      <c r="P260" t="s">
        <v>74</v>
      </c>
      <c r="Q260" t="s">
        <v>74</v>
      </c>
      <c r="R260" t="s">
        <v>74</v>
      </c>
      <c r="S260" t="s">
        <v>74</v>
      </c>
      <c r="T260" t="s">
        <v>74</v>
      </c>
      <c r="U260" t="s">
        <v>5252</v>
      </c>
      <c r="V260" t="s">
        <v>5253</v>
      </c>
      <c r="W260" t="s">
        <v>5254</v>
      </c>
      <c r="X260" t="s">
        <v>5255</v>
      </c>
      <c r="Y260" t="s">
        <v>5256</v>
      </c>
      <c r="Z260" t="s">
        <v>5257</v>
      </c>
      <c r="AA260" t="s">
        <v>5258</v>
      </c>
      <c r="AB260" t="s">
        <v>5259</v>
      </c>
      <c r="AC260" t="s">
        <v>5260</v>
      </c>
      <c r="AD260" t="s">
        <v>5261</v>
      </c>
      <c r="AE260" t="s">
        <v>5262</v>
      </c>
      <c r="AF260" t="s">
        <v>74</v>
      </c>
      <c r="AG260">
        <v>36</v>
      </c>
      <c r="AH260">
        <v>56</v>
      </c>
      <c r="AI260">
        <v>58</v>
      </c>
      <c r="AJ260">
        <v>0</v>
      </c>
      <c r="AK260">
        <v>27</v>
      </c>
      <c r="AL260" t="s">
        <v>244</v>
      </c>
      <c r="AM260" t="s">
        <v>245</v>
      </c>
      <c r="AN260" t="s">
        <v>246</v>
      </c>
      <c r="AO260" t="s">
        <v>1086</v>
      </c>
      <c r="AP260" t="s">
        <v>1087</v>
      </c>
      <c r="AQ260" t="s">
        <v>74</v>
      </c>
      <c r="AR260" t="s">
        <v>1074</v>
      </c>
      <c r="AS260" t="s">
        <v>1088</v>
      </c>
      <c r="AT260" t="s">
        <v>74</v>
      </c>
      <c r="AU260">
        <v>2015</v>
      </c>
      <c r="AV260">
        <v>9</v>
      </c>
      <c r="AW260">
        <v>3</v>
      </c>
      <c r="AX260" t="s">
        <v>74</v>
      </c>
      <c r="AY260" t="s">
        <v>74</v>
      </c>
      <c r="AZ260" t="s">
        <v>74</v>
      </c>
      <c r="BA260" t="s">
        <v>74</v>
      </c>
      <c r="BB260">
        <v>957</v>
      </c>
      <c r="BC260">
        <v>969</v>
      </c>
      <c r="BD260" t="s">
        <v>74</v>
      </c>
      <c r="BE260" t="s">
        <v>5263</v>
      </c>
      <c r="BF260" t="str">
        <f>HYPERLINK("http://dx.doi.org/10.5194/tc-9-957-2015","http://dx.doi.org/10.5194/tc-9-957-2015")</f>
        <v>http://dx.doi.org/10.5194/tc-9-957-2015</v>
      </c>
      <c r="BG260" t="s">
        <v>74</v>
      </c>
      <c r="BH260" t="s">
        <v>74</v>
      </c>
      <c r="BI260">
        <v>13</v>
      </c>
      <c r="BJ260" t="s">
        <v>372</v>
      </c>
      <c r="BK260" t="s">
        <v>91</v>
      </c>
      <c r="BL260" t="s">
        <v>373</v>
      </c>
      <c r="BM260" t="s">
        <v>1135</v>
      </c>
      <c r="BN260" t="s">
        <v>74</v>
      </c>
      <c r="BO260" t="s">
        <v>1458</v>
      </c>
      <c r="BP260" t="s">
        <v>74</v>
      </c>
      <c r="BQ260" t="s">
        <v>74</v>
      </c>
      <c r="BR260" t="s">
        <v>93</v>
      </c>
      <c r="BS260" t="s">
        <v>5264</v>
      </c>
      <c r="BT260" t="str">
        <f>HYPERLINK("https%3A%2F%2Fwww.webofscience.com%2Fwos%2Fwoscc%2Ffull-record%2FWOS:000354442400009","View Full Record in Web of Science")</f>
        <v>View Full Record in Web of Science</v>
      </c>
    </row>
    <row r="261" spans="1:72" x14ac:dyDescent="0.15">
      <c r="A261" t="s">
        <v>72</v>
      </c>
      <c r="B261" t="s">
        <v>5265</v>
      </c>
      <c r="C261" t="s">
        <v>74</v>
      </c>
      <c r="D261" t="s">
        <v>74</v>
      </c>
      <c r="E261" t="s">
        <v>74</v>
      </c>
      <c r="F261" t="s">
        <v>5266</v>
      </c>
      <c r="G261" t="s">
        <v>74</v>
      </c>
      <c r="H261" t="s">
        <v>74</v>
      </c>
      <c r="I261" t="s">
        <v>5267</v>
      </c>
      <c r="J261" t="s">
        <v>1074</v>
      </c>
      <c r="K261" t="s">
        <v>74</v>
      </c>
      <c r="L261" t="s">
        <v>74</v>
      </c>
      <c r="M261" t="s">
        <v>78</v>
      </c>
      <c r="N261" t="s">
        <v>99</v>
      </c>
      <c r="O261" t="s">
        <v>74</v>
      </c>
      <c r="P261" t="s">
        <v>74</v>
      </c>
      <c r="Q261" t="s">
        <v>74</v>
      </c>
      <c r="R261" t="s">
        <v>74</v>
      </c>
      <c r="S261" t="s">
        <v>74</v>
      </c>
      <c r="T261" t="s">
        <v>74</v>
      </c>
      <c r="U261" t="s">
        <v>5268</v>
      </c>
      <c r="V261" t="s">
        <v>5269</v>
      </c>
      <c r="W261" t="s">
        <v>5270</v>
      </c>
      <c r="X261" t="s">
        <v>5271</v>
      </c>
      <c r="Y261" t="s">
        <v>5272</v>
      </c>
      <c r="Z261" t="s">
        <v>5273</v>
      </c>
      <c r="AA261" t="s">
        <v>5274</v>
      </c>
      <c r="AB261" t="s">
        <v>5275</v>
      </c>
      <c r="AC261" t="s">
        <v>5276</v>
      </c>
      <c r="AD261" t="s">
        <v>5277</v>
      </c>
      <c r="AE261" t="s">
        <v>5278</v>
      </c>
      <c r="AF261" t="s">
        <v>74</v>
      </c>
      <c r="AG261">
        <v>65</v>
      </c>
      <c r="AH261">
        <v>52</v>
      </c>
      <c r="AI261">
        <v>58</v>
      </c>
      <c r="AJ261">
        <v>1</v>
      </c>
      <c r="AK261">
        <v>38</v>
      </c>
      <c r="AL261" t="s">
        <v>244</v>
      </c>
      <c r="AM261" t="s">
        <v>245</v>
      </c>
      <c r="AN261" t="s">
        <v>246</v>
      </c>
      <c r="AO261" t="s">
        <v>1086</v>
      </c>
      <c r="AP261" t="s">
        <v>1087</v>
      </c>
      <c r="AQ261" t="s">
        <v>74</v>
      </c>
      <c r="AR261" t="s">
        <v>1074</v>
      </c>
      <c r="AS261" t="s">
        <v>1088</v>
      </c>
      <c r="AT261" t="s">
        <v>74</v>
      </c>
      <c r="AU261">
        <v>2015</v>
      </c>
      <c r="AV261">
        <v>9</v>
      </c>
      <c r="AW261">
        <v>3</v>
      </c>
      <c r="AX261" t="s">
        <v>74</v>
      </c>
      <c r="AY261" t="s">
        <v>74</v>
      </c>
      <c r="AZ261" t="s">
        <v>74</v>
      </c>
      <c r="BA261" t="s">
        <v>74</v>
      </c>
      <c r="BB261">
        <v>1005</v>
      </c>
      <c r="BC261">
        <v>1024</v>
      </c>
      <c r="BD261" t="s">
        <v>74</v>
      </c>
      <c r="BE261" t="s">
        <v>5279</v>
      </c>
      <c r="BF261" t="str">
        <f>HYPERLINK("http://dx.doi.org/10.5194/tc-9-1005-2015","http://dx.doi.org/10.5194/tc-9-1005-2015")</f>
        <v>http://dx.doi.org/10.5194/tc-9-1005-2015</v>
      </c>
      <c r="BG261" t="s">
        <v>74</v>
      </c>
      <c r="BH261" t="s">
        <v>74</v>
      </c>
      <c r="BI261">
        <v>20</v>
      </c>
      <c r="BJ261" t="s">
        <v>372</v>
      </c>
      <c r="BK261" t="s">
        <v>91</v>
      </c>
      <c r="BL261" t="s">
        <v>373</v>
      </c>
      <c r="BM261" t="s">
        <v>1135</v>
      </c>
      <c r="BN261" t="s">
        <v>74</v>
      </c>
      <c r="BO261" t="s">
        <v>4155</v>
      </c>
      <c r="BP261" t="s">
        <v>74</v>
      </c>
      <c r="BQ261" t="s">
        <v>74</v>
      </c>
      <c r="BR261" t="s">
        <v>93</v>
      </c>
      <c r="BS261" t="s">
        <v>5280</v>
      </c>
      <c r="BT261" t="str">
        <f>HYPERLINK("https%3A%2F%2Fwww.webofscience.com%2Fwos%2Fwoscc%2Ffull-record%2FWOS:000354442400012","View Full Record in Web of Science")</f>
        <v>View Full Record in Web of Science</v>
      </c>
    </row>
    <row r="262" spans="1:72" x14ac:dyDescent="0.15">
      <c r="A262" t="s">
        <v>72</v>
      </c>
      <c r="B262" t="s">
        <v>5281</v>
      </c>
      <c r="C262" t="s">
        <v>74</v>
      </c>
      <c r="D262" t="s">
        <v>74</v>
      </c>
      <c r="E262" t="s">
        <v>74</v>
      </c>
      <c r="F262" t="s">
        <v>5282</v>
      </c>
      <c r="G262" t="s">
        <v>74</v>
      </c>
      <c r="H262" t="s">
        <v>74</v>
      </c>
      <c r="I262" t="s">
        <v>5283</v>
      </c>
      <c r="J262" t="s">
        <v>1074</v>
      </c>
      <c r="K262" t="s">
        <v>74</v>
      </c>
      <c r="L262" t="s">
        <v>74</v>
      </c>
      <c r="M262" t="s">
        <v>78</v>
      </c>
      <c r="N262" t="s">
        <v>99</v>
      </c>
      <c r="O262" t="s">
        <v>74</v>
      </c>
      <c r="P262" t="s">
        <v>74</v>
      </c>
      <c r="Q262" t="s">
        <v>74</v>
      </c>
      <c r="R262" t="s">
        <v>74</v>
      </c>
      <c r="S262" t="s">
        <v>74</v>
      </c>
      <c r="T262" t="s">
        <v>74</v>
      </c>
      <c r="U262" t="s">
        <v>5284</v>
      </c>
      <c r="V262" t="s">
        <v>5285</v>
      </c>
      <c r="W262" t="s">
        <v>5286</v>
      </c>
      <c r="X262" t="s">
        <v>5287</v>
      </c>
      <c r="Y262" t="s">
        <v>5288</v>
      </c>
      <c r="Z262" t="s">
        <v>5289</v>
      </c>
      <c r="AA262" t="s">
        <v>5290</v>
      </c>
      <c r="AB262" t="s">
        <v>5291</v>
      </c>
      <c r="AC262" t="s">
        <v>5292</v>
      </c>
      <c r="AD262" t="s">
        <v>5293</v>
      </c>
      <c r="AE262" t="s">
        <v>5294</v>
      </c>
      <c r="AF262" t="s">
        <v>74</v>
      </c>
      <c r="AG262">
        <v>20</v>
      </c>
      <c r="AH262">
        <v>38</v>
      </c>
      <c r="AI262">
        <v>38</v>
      </c>
      <c r="AJ262">
        <v>0</v>
      </c>
      <c r="AK262">
        <v>14</v>
      </c>
      <c r="AL262" t="s">
        <v>244</v>
      </c>
      <c r="AM262" t="s">
        <v>245</v>
      </c>
      <c r="AN262" t="s">
        <v>246</v>
      </c>
      <c r="AO262" t="s">
        <v>1086</v>
      </c>
      <c r="AP262" t="s">
        <v>1087</v>
      </c>
      <c r="AQ262" t="s">
        <v>74</v>
      </c>
      <c r="AR262" t="s">
        <v>1074</v>
      </c>
      <c r="AS262" t="s">
        <v>1088</v>
      </c>
      <c r="AT262" t="s">
        <v>74</v>
      </c>
      <c r="AU262">
        <v>2015</v>
      </c>
      <c r="AV262">
        <v>9</v>
      </c>
      <c r="AW262">
        <v>3</v>
      </c>
      <c r="AX262" t="s">
        <v>74</v>
      </c>
      <c r="AY262" t="s">
        <v>74</v>
      </c>
      <c r="AZ262" t="s">
        <v>74</v>
      </c>
      <c r="BA262" t="s">
        <v>74</v>
      </c>
      <c r="BB262">
        <v>1223</v>
      </c>
      <c r="BC262">
        <v>1227</v>
      </c>
      <c r="BD262" t="s">
        <v>74</v>
      </c>
      <c r="BE262" t="s">
        <v>5295</v>
      </c>
      <c r="BF262" t="str">
        <f>HYPERLINK("http://dx.doi.org/10.5194/tc-9-1223-2015","http://dx.doi.org/10.5194/tc-9-1223-2015")</f>
        <v>http://dx.doi.org/10.5194/tc-9-1223-2015</v>
      </c>
      <c r="BG262" t="s">
        <v>74</v>
      </c>
      <c r="BH262" t="s">
        <v>74</v>
      </c>
      <c r="BI262">
        <v>5</v>
      </c>
      <c r="BJ262" t="s">
        <v>372</v>
      </c>
      <c r="BK262" t="s">
        <v>91</v>
      </c>
      <c r="BL262" t="s">
        <v>373</v>
      </c>
      <c r="BM262" t="s">
        <v>5296</v>
      </c>
      <c r="BN262" t="s">
        <v>74</v>
      </c>
      <c r="BO262" t="s">
        <v>5297</v>
      </c>
      <c r="BP262" t="s">
        <v>74</v>
      </c>
      <c r="BQ262" t="s">
        <v>74</v>
      </c>
      <c r="BR262" t="s">
        <v>93</v>
      </c>
      <c r="BS262" t="s">
        <v>5298</v>
      </c>
      <c r="BT262" t="str">
        <f>HYPERLINK("https%3A%2F%2Fwww.webofscience.com%2Fwos%2Fwoscc%2Ffull-record%2FWOS:000360659200014","View Full Record in Web of Science")</f>
        <v>View Full Record in Web of Science</v>
      </c>
    </row>
    <row r="263" spans="1:72" x14ac:dyDescent="0.15">
      <c r="A263" t="s">
        <v>72</v>
      </c>
      <c r="B263" t="s">
        <v>5299</v>
      </c>
      <c r="C263" t="s">
        <v>74</v>
      </c>
      <c r="D263" t="s">
        <v>74</v>
      </c>
      <c r="E263" t="s">
        <v>74</v>
      </c>
      <c r="F263" t="s">
        <v>5300</v>
      </c>
      <c r="G263" t="s">
        <v>74</v>
      </c>
      <c r="H263" t="s">
        <v>74</v>
      </c>
      <c r="I263" t="s">
        <v>5301</v>
      </c>
      <c r="J263" t="s">
        <v>1074</v>
      </c>
      <c r="K263" t="s">
        <v>74</v>
      </c>
      <c r="L263" t="s">
        <v>74</v>
      </c>
      <c r="M263" t="s">
        <v>78</v>
      </c>
      <c r="N263" t="s">
        <v>99</v>
      </c>
      <c r="O263" t="s">
        <v>74</v>
      </c>
      <c r="P263" t="s">
        <v>74</v>
      </c>
      <c r="Q263" t="s">
        <v>74</v>
      </c>
      <c r="R263" t="s">
        <v>74</v>
      </c>
      <c r="S263" t="s">
        <v>74</v>
      </c>
      <c r="T263" t="s">
        <v>74</v>
      </c>
      <c r="U263" t="s">
        <v>5302</v>
      </c>
      <c r="V263" t="s">
        <v>5303</v>
      </c>
      <c r="W263" t="s">
        <v>5304</v>
      </c>
      <c r="X263" t="s">
        <v>5305</v>
      </c>
      <c r="Y263" t="s">
        <v>5306</v>
      </c>
      <c r="Z263" t="s">
        <v>5307</v>
      </c>
      <c r="AA263" t="s">
        <v>5308</v>
      </c>
      <c r="AB263" t="s">
        <v>5309</v>
      </c>
      <c r="AC263" t="s">
        <v>5310</v>
      </c>
      <c r="AD263" t="s">
        <v>5311</v>
      </c>
      <c r="AE263" t="s">
        <v>5312</v>
      </c>
      <c r="AF263" t="s">
        <v>74</v>
      </c>
      <c r="AG263">
        <v>56</v>
      </c>
      <c r="AH263">
        <v>114</v>
      </c>
      <c r="AI263">
        <v>122</v>
      </c>
      <c r="AJ263">
        <v>0</v>
      </c>
      <c r="AK263">
        <v>56</v>
      </c>
      <c r="AL263" t="s">
        <v>244</v>
      </c>
      <c r="AM263" t="s">
        <v>245</v>
      </c>
      <c r="AN263" t="s">
        <v>246</v>
      </c>
      <c r="AO263" t="s">
        <v>1086</v>
      </c>
      <c r="AP263" t="s">
        <v>1087</v>
      </c>
      <c r="AQ263" t="s">
        <v>74</v>
      </c>
      <c r="AR263" t="s">
        <v>1074</v>
      </c>
      <c r="AS263" t="s">
        <v>1088</v>
      </c>
      <c r="AT263" t="s">
        <v>74</v>
      </c>
      <c r="AU263">
        <v>2015</v>
      </c>
      <c r="AV263">
        <v>9</v>
      </c>
      <c r="AW263">
        <v>4</v>
      </c>
      <c r="AX263" t="s">
        <v>74</v>
      </c>
      <c r="AY263" t="s">
        <v>74</v>
      </c>
      <c r="AZ263" t="s">
        <v>74</v>
      </c>
      <c r="BA263" t="s">
        <v>74</v>
      </c>
      <c r="BB263">
        <v>1579</v>
      </c>
      <c r="BC263">
        <v>1600</v>
      </c>
      <c r="BD263" t="s">
        <v>74</v>
      </c>
      <c r="BE263" t="s">
        <v>5313</v>
      </c>
      <c r="BF263" t="str">
        <f>HYPERLINK("http://dx.doi.org/10.5194/tc-9-1579-2015","http://dx.doi.org/10.5194/tc-9-1579-2015")</f>
        <v>http://dx.doi.org/10.5194/tc-9-1579-2015</v>
      </c>
      <c r="BG263" t="s">
        <v>74</v>
      </c>
      <c r="BH263" t="s">
        <v>74</v>
      </c>
      <c r="BI263">
        <v>22</v>
      </c>
      <c r="BJ263" t="s">
        <v>372</v>
      </c>
      <c r="BK263" t="s">
        <v>91</v>
      </c>
      <c r="BL263" t="s">
        <v>373</v>
      </c>
      <c r="BM263" t="s">
        <v>5314</v>
      </c>
      <c r="BN263" t="s">
        <v>74</v>
      </c>
      <c r="BO263" t="s">
        <v>680</v>
      </c>
      <c r="BP263" t="s">
        <v>74</v>
      </c>
      <c r="BQ263" t="s">
        <v>74</v>
      </c>
      <c r="BR263" t="s">
        <v>93</v>
      </c>
      <c r="BS263" t="s">
        <v>5315</v>
      </c>
      <c r="BT263" t="str">
        <f>HYPERLINK("https%3A%2F%2Fwww.webofscience.com%2Fwos%2Fwoscc%2Ffull-record%2FWOS:000360661700017","View Full Record in Web of Science")</f>
        <v>View Full Record in Web of Science</v>
      </c>
    </row>
    <row r="264" spans="1:72" x14ac:dyDescent="0.15">
      <c r="A264" t="s">
        <v>72</v>
      </c>
      <c r="B264" t="s">
        <v>5316</v>
      </c>
      <c r="C264" t="s">
        <v>74</v>
      </c>
      <c r="D264" t="s">
        <v>74</v>
      </c>
      <c r="E264" t="s">
        <v>74</v>
      </c>
      <c r="F264" t="s">
        <v>5317</v>
      </c>
      <c r="G264" t="s">
        <v>74</v>
      </c>
      <c r="H264" t="s">
        <v>74</v>
      </c>
      <c r="I264" t="s">
        <v>5318</v>
      </c>
      <c r="J264" t="s">
        <v>1074</v>
      </c>
      <c r="K264" t="s">
        <v>74</v>
      </c>
      <c r="L264" t="s">
        <v>74</v>
      </c>
      <c r="M264" t="s">
        <v>78</v>
      </c>
      <c r="N264" t="s">
        <v>99</v>
      </c>
      <c r="O264" t="s">
        <v>74</v>
      </c>
      <c r="P264" t="s">
        <v>74</v>
      </c>
      <c r="Q264" t="s">
        <v>74</v>
      </c>
      <c r="R264" t="s">
        <v>74</v>
      </c>
      <c r="S264" t="s">
        <v>74</v>
      </c>
      <c r="T264" t="s">
        <v>74</v>
      </c>
      <c r="U264" t="s">
        <v>5319</v>
      </c>
      <c r="V264" t="s">
        <v>5320</v>
      </c>
      <c r="W264" t="s">
        <v>5321</v>
      </c>
      <c r="X264" t="s">
        <v>5322</v>
      </c>
      <c r="Y264" t="s">
        <v>5323</v>
      </c>
      <c r="Z264" t="s">
        <v>5324</v>
      </c>
      <c r="AA264" t="s">
        <v>5325</v>
      </c>
      <c r="AB264" t="s">
        <v>5326</v>
      </c>
      <c r="AC264" t="s">
        <v>5327</v>
      </c>
      <c r="AD264" t="s">
        <v>5328</v>
      </c>
      <c r="AE264" t="s">
        <v>5329</v>
      </c>
      <c r="AF264" t="s">
        <v>74</v>
      </c>
      <c r="AG264">
        <v>80</v>
      </c>
      <c r="AH264">
        <v>31</v>
      </c>
      <c r="AI264">
        <v>32</v>
      </c>
      <c r="AJ264">
        <v>1</v>
      </c>
      <c r="AK264">
        <v>43</v>
      </c>
      <c r="AL264" t="s">
        <v>244</v>
      </c>
      <c r="AM264" t="s">
        <v>245</v>
      </c>
      <c r="AN264" t="s">
        <v>246</v>
      </c>
      <c r="AO264" t="s">
        <v>1086</v>
      </c>
      <c r="AP264" t="s">
        <v>1087</v>
      </c>
      <c r="AQ264" t="s">
        <v>74</v>
      </c>
      <c r="AR264" t="s">
        <v>1074</v>
      </c>
      <c r="AS264" t="s">
        <v>1088</v>
      </c>
      <c r="AT264" t="s">
        <v>74</v>
      </c>
      <c r="AU264">
        <v>2015</v>
      </c>
      <c r="AV264">
        <v>9</v>
      </c>
      <c r="AW264">
        <v>4</v>
      </c>
      <c r="AX264" t="s">
        <v>74</v>
      </c>
      <c r="AY264" t="s">
        <v>74</v>
      </c>
      <c r="AZ264" t="s">
        <v>74</v>
      </c>
      <c r="BA264" t="s">
        <v>74</v>
      </c>
      <c r="BB264">
        <v>1633</v>
      </c>
      <c r="BC264">
        <v>1648</v>
      </c>
      <c r="BD264" t="s">
        <v>74</v>
      </c>
      <c r="BE264" t="s">
        <v>5330</v>
      </c>
      <c r="BF264" t="str">
        <f>HYPERLINK("http://dx.doi.org/10.5194/tc-9-1633-2015","http://dx.doi.org/10.5194/tc-9-1633-2015")</f>
        <v>http://dx.doi.org/10.5194/tc-9-1633-2015</v>
      </c>
      <c r="BG264" t="s">
        <v>74</v>
      </c>
      <c r="BH264" t="s">
        <v>74</v>
      </c>
      <c r="BI264">
        <v>16</v>
      </c>
      <c r="BJ264" t="s">
        <v>372</v>
      </c>
      <c r="BK264" t="s">
        <v>91</v>
      </c>
      <c r="BL264" t="s">
        <v>373</v>
      </c>
      <c r="BM264" t="s">
        <v>5314</v>
      </c>
      <c r="BN264" t="s">
        <v>74</v>
      </c>
      <c r="BO264" t="s">
        <v>5331</v>
      </c>
      <c r="BP264" t="s">
        <v>74</v>
      </c>
      <c r="BQ264" t="s">
        <v>74</v>
      </c>
      <c r="BR264" t="s">
        <v>93</v>
      </c>
      <c r="BS264" t="s">
        <v>5332</v>
      </c>
      <c r="BT264" t="str">
        <f>HYPERLINK("https%3A%2F%2Fwww.webofscience.com%2Fwos%2Fwoscc%2Ffull-record%2FWOS:000360661700020","View Full Record in Web of Science")</f>
        <v>View Full Record in Web of Science</v>
      </c>
    </row>
    <row r="265" spans="1:72" x14ac:dyDescent="0.15">
      <c r="A265" t="s">
        <v>72</v>
      </c>
      <c r="B265" t="s">
        <v>5333</v>
      </c>
      <c r="C265" t="s">
        <v>74</v>
      </c>
      <c r="D265" t="s">
        <v>74</v>
      </c>
      <c r="E265" t="s">
        <v>74</v>
      </c>
      <c r="F265" t="s">
        <v>5334</v>
      </c>
      <c r="G265" t="s">
        <v>74</v>
      </c>
      <c r="H265" t="s">
        <v>74</v>
      </c>
      <c r="I265" t="s">
        <v>5335</v>
      </c>
      <c r="J265" t="s">
        <v>1074</v>
      </c>
      <c r="K265" t="s">
        <v>74</v>
      </c>
      <c r="L265" t="s">
        <v>74</v>
      </c>
      <c r="M265" t="s">
        <v>78</v>
      </c>
      <c r="N265" t="s">
        <v>99</v>
      </c>
      <c r="O265" t="s">
        <v>74</v>
      </c>
      <c r="P265" t="s">
        <v>74</v>
      </c>
      <c r="Q265" t="s">
        <v>74</v>
      </c>
      <c r="R265" t="s">
        <v>74</v>
      </c>
      <c r="S265" t="s">
        <v>74</v>
      </c>
      <c r="T265" t="s">
        <v>74</v>
      </c>
      <c r="U265" t="s">
        <v>5336</v>
      </c>
      <c r="V265" t="s">
        <v>5337</v>
      </c>
      <c r="W265" t="s">
        <v>5338</v>
      </c>
      <c r="X265" t="s">
        <v>5339</v>
      </c>
      <c r="Y265" t="s">
        <v>5340</v>
      </c>
      <c r="Z265" t="s">
        <v>5341</v>
      </c>
      <c r="AA265" t="s">
        <v>5342</v>
      </c>
      <c r="AB265" t="s">
        <v>5343</v>
      </c>
      <c r="AC265" t="s">
        <v>5344</v>
      </c>
      <c r="AD265" t="s">
        <v>5345</v>
      </c>
      <c r="AE265" t="s">
        <v>5346</v>
      </c>
      <c r="AF265" t="s">
        <v>74</v>
      </c>
      <c r="AG265">
        <v>37</v>
      </c>
      <c r="AH265">
        <v>36</v>
      </c>
      <c r="AI265">
        <v>36</v>
      </c>
      <c r="AJ265">
        <v>0</v>
      </c>
      <c r="AK265">
        <v>11</v>
      </c>
      <c r="AL265" t="s">
        <v>244</v>
      </c>
      <c r="AM265" t="s">
        <v>245</v>
      </c>
      <c r="AN265" t="s">
        <v>246</v>
      </c>
      <c r="AO265" t="s">
        <v>1086</v>
      </c>
      <c r="AP265" t="s">
        <v>1087</v>
      </c>
      <c r="AQ265" t="s">
        <v>74</v>
      </c>
      <c r="AR265" t="s">
        <v>1074</v>
      </c>
      <c r="AS265" t="s">
        <v>1088</v>
      </c>
      <c r="AT265" t="s">
        <v>74</v>
      </c>
      <c r="AU265">
        <v>2015</v>
      </c>
      <c r="AV265">
        <v>9</v>
      </c>
      <c r="AW265">
        <v>4</v>
      </c>
      <c r="AX265" t="s">
        <v>74</v>
      </c>
      <c r="AY265" t="s">
        <v>74</v>
      </c>
      <c r="AZ265" t="s">
        <v>74</v>
      </c>
      <c r="BA265" t="s">
        <v>74</v>
      </c>
      <c r="BB265">
        <v>1649</v>
      </c>
      <c r="BC265">
        <v>1661</v>
      </c>
      <c r="BD265" t="s">
        <v>74</v>
      </c>
      <c r="BE265" t="s">
        <v>5347</v>
      </c>
      <c r="BF265" t="str">
        <f>HYPERLINK("http://dx.doi.org/10.5194/tc-9-1649-2015","http://dx.doi.org/10.5194/tc-9-1649-2015")</f>
        <v>http://dx.doi.org/10.5194/tc-9-1649-2015</v>
      </c>
      <c r="BG265" t="s">
        <v>74</v>
      </c>
      <c r="BH265" t="s">
        <v>74</v>
      </c>
      <c r="BI265">
        <v>13</v>
      </c>
      <c r="BJ265" t="s">
        <v>372</v>
      </c>
      <c r="BK265" t="s">
        <v>91</v>
      </c>
      <c r="BL265" t="s">
        <v>373</v>
      </c>
      <c r="BM265" t="s">
        <v>5314</v>
      </c>
      <c r="BN265" t="s">
        <v>74</v>
      </c>
      <c r="BO265" t="s">
        <v>4155</v>
      </c>
      <c r="BP265" t="s">
        <v>74</v>
      </c>
      <c r="BQ265" t="s">
        <v>74</v>
      </c>
      <c r="BR265" t="s">
        <v>93</v>
      </c>
      <c r="BS265" t="s">
        <v>5348</v>
      </c>
      <c r="BT265" t="str">
        <f>HYPERLINK("https%3A%2F%2Fwww.webofscience.com%2Fwos%2Fwoscc%2Ffull-record%2FWOS:000360661700021","View Full Record in Web of Science")</f>
        <v>View Full Record in Web of Science</v>
      </c>
    </row>
    <row r="266" spans="1:72" x14ac:dyDescent="0.15">
      <c r="A266" t="s">
        <v>72</v>
      </c>
      <c r="B266" t="s">
        <v>5349</v>
      </c>
      <c r="C266" t="s">
        <v>74</v>
      </c>
      <c r="D266" t="s">
        <v>74</v>
      </c>
      <c r="E266" t="s">
        <v>74</v>
      </c>
      <c r="F266" t="s">
        <v>5350</v>
      </c>
      <c r="G266" t="s">
        <v>74</v>
      </c>
      <c r="H266" t="s">
        <v>74</v>
      </c>
      <c r="I266" t="s">
        <v>5351</v>
      </c>
      <c r="J266" t="s">
        <v>1074</v>
      </c>
      <c r="K266" t="s">
        <v>74</v>
      </c>
      <c r="L266" t="s">
        <v>74</v>
      </c>
      <c r="M266" t="s">
        <v>78</v>
      </c>
      <c r="N266" t="s">
        <v>99</v>
      </c>
      <c r="O266" t="s">
        <v>74</v>
      </c>
      <c r="P266" t="s">
        <v>74</v>
      </c>
      <c r="Q266" t="s">
        <v>74</v>
      </c>
      <c r="R266" t="s">
        <v>74</v>
      </c>
      <c r="S266" t="s">
        <v>74</v>
      </c>
      <c r="T266" t="s">
        <v>74</v>
      </c>
      <c r="U266" t="s">
        <v>5352</v>
      </c>
      <c r="V266" t="s">
        <v>5353</v>
      </c>
      <c r="W266" t="s">
        <v>5354</v>
      </c>
      <c r="X266" t="s">
        <v>5355</v>
      </c>
      <c r="Y266" t="s">
        <v>5356</v>
      </c>
      <c r="Z266" t="s">
        <v>5357</v>
      </c>
      <c r="AA266" t="s">
        <v>5358</v>
      </c>
      <c r="AB266" t="s">
        <v>5359</v>
      </c>
      <c r="AC266" t="s">
        <v>5360</v>
      </c>
      <c r="AD266" t="s">
        <v>5361</v>
      </c>
      <c r="AE266" t="s">
        <v>5362</v>
      </c>
      <c r="AF266" t="s">
        <v>74</v>
      </c>
      <c r="AG266">
        <v>60</v>
      </c>
      <c r="AH266">
        <v>12</v>
      </c>
      <c r="AI266">
        <v>12</v>
      </c>
      <c r="AJ266">
        <v>1</v>
      </c>
      <c r="AK266">
        <v>17</v>
      </c>
      <c r="AL266" t="s">
        <v>244</v>
      </c>
      <c r="AM266" t="s">
        <v>245</v>
      </c>
      <c r="AN266" t="s">
        <v>246</v>
      </c>
      <c r="AO266" t="s">
        <v>1086</v>
      </c>
      <c r="AP266" t="s">
        <v>1087</v>
      </c>
      <c r="AQ266" t="s">
        <v>74</v>
      </c>
      <c r="AR266" t="s">
        <v>1074</v>
      </c>
      <c r="AS266" t="s">
        <v>1088</v>
      </c>
      <c r="AT266" t="s">
        <v>74</v>
      </c>
      <c r="AU266">
        <v>2015</v>
      </c>
      <c r="AV266">
        <v>9</v>
      </c>
      <c r="AW266">
        <v>6</v>
      </c>
      <c r="AX266" t="s">
        <v>74</v>
      </c>
      <c r="AY266" t="s">
        <v>74</v>
      </c>
      <c r="AZ266" t="s">
        <v>74</v>
      </c>
      <c r="BA266" t="s">
        <v>74</v>
      </c>
      <c r="BB266">
        <v>2043</v>
      </c>
      <c r="BC266">
        <v>2055</v>
      </c>
      <c r="BD266" t="s">
        <v>74</v>
      </c>
      <c r="BE266" t="s">
        <v>5363</v>
      </c>
      <c r="BF266" t="str">
        <f>HYPERLINK("http://dx.doi.org/10.5194/tc-9-2043-2015","http://dx.doi.org/10.5194/tc-9-2043-2015")</f>
        <v>http://dx.doi.org/10.5194/tc-9-2043-2015</v>
      </c>
      <c r="BG266" t="s">
        <v>74</v>
      </c>
      <c r="BH266" t="s">
        <v>74</v>
      </c>
      <c r="BI266">
        <v>13</v>
      </c>
      <c r="BJ266" t="s">
        <v>372</v>
      </c>
      <c r="BK266" t="s">
        <v>91</v>
      </c>
      <c r="BL266" t="s">
        <v>373</v>
      </c>
      <c r="BM266" t="s">
        <v>5364</v>
      </c>
      <c r="BN266" t="s">
        <v>74</v>
      </c>
      <c r="BO266" t="s">
        <v>720</v>
      </c>
      <c r="BP266" t="s">
        <v>74</v>
      </c>
      <c r="BQ266" t="s">
        <v>74</v>
      </c>
      <c r="BR266" t="s">
        <v>93</v>
      </c>
      <c r="BS266" t="s">
        <v>5365</v>
      </c>
      <c r="BT266" t="str">
        <f>HYPERLINK("https%3A%2F%2Fwww.webofscience.com%2Fwos%2Fwoscc%2Ffull-record%2FWOS:000367523400003","View Full Record in Web of Science")</f>
        <v>View Full Record in Web of Science</v>
      </c>
    </row>
    <row r="267" spans="1:72" x14ac:dyDescent="0.15">
      <c r="A267" t="s">
        <v>72</v>
      </c>
      <c r="B267" t="s">
        <v>5366</v>
      </c>
      <c r="C267" t="s">
        <v>74</v>
      </c>
      <c r="D267" t="s">
        <v>74</v>
      </c>
      <c r="E267" t="s">
        <v>74</v>
      </c>
      <c r="F267" t="s">
        <v>5367</v>
      </c>
      <c r="G267" t="s">
        <v>74</v>
      </c>
      <c r="H267" t="s">
        <v>74</v>
      </c>
      <c r="I267" t="s">
        <v>5368</v>
      </c>
      <c r="J267" t="s">
        <v>1074</v>
      </c>
      <c r="K267" t="s">
        <v>74</v>
      </c>
      <c r="L267" t="s">
        <v>74</v>
      </c>
      <c r="M267" t="s">
        <v>78</v>
      </c>
      <c r="N267" t="s">
        <v>99</v>
      </c>
      <c r="O267" t="s">
        <v>74</v>
      </c>
      <c r="P267" t="s">
        <v>74</v>
      </c>
      <c r="Q267" t="s">
        <v>74</v>
      </c>
      <c r="R267" t="s">
        <v>74</v>
      </c>
      <c r="S267" t="s">
        <v>74</v>
      </c>
      <c r="T267" t="s">
        <v>74</v>
      </c>
      <c r="U267" t="s">
        <v>5369</v>
      </c>
      <c r="V267" t="s">
        <v>5370</v>
      </c>
      <c r="W267" t="s">
        <v>5371</v>
      </c>
      <c r="X267" t="s">
        <v>5372</v>
      </c>
      <c r="Y267" t="s">
        <v>5373</v>
      </c>
      <c r="Z267" t="s">
        <v>5374</v>
      </c>
      <c r="AA267" t="s">
        <v>5375</v>
      </c>
      <c r="AB267" t="s">
        <v>5376</v>
      </c>
      <c r="AC267" t="s">
        <v>5377</v>
      </c>
      <c r="AD267" t="s">
        <v>5378</v>
      </c>
      <c r="AE267" t="s">
        <v>5379</v>
      </c>
      <c r="AF267" t="s">
        <v>74</v>
      </c>
      <c r="AG267">
        <v>81</v>
      </c>
      <c r="AH267">
        <v>31</v>
      </c>
      <c r="AI267">
        <v>33</v>
      </c>
      <c r="AJ267">
        <v>0</v>
      </c>
      <c r="AK267">
        <v>17</v>
      </c>
      <c r="AL267" t="s">
        <v>244</v>
      </c>
      <c r="AM267" t="s">
        <v>245</v>
      </c>
      <c r="AN267" t="s">
        <v>246</v>
      </c>
      <c r="AO267" t="s">
        <v>1086</v>
      </c>
      <c r="AP267" t="s">
        <v>1087</v>
      </c>
      <c r="AQ267" t="s">
        <v>74</v>
      </c>
      <c r="AR267" t="s">
        <v>1074</v>
      </c>
      <c r="AS267" t="s">
        <v>1088</v>
      </c>
      <c r="AT267" t="s">
        <v>74</v>
      </c>
      <c r="AU267">
        <v>2015</v>
      </c>
      <c r="AV267">
        <v>9</v>
      </c>
      <c r="AW267">
        <v>6</v>
      </c>
      <c r="AX267" t="s">
        <v>74</v>
      </c>
      <c r="AY267" t="s">
        <v>74</v>
      </c>
      <c r="AZ267" t="s">
        <v>74</v>
      </c>
      <c r="BA267" t="s">
        <v>74</v>
      </c>
      <c r="BB267">
        <v>2253</v>
      </c>
      <c r="BC267">
        <v>2270</v>
      </c>
      <c r="BD267" t="s">
        <v>74</v>
      </c>
      <c r="BE267" t="s">
        <v>5380</v>
      </c>
      <c r="BF267" t="str">
        <f>HYPERLINK("http://dx.doi.org/10.5194/tc-9-2253-2015","http://dx.doi.org/10.5194/tc-9-2253-2015")</f>
        <v>http://dx.doi.org/10.5194/tc-9-2253-2015</v>
      </c>
      <c r="BG267" t="s">
        <v>74</v>
      </c>
      <c r="BH267" t="s">
        <v>74</v>
      </c>
      <c r="BI267">
        <v>18</v>
      </c>
      <c r="BJ267" t="s">
        <v>372</v>
      </c>
      <c r="BK267" t="s">
        <v>91</v>
      </c>
      <c r="BL267" t="s">
        <v>373</v>
      </c>
      <c r="BM267" t="s">
        <v>5364</v>
      </c>
      <c r="BN267" t="s">
        <v>74</v>
      </c>
      <c r="BO267" t="s">
        <v>255</v>
      </c>
      <c r="BP267" t="s">
        <v>74</v>
      </c>
      <c r="BQ267" t="s">
        <v>74</v>
      </c>
      <c r="BR267" t="s">
        <v>93</v>
      </c>
      <c r="BS267" t="s">
        <v>5381</v>
      </c>
      <c r="BT267" t="str">
        <f>HYPERLINK("https%3A%2F%2Fwww.webofscience.com%2Fwos%2Fwoscc%2Ffull-record%2FWOS:000367523400016","View Full Record in Web of Science")</f>
        <v>View Full Record in Web of Science</v>
      </c>
    </row>
    <row r="268" spans="1:72" x14ac:dyDescent="0.15">
      <c r="A268" t="s">
        <v>72</v>
      </c>
      <c r="B268" t="s">
        <v>5382</v>
      </c>
      <c r="C268" t="s">
        <v>74</v>
      </c>
      <c r="D268" t="s">
        <v>74</v>
      </c>
      <c r="E268" t="s">
        <v>74</v>
      </c>
      <c r="F268" t="s">
        <v>5383</v>
      </c>
      <c r="G268" t="s">
        <v>74</v>
      </c>
      <c r="H268" t="s">
        <v>74</v>
      </c>
      <c r="I268" t="s">
        <v>5384</v>
      </c>
      <c r="J268" t="s">
        <v>1074</v>
      </c>
      <c r="K268" t="s">
        <v>74</v>
      </c>
      <c r="L268" t="s">
        <v>74</v>
      </c>
      <c r="M268" t="s">
        <v>78</v>
      </c>
      <c r="N268" t="s">
        <v>99</v>
      </c>
      <c r="O268" t="s">
        <v>74</v>
      </c>
      <c r="P268" t="s">
        <v>74</v>
      </c>
      <c r="Q268" t="s">
        <v>74</v>
      </c>
      <c r="R268" t="s">
        <v>74</v>
      </c>
      <c r="S268" t="s">
        <v>74</v>
      </c>
      <c r="T268" t="s">
        <v>74</v>
      </c>
      <c r="U268" t="s">
        <v>5385</v>
      </c>
      <c r="V268" t="s">
        <v>5386</v>
      </c>
      <c r="W268" t="s">
        <v>5387</v>
      </c>
      <c r="X268" t="s">
        <v>5388</v>
      </c>
      <c r="Y268" t="s">
        <v>5389</v>
      </c>
      <c r="Z268" t="s">
        <v>5390</v>
      </c>
      <c r="AA268" t="s">
        <v>5391</v>
      </c>
      <c r="AB268" t="s">
        <v>5392</v>
      </c>
      <c r="AC268" t="s">
        <v>74</v>
      </c>
      <c r="AD268" t="s">
        <v>74</v>
      </c>
      <c r="AE268" t="s">
        <v>74</v>
      </c>
      <c r="AF268" t="s">
        <v>74</v>
      </c>
      <c r="AG268">
        <v>24</v>
      </c>
      <c r="AH268">
        <v>55</v>
      </c>
      <c r="AI268">
        <v>57</v>
      </c>
      <c r="AJ268">
        <v>3</v>
      </c>
      <c r="AK268">
        <v>23</v>
      </c>
      <c r="AL268" t="s">
        <v>244</v>
      </c>
      <c r="AM268" t="s">
        <v>245</v>
      </c>
      <c r="AN268" t="s">
        <v>246</v>
      </c>
      <c r="AO268" t="s">
        <v>1086</v>
      </c>
      <c r="AP268" t="s">
        <v>1087</v>
      </c>
      <c r="AQ268" t="s">
        <v>74</v>
      </c>
      <c r="AR268" t="s">
        <v>1074</v>
      </c>
      <c r="AS268" t="s">
        <v>1088</v>
      </c>
      <c r="AT268" t="s">
        <v>74</v>
      </c>
      <c r="AU268">
        <v>2015</v>
      </c>
      <c r="AV268">
        <v>9</v>
      </c>
      <c r="AW268">
        <v>6</v>
      </c>
      <c r="AX268" t="s">
        <v>74</v>
      </c>
      <c r="AY268" t="s">
        <v>74</v>
      </c>
      <c r="AZ268" t="s">
        <v>74</v>
      </c>
      <c r="BA268" t="s">
        <v>74</v>
      </c>
      <c r="BB268">
        <v>2311</v>
      </c>
      <c r="BC268">
        <v>2321</v>
      </c>
      <c r="BD268" t="s">
        <v>74</v>
      </c>
      <c r="BE268" t="s">
        <v>5393</v>
      </c>
      <c r="BF268" t="str">
        <f>HYPERLINK("http://dx.doi.org/10.5194/tc-9-2311-2015","http://dx.doi.org/10.5194/tc-9-2311-2015")</f>
        <v>http://dx.doi.org/10.5194/tc-9-2311-2015</v>
      </c>
      <c r="BG268" t="s">
        <v>74</v>
      </c>
      <c r="BH268" t="s">
        <v>74</v>
      </c>
      <c r="BI268">
        <v>11</v>
      </c>
      <c r="BJ268" t="s">
        <v>372</v>
      </c>
      <c r="BK268" t="s">
        <v>91</v>
      </c>
      <c r="BL268" t="s">
        <v>373</v>
      </c>
      <c r="BM268" t="s">
        <v>5364</v>
      </c>
      <c r="BN268" t="s">
        <v>74</v>
      </c>
      <c r="BO268" t="s">
        <v>228</v>
      </c>
      <c r="BP268" t="s">
        <v>74</v>
      </c>
      <c r="BQ268" t="s">
        <v>74</v>
      </c>
      <c r="BR268" t="s">
        <v>93</v>
      </c>
      <c r="BS268" t="s">
        <v>5394</v>
      </c>
      <c r="BT268" t="str">
        <f>HYPERLINK("https%3A%2F%2Fwww.webofscience.com%2Fwos%2Fwoscc%2Ffull-record%2FWOS:000367523400019","View Full Record in Web of Science")</f>
        <v>View Full Record in Web of Science</v>
      </c>
    </row>
    <row r="269" spans="1:72" x14ac:dyDescent="0.15">
      <c r="A269" t="s">
        <v>72</v>
      </c>
      <c r="B269" t="s">
        <v>5395</v>
      </c>
      <c r="C269" t="s">
        <v>74</v>
      </c>
      <c r="D269" t="s">
        <v>74</v>
      </c>
      <c r="E269" t="s">
        <v>74</v>
      </c>
      <c r="F269" t="s">
        <v>5396</v>
      </c>
      <c r="G269" t="s">
        <v>74</v>
      </c>
      <c r="H269" t="s">
        <v>74</v>
      </c>
      <c r="I269" t="s">
        <v>5397</v>
      </c>
      <c r="J269" t="s">
        <v>1074</v>
      </c>
      <c r="K269" t="s">
        <v>74</v>
      </c>
      <c r="L269" t="s">
        <v>74</v>
      </c>
      <c r="M269" t="s">
        <v>78</v>
      </c>
      <c r="N269" t="s">
        <v>99</v>
      </c>
      <c r="O269" t="s">
        <v>74</v>
      </c>
      <c r="P269" t="s">
        <v>74</v>
      </c>
      <c r="Q269" t="s">
        <v>74</v>
      </c>
      <c r="R269" t="s">
        <v>74</v>
      </c>
      <c r="S269" t="s">
        <v>74</v>
      </c>
      <c r="T269" t="s">
        <v>74</v>
      </c>
      <c r="U269" t="s">
        <v>5398</v>
      </c>
      <c r="V269" t="s">
        <v>5399</v>
      </c>
      <c r="W269" t="s">
        <v>5400</v>
      </c>
      <c r="X269" t="s">
        <v>5401</v>
      </c>
      <c r="Y269" t="s">
        <v>5402</v>
      </c>
      <c r="Z269" t="s">
        <v>5403</v>
      </c>
      <c r="AA269" t="s">
        <v>5404</v>
      </c>
      <c r="AB269" t="s">
        <v>5405</v>
      </c>
      <c r="AC269" t="s">
        <v>5406</v>
      </c>
      <c r="AD269" t="s">
        <v>5407</v>
      </c>
      <c r="AE269" t="s">
        <v>5408</v>
      </c>
      <c r="AF269" t="s">
        <v>74</v>
      </c>
      <c r="AG269">
        <v>57</v>
      </c>
      <c r="AH269">
        <v>43</v>
      </c>
      <c r="AI269">
        <v>50</v>
      </c>
      <c r="AJ269">
        <v>0</v>
      </c>
      <c r="AK269">
        <v>8</v>
      </c>
      <c r="AL269" t="s">
        <v>244</v>
      </c>
      <c r="AM269" t="s">
        <v>245</v>
      </c>
      <c r="AN269" t="s">
        <v>246</v>
      </c>
      <c r="AO269" t="s">
        <v>1086</v>
      </c>
      <c r="AP269" t="s">
        <v>1087</v>
      </c>
      <c r="AQ269" t="s">
        <v>74</v>
      </c>
      <c r="AR269" t="s">
        <v>1074</v>
      </c>
      <c r="AS269" t="s">
        <v>1088</v>
      </c>
      <c r="AT269" t="s">
        <v>74</v>
      </c>
      <c r="AU269">
        <v>2015</v>
      </c>
      <c r="AV269">
        <v>9</v>
      </c>
      <c r="AW269">
        <v>6</v>
      </c>
      <c r="AX269" t="s">
        <v>74</v>
      </c>
      <c r="AY269" t="s">
        <v>74</v>
      </c>
      <c r="AZ269" t="s">
        <v>74</v>
      </c>
      <c r="BA269" t="s">
        <v>74</v>
      </c>
      <c r="BB269">
        <v>2429</v>
      </c>
      <c r="BC269">
        <v>2446</v>
      </c>
      <c r="BD269" t="s">
        <v>74</v>
      </c>
      <c r="BE269" t="s">
        <v>5409</v>
      </c>
      <c r="BF269" t="str">
        <f>HYPERLINK("http://dx.doi.org/10.5194/tc-9-2429-2015","http://dx.doi.org/10.5194/tc-9-2429-2015")</f>
        <v>http://dx.doi.org/10.5194/tc-9-2429-2015</v>
      </c>
      <c r="BG269" t="s">
        <v>74</v>
      </c>
      <c r="BH269" t="s">
        <v>74</v>
      </c>
      <c r="BI269">
        <v>18</v>
      </c>
      <c r="BJ269" t="s">
        <v>372</v>
      </c>
      <c r="BK269" t="s">
        <v>91</v>
      </c>
      <c r="BL269" t="s">
        <v>373</v>
      </c>
      <c r="BM269" t="s">
        <v>5364</v>
      </c>
      <c r="BN269" t="s">
        <v>74</v>
      </c>
      <c r="BO269" t="s">
        <v>255</v>
      </c>
      <c r="BP269" t="s">
        <v>74</v>
      </c>
      <c r="BQ269" t="s">
        <v>74</v>
      </c>
      <c r="BR269" t="s">
        <v>93</v>
      </c>
      <c r="BS269" t="s">
        <v>5410</v>
      </c>
      <c r="BT269" t="str">
        <f>HYPERLINK("https%3A%2F%2Fwww.webofscience.com%2Fwos%2Fwoscc%2Ffull-record%2FWOS:000367523400027","View Full Record in Web of Science")</f>
        <v>View Full Record in Web of Science</v>
      </c>
    </row>
    <row r="270" spans="1:72" x14ac:dyDescent="0.15">
      <c r="A270" t="s">
        <v>72</v>
      </c>
      <c r="B270" t="s">
        <v>5411</v>
      </c>
      <c r="C270" t="s">
        <v>74</v>
      </c>
      <c r="D270" t="s">
        <v>74</v>
      </c>
      <c r="E270" t="s">
        <v>74</v>
      </c>
      <c r="F270" t="s">
        <v>5412</v>
      </c>
      <c r="G270" t="s">
        <v>74</v>
      </c>
      <c r="H270" t="s">
        <v>74</v>
      </c>
      <c r="I270" t="s">
        <v>5413</v>
      </c>
      <c r="J270" t="s">
        <v>5414</v>
      </c>
      <c r="K270" t="s">
        <v>74</v>
      </c>
      <c r="L270" t="s">
        <v>74</v>
      </c>
      <c r="M270" t="s">
        <v>78</v>
      </c>
      <c r="N270" t="s">
        <v>99</v>
      </c>
      <c r="O270" t="s">
        <v>74</v>
      </c>
      <c r="P270" t="s">
        <v>74</v>
      </c>
      <c r="Q270" t="s">
        <v>74</v>
      </c>
      <c r="R270" t="s">
        <v>74</v>
      </c>
      <c r="S270" t="s">
        <v>74</v>
      </c>
      <c r="T270" t="s">
        <v>5415</v>
      </c>
      <c r="U270" t="s">
        <v>5416</v>
      </c>
      <c r="V270" t="s">
        <v>5417</v>
      </c>
      <c r="W270" t="s">
        <v>5418</v>
      </c>
      <c r="X270" t="s">
        <v>5419</v>
      </c>
      <c r="Y270" t="s">
        <v>5420</v>
      </c>
      <c r="Z270" t="s">
        <v>5421</v>
      </c>
      <c r="AA270" t="s">
        <v>5422</v>
      </c>
      <c r="AB270" t="s">
        <v>5423</v>
      </c>
      <c r="AC270" t="s">
        <v>5424</v>
      </c>
      <c r="AD270" t="s">
        <v>5425</v>
      </c>
      <c r="AE270" t="s">
        <v>5426</v>
      </c>
      <c r="AF270" t="s">
        <v>74</v>
      </c>
      <c r="AG270">
        <v>26</v>
      </c>
      <c r="AH270">
        <v>1</v>
      </c>
      <c r="AI270">
        <v>1</v>
      </c>
      <c r="AJ270">
        <v>2</v>
      </c>
      <c r="AK270">
        <v>36</v>
      </c>
      <c r="AL270" t="s">
        <v>5427</v>
      </c>
      <c r="AM270" t="s">
        <v>5428</v>
      </c>
      <c r="AN270" t="s">
        <v>5429</v>
      </c>
      <c r="AO270" t="s">
        <v>5430</v>
      </c>
      <c r="AP270" t="s">
        <v>5431</v>
      </c>
      <c r="AQ270" t="s">
        <v>74</v>
      </c>
      <c r="AR270" t="s">
        <v>5432</v>
      </c>
      <c r="AS270" t="s">
        <v>5433</v>
      </c>
      <c r="AT270" t="s">
        <v>74</v>
      </c>
      <c r="AU270">
        <v>2015</v>
      </c>
      <c r="AV270">
        <v>33</v>
      </c>
      <c r="AW270">
        <v>1</v>
      </c>
      <c r="AX270" t="s">
        <v>74</v>
      </c>
      <c r="AY270" t="s">
        <v>74</v>
      </c>
      <c r="AZ270" t="s">
        <v>74</v>
      </c>
      <c r="BA270" t="s">
        <v>74</v>
      </c>
      <c r="BB270">
        <v>77</v>
      </c>
      <c r="BC270">
        <v>82</v>
      </c>
      <c r="BD270" t="s">
        <v>74</v>
      </c>
      <c r="BE270" t="s">
        <v>5434</v>
      </c>
      <c r="BF270" t="str">
        <f>HYPERLINK("http://dx.doi.org/10.17221/498/2013-CJFS","http://dx.doi.org/10.17221/498/2013-CJFS")</f>
        <v>http://dx.doi.org/10.17221/498/2013-CJFS</v>
      </c>
      <c r="BG270" t="s">
        <v>74</v>
      </c>
      <c r="BH270" t="s">
        <v>74</v>
      </c>
      <c r="BI270">
        <v>6</v>
      </c>
      <c r="BJ270" t="s">
        <v>5435</v>
      </c>
      <c r="BK270" t="s">
        <v>91</v>
      </c>
      <c r="BL270" t="s">
        <v>5435</v>
      </c>
      <c r="BM270" t="s">
        <v>5436</v>
      </c>
      <c r="BN270" t="s">
        <v>74</v>
      </c>
      <c r="BO270" t="s">
        <v>1393</v>
      </c>
      <c r="BP270" t="s">
        <v>74</v>
      </c>
      <c r="BQ270" t="s">
        <v>74</v>
      </c>
      <c r="BR270" t="s">
        <v>93</v>
      </c>
      <c r="BS270" t="s">
        <v>5437</v>
      </c>
      <c r="BT270" t="str">
        <f>HYPERLINK("https%3A%2F%2Fwww.webofscience.com%2Fwos%2Fwoscc%2Ffull-record%2FWOS:000351653300013","View Full Record in Web of Science")</f>
        <v>View Full Record in Web of Science</v>
      </c>
    </row>
    <row r="271" spans="1:72" x14ac:dyDescent="0.15">
      <c r="A271" t="s">
        <v>72</v>
      </c>
      <c r="B271" t="s">
        <v>5438</v>
      </c>
      <c r="C271" t="s">
        <v>74</v>
      </c>
      <c r="D271" t="s">
        <v>74</v>
      </c>
      <c r="E271" t="s">
        <v>74</v>
      </c>
      <c r="F271" t="s">
        <v>5439</v>
      </c>
      <c r="G271" t="s">
        <v>74</v>
      </c>
      <c r="H271" t="s">
        <v>74</v>
      </c>
      <c r="I271" t="s">
        <v>5440</v>
      </c>
      <c r="J271" t="s">
        <v>5441</v>
      </c>
      <c r="K271" t="s">
        <v>74</v>
      </c>
      <c r="L271" t="s">
        <v>74</v>
      </c>
      <c r="M271" t="s">
        <v>78</v>
      </c>
      <c r="N271" t="s">
        <v>99</v>
      </c>
      <c r="O271" t="s">
        <v>74</v>
      </c>
      <c r="P271" t="s">
        <v>74</v>
      </c>
      <c r="Q271" t="s">
        <v>74</v>
      </c>
      <c r="R271" t="s">
        <v>74</v>
      </c>
      <c r="S271" t="s">
        <v>74</v>
      </c>
      <c r="T271" t="s">
        <v>5442</v>
      </c>
      <c r="U271" t="s">
        <v>5443</v>
      </c>
      <c r="V271" t="s">
        <v>5444</v>
      </c>
      <c r="W271" t="s">
        <v>5445</v>
      </c>
      <c r="X271" t="s">
        <v>5446</v>
      </c>
      <c r="Y271" t="s">
        <v>5447</v>
      </c>
      <c r="Z271" t="s">
        <v>5448</v>
      </c>
      <c r="AA271" t="s">
        <v>5449</v>
      </c>
      <c r="AB271" t="s">
        <v>5450</v>
      </c>
      <c r="AC271" t="s">
        <v>5451</v>
      </c>
      <c r="AD271" t="s">
        <v>5452</v>
      </c>
      <c r="AE271" t="s">
        <v>5453</v>
      </c>
      <c r="AF271" t="s">
        <v>74</v>
      </c>
      <c r="AG271">
        <v>57</v>
      </c>
      <c r="AH271">
        <v>31</v>
      </c>
      <c r="AI271">
        <v>33</v>
      </c>
      <c r="AJ271">
        <v>0</v>
      </c>
      <c r="AK271">
        <v>37</v>
      </c>
      <c r="AL271" t="s">
        <v>2439</v>
      </c>
      <c r="AM271" t="s">
        <v>1411</v>
      </c>
      <c r="AN271" t="s">
        <v>2440</v>
      </c>
      <c r="AO271" t="s">
        <v>5454</v>
      </c>
      <c r="AP271" t="s">
        <v>5455</v>
      </c>
      <c r="AQ271" t="s">
        <v>74</v>
      </c>
      <c r="AR271" t="s">
        <v>5456</v>
      </c>
      <c r="AS271" t="s">
        <v>5457</v>
      </c>
      <c r="AT271" t="s">
        <v>200</v>
      </c>
      <c r="AU271">
        <v>2015</v>
      </c>
      <c r="AV271">
        <v>95</v>
      </c>
      <c r="AW271" t="s">
        <v>74</v>
      </c>
      <c r="AX271" t="s">
        <v>74</v>
      </c>
      <c r="AY271" t="s">
        <v>74</v>
      </c>
      <c r="AZ271" t="s">
        <v>74</v>
      </c>
      <c r="BA271" t="s">
        <v>74</v>
      </c>
      <c r="BB271">
        <v>75</v>
      </c>
      <c r="BC271">
        <v>84</v>
      </c>
      <c r="BD271" t="s">
        <v>74</v>
      </c>
      <c r="BE271" t="s">
        <v>5458</v>
      </c>
      <c r="BF271" t="str">
        <f>HYPERLINK("http://dx.doi.org/10.1016/j.dsr.2014.09.002","http://dx.doi.org/10.1016/j.dsr.2014.09.002")</f>
        <v>http://dx.doi.org/10.1016/j.dsr.2014.09.002</v>
      </c>
      <c r="BG271" t="s">
        <v>74</v>
      </c>
      <c r="BH271" t="s">
        <v>74</v>
      </c>
      <c r="BI271">
        <v>10</v>
      </c>
      <c r="BJ271" t="s">
        <v>2054</v>
      </c>
      <c r="BK271" t="s">
        <v>91</v>
      </c>
      <c r="BL271" t="s">
        <v>2054</v>
      </c>
      <c r="BM271" t="s">
        <v>5459</v>
      </c>
      <c r="BN271" t="s">
        <v>74</v>
      </c>
      <c r="BO271" t="s">
        <v>4631</v>
      </c>
      <c r="BP271" t="s">
        <v>74</v>
      </c>
      <c r="BQ271" t="s">
        <v>74</v>
      </c>
      <c r="BR271" t="s">
        <v>93</v>
      </c>
      <c r="BS271" t="s">
        <v>5460</v>
      </c>
      <c r="BT271" t="str">
        <f>HYPERLINK("https%3A%2F%2Fwww.webofscience.com%2Fwos%2Fwoscc%2Ffull-record%2FWOS:000348628100007","View Full Record in Web of Science")</f>
        <v>View Full Record in Web of Science</v>
      </c>
    </row>
    <row r="272" spans="1:72" x14ac:dyDescent="0.15">
      <c r="A272" t="s">
        <v>72</v>
      </c>
      <c r="B272" t="s">
        <v>5461</v>
      </c>
      <c r="C272" t="s">
        <v>74</v>
      </c>
      <c r="D272" t="s">
        <v>74</v>
      </c>
      <c r="E272" t="s">
        <v>74</v>
      </c>
      <c r="F272" t="s">
        <v>5462</v>
      </c>
      <c r="G272" t="s">
        <v>74</v>
      </c>
      <c r="H272" t="s">
        <v>74</v>
      </c>
      <c r="I272" t="s">
        <v>5463</v>
      </c>
      <c r="J272" t="s">
        <v>5464</v>
      </c>
      <c r="K272" t="s">
        <v>74</v>
      </c>
      <c r="L272" t="s">
        <v>74</v>
      </c>
      <c r="M272" t="s">
        <v>78</v>
      </c>
      <c r="N272" t="s">
        <v>99</v>
      </c>
      <c r="O272" t="s">
        <v>74</v>
      </c>
      <c r="P272" t="s">
        <v>74</v>
      </c>
      <c r="Q272" t="s">
        <v>74</v>
      </c>
      <c r="R272" t="s">
        <v>74</v>
      </c>
      <c r="S272" t="s">
        <v>74</v>
      </c>
      <c r="T272" t="s">
        <v>5465</v>
      </c>
      <c r="U272" t="s">
        <v>5466</v>
      </c>
      <c r="V272" t="s">
        <v>5467</v>
      </c>
      <c r="W272" t="s">
        <v>5468</v>
      </c>
      <c r="X272" t="s">
        <v>5469</v>
      </c>
      <c r="Y272" t="s">
        <v>5470</v>
      </c>
      <c r="Z272" t="s">
        <v>5471</v>
      </c>
      <c r="AA272" t="s">
        <v>5472</v>
      </c>
      <c r="AB272" t="s">
        <v>5473</v>
      </c>
      <c r="AC272" t="s">
        <v>5474</v>
      </c>
      <c r="AD272" t="s">
        <v>5475</v>
      </c>
      <c r="AE272" t="s">
        <v>5476</v>
      </c>
      <c r="AF272" t="s">
        <v>74</v>
      </c>
      <c r="AG272">
        <v>110</v>
      </c>
      <c r="AH272">
        <v>21</v>
      </c>
      <c r="AI272">
        <v>21</v>
      </c>
      <c r="AJ272">
        <v>0</v>
      </c>
      <c r="AK272">
        <v>22</v>
      </c>
      <c r="AL272" t="s">
        <v>2439</v>
      </c>
      <c r="AM272" t="s">
        <v>1411</v>
      </c>
      <c r="AN272" t="s">
        <v>2440</v>
      </c>
      <c r="AO272" t="s">
        <v>5477</v>
      </c>
      <c r="AP272" t="s">
        <v>5478</v>
      </c>
      <c r="AQ272" t="s">
        <v>74</v>
      </c>
      <c r="AR272" t="s">
        <v>5479</v>
      </c>
      <c r="AS272" t="s">
        <v>5480</v>
      </c>
      <c r="AT272" t="s">
        <v>200</v>
      </c>
      <c r="AU272">
        <v>2015</v>
      </c>
      <c r="AV272">
        <v>111</v>
      </c>
      <c r="AW272" t="s">
        <v>74</v>
      </c>
      <c r="AX272" t="s">
        <v>74</v>
      </c>
      <c r="AY272" t="s">
        <v>74</v>
      </c>
      <c r="AZ272" t="s">
        <v>1437</v>
      </c>
      <c r="BA272" t="s">
        <v>74</v>
      </c>
      <c r="BB272">
        <v>76</v>
      </c>
      <c r="BC272">
        <v>94</v>
      </c>
      <c r="BD272" t="s">
        <v>74</v>
      </c>
      <c r="BE272" t="s">
        <v>5481</v>
      </c>
      <c r="BF272" t="str">
        <f>HYPERLINK("http://dx.doi.org/10.1016/j.dsr2.2014.09.008","http://dx.doi.org/10.1016/j.dsr2.2014.09.008")</f>
        <v>http://dx.doi.org/10.1016/j.dsr2.2014.09.008</v>
      </c>
      <c r="BG272" t="s">
        <v>74</v>
      </c>
      <c r="BH272" t="s">
        <v>74</v>
      </c>
      <c r="BI272">
        <v>19</v>
      </c>
      <c r="BJ272" t="s">
        <v>2054</v>
      </c>
      <c r="BK272" t="s">
        <v>91</v>
      </c>
      <c r="BL272" t="s">
        <v>2054</v>
      </c>
      <c r="BM272" t="s">
        <v>5482</v>
      </c>
      <c r="BN272" t="s">
        <v>74</v>
      </c>
      <c r="BO272" t="s">
        <v>74</v>
      </c>
      <c r="BP272" t="s">
        <v>74</v>
      </c>
      <c r="BQ272" t="s">
        <v>74</v>
      </c>
      <c r="BR272" t="s">
        <v>93</v>
      </c>
      <c r="BS272" t="s">
        <v>5483</v>
      </c>
      <c r="BT272" t="str">
        <f>HYPERLINK("https%3A%2F%2Fwww.webofscience.com%2Fwos%2Fwoscc%2Ffull-record%2FWOS:000348747400009","View Full Record in Web of Science")</f>
        <v>View Full Record in Web of Science</v>
      </c>
    </row>
    <row r="273" spans="1:72" x14ac:dyDescent="0.15">
      <c r="A273" t="s">
        <v>72</v>
      </c>
      <c r="B273" t="s">
        <v>5484</v>
      </c>
      <c r="C273" t="s">
        <v>74</v>
      </c>
      <c r="D273" t="s">
        <v>74</v>
      </c>
      <c r="E273" t="s">
        <v>74</v>
      </c>
      <c r="F273" t="s">
        <v>5485</v>
      </c>
      <c r="G273" t="s">
        <v>74</v>
      </c>
      <c r="H273" t="s">
        <v>74</v>
      </c>
      <c r="I273" t="s">
        <v>5486</v>
      </c>
      <c r="J273" t="s">
        <v>5464</v>
      </c>
      <c r="K273" t="s">
        <v>74</v>
      </c>
      <c r="L273" t="s">
        <v>74</v>
      </c>
      <c r="M273" t="s">
        <v>78</v>
      </c>
      <c r="N273" t="s">
        <v>99</v>
      </c>
      <c r="O273" t="s">
        <v>74</v>
      </c>
      <c r="P273" t="s">
        <v>74</v>
      </c>
      <c r="Q273" t="s">
        <v>74</v>
      </c>
      <c r="R273" t="s">
        <v>74</v>
      </c>
      <c r="S273" t="s">
        <v>74</v>
      </c>
      <c r="T273" t="s">
        <v>5487</v>
      </c>
      <c r="U273" t="s">
        <v>5488</v>
      </c>
      <c r="V273" t="s">
        <v>5489</v>
      </c>
      <c r="W273" t="s">
        <v>5490</v>
      </c>
      <c r="X273" t="s">
        <v>5491</v>
      </c>
      <c r="Y273" t="s">
        <v>5492</v>
      </c>
      <c r="Z273" t="s">
        <v>5493</v>
      </c>
      <c r="AA273" t="s">
        <v>5494</v>
      </c>
      <c r="AB273" t="s">
        <v>5495</v>
      </c>
      <c r="AC273" t="s">
        <v>5496</v>
      </c>
      <c r="AD273" t="s">
        <v>5497</v>
      </c>
      <c r="AE273" t="s">
        <v>5498</v>
      </c>
      <c r="AF273" t="s">
        <v>74</v>
      </c>
      <c r="AG273">
        <v>18</v>
      </c>
      <c r="AH273">
        <v>9</v>
      </c>
      <c r="AI273">
        <v>9</v>
      </c>
      <c r="AJ273">
        <v>0</v>
      </c>
      <c r="AK273">
        <v>11</v>
      </c>
      <c r="AL273" t="s">
        <v>2439</v>
      </c>
      <c r="AM273" t="s">
        <v>1411</v>
      </c>
      <c r="AN273" t="s">
        <v>2440</v>
      </c>
      <c r="AO273" t="s">
        <v>5477</v>
      </c>
      <c r="AP273" t="s">
        <v>5478</v>
      </c>
      <c r="AQ273" t="s">
        <v>74</v>
      </c>
      <c r="AR273" t="s">
        <v>5479</v>
      </c>
      <c r="AS273" t="s">
        <v>5480</v>
      </c>
      <c r="AT273" t="s">
        <v>200</v>
      </c>
      <c r="AU273">
        <v>2015</v>
      </c>
      <c r="AV273">
        <v>111</v>
      </c>
      <c r="AW273" t="s">
        <v>74</v>
      </c>
      <c r="AX273" t="s">
        <v>74</v>
      </c>
      <c r="AY273" t="s">
        <v>74</v>
      </c>
      <c r="AZ273" t="s">
        <v>1437</v>
      </c>
      <c r="BA273" t="s">
        <v>74</v>
      </c>
      <c r="BB273">
        <v>220</v>
      </c>
      <c r="BC273">
        <v>244</v>
      </c>
      <c r="BD273" t="s">
        <v>74</v>
      </c>
      <c r="BE273" t="s">
        <v>5499</v>
      </c>
      <c r="BF273" t="str">
        <f>HYPERLINK("http://dx.doi.org/10.1016/j.dsr2.2014.08.015","http://dx.doi.org/10.1016/j.dsr2.2014.08.015")</f>
        <v>http://dx.doi.org/10.1016/j.dsr2.2014.08.015</v>
      </c>
      <c r="BG273" t="s">
        <v>74</v>
      </c>
      <c r="BH273" t="s">
        <v>74</v>
      </c>
      <c r="BI273">
        <v>25</v>
      </c>
      <c r="BJ273" t="s">
        <v>2054</v>
      </c>
      <c r="BK273" t="s">
        <v>91</v>
      </c>
      <c r="BL273" t="s">
        <v>2054</v>
      </c>
      <c r="BM273" t="s">
        <v>5482</v>
      </c>
      <c r="BN273" t="s">
        <v>74</v>
      </c>
      <c r="BO273" t="s">
        <v>74</v>
      </c>
      <c r="BP273" t="s">
        <v>74</v>
      </c>
      <c r="BQ273" t="s">
        <v>74</v>
      </c>
      <c r="BR273" t="s">
        <v>93</v>
      </c>
      <c r="BS273" t="s">
        <v>5500</v>
      </c>
      <c r="BT273" t="str">
        <f>HYPERLINK("https%3A%2F%2Fwww.webofscience.com%2Fwos%2Fwoscc%2Ffull-record%2FWOS:000348747400021","View Full Record in Web of Science")</f>
        <v>View Full Record in Web of Science</v>
      </c>
    </row>
    <row r="274" spans="1:72" x14ac:dyDescent="0.15">
      <c r="A274" t="s">
        <v>72</v>
      </c>
      <c r="B274" t="s">
        <v>5501</v>
      </c>
      <c r="C274" t="s">
        <v>74</v>
      </c>
      <c r="D274" t="s">
        <v>74</v>
      </c>
      <c r="E274" t="s">
        <v>74</v>
      </c>
      <c r="F274" t="s">
        <v>5502</v>
      </c>
      <c r="G274" t="s">
        <v>74</v>
      </c>
      <c r="H274" t="s">
        <v>74</v>
      </c>
      <c r="I274" t="s">
        <v>5503</v>
      </c>
      <c r="J274" t="s">
        <v>5464</v>
      </c>
      <c r="K274" t="s">
        <v>74</v>
      </c>
      <c r="L274" t="s">
        <v>74</v>
      </c>
      <c r="M274" t="s">
        <v>78</v>
      </c>
      <c r="N274" t="s">
        <v>99</v>
      </c>
      <c r="O274" t="s">
        <v>74</v>
      </c>
      <c r="P274" t="s">
        <v>74</v>
      </c>
      <c r="Q274" t="s">
        <v>74</v>
      </c>
      <c r="R274" t="s">
        <v>74</v>
      </c>
      <c r="S274" t="s">
        <v>74</v>
      </c>
      <c r="T274" t="s">
        <v>5504</v>
      </c>
      <c r="U274" t="s">
        <v>5505</v>
      </c>
      <c r="V274" t="s">
        <v>5506</v>
      </c>
      <c r="W274" t="s">
        <v>5507</v>
      </c>
      <c r="X274" t="s">
        <v>5508</v>
      </c>
      <c r="Y274" t="s">
        <v>5509</v>
      </c>
      <c r="Z274" t="s">
        <v>5510</v>
      </c>
      <c r="AA274" t="s">
        <v>5511</v>
      </c>
      <c r="AB274" t="s">
        <v>5512</v>
      </c>
      <c r="AC274" t="s">
        <v>5513</v>
      </c>
      <c r="AD274" t="s">
        <v>5514</v>
      </c>
      <c r="AE274" t="s">
        <v>5515</v>
      </c>
      <c r="AF274" t="s">
        <v>74</v>
      </c>
      <c r="AG274">
        <v>30</v>
      </c>
      <c r="AH274">
        <v>7</v>
      </c>
      <c r="AI274">
        <v>7</v>
      </c>
      <c r="AJ274">
        <v>0</v>
      </c>
      <c r="AK274">
        <v>10</v>
      </c>
      <c r="AL274" t="s">
        <v>2439</v>
      </c>
      <c r="AM274" t="s">
        <v>1411</v>
      </c>
      <c r="AN274" t="s">
        <v>2440</v>
      </c>
      <c r="AO274" t="s">
        <v>5477</v>
      </c>
      <c r="AP274" t="s">
        <v>5478</v>
      </c>
      <c r="AQ274" t="s">
        <v>74</v>
      </c>
      <c r="AR274" t="s">
        <v>5479</v>
      </c>
      <c r="AS274" t="s">
        <v>5480</v>
      </c>
      <c r="AT274" t="s">
        <v>200</v>
      </c>
      <c r="AU274">
        <v>2015</v>
      </c>
      <c r="AV274">
        <v>111</v>
      </c>
      <c r="AW274" t="s">
        <v>74</v>
      </c>
      <c r="AX274" t="s">
        <v>74</v>
      </c>
      <c r="AY274" t="s">
        <v>74</v>
      </c>
      <c r="AZ274" t="s">
        <v>1437</v>
      </c>
      <c r="BA274" t="s">
        <v>74</v>
      </c>
      <c r="BB274">
        <v>351</v>
      </c>
      <c r="BC274">
        <v>356</v>
      </c>
      <c r="BD274" t="s">
        <v>74</v>
      </c>
      <c r="BE274" t="s">
        <v>5516</v>
      </c>
      <c r="BF274" t="str">
        <f>HYPERLINK("http://dx.doi.org/10.1016/j.dsr2.2014.07.016","http://dx.doi.org/10.1016/j.dsr2.2014.07.016")</f>
        <v>http://dx.doi.org/10.1016/j.dsr2.2014.07.016</v>
      </c>
      <c r="BG274" t="s">
        <v>74</v>
      </c>
      <c r="BH274" t="s">
        <v>74</v>
      </c>
      <c r="BI274">
        <v>6</v>
      </c>
      <c r="BJ274" t="s">
        <v>2054</v>
      </c>
      <c r="BK274" t="s">
        <v>91</v>
      </c>
      <c r="BL274" t="s">
        <v>2054</v>
      </c>
      <c r="BM274" t="s">
        <v>5482</v>
      </c>
      <c r="BN274" t="s">
        <v>74</v>
      </c>
      <c r="BO274" t="s">
        <v>74</v>
      </c>
      <c r="BP274" t="s">
        <v>74</v>
      </c>
      <c r="BQ274" t="s">
        <v>74</v>
      </c>
      <c r="BR274" t="s">
        <v>93</v>
      </c>
      <c r="BS274" t="s">
        <v>5517</v>
      </c>
      <c r="BT274" t="str">
        <f>HYPERLINK("https%3A%2F%2Fwww.webofscience.com%2Fwos%2Fwoscc%2Ffull-record%2FWOS:000348747400030","View Full Record in Web of Science")</f>
        <v>View Full Record in Web of Science</v>
      </c>
    </row>
    <row r="275" spans="1:72" x14ac:dyDescent="0.15">
      <c r="A275" t="s">
        <v>72</v>
      </c>
      <c r="B275" t="s">
        <v>5518</v>
      </c>
      <c r="C275" t="s">
        <v>74</v>
      </c>
      <c r="D275" t="s">
        <v>74</v>
      </c>
      <c r="E275" t="s">
        <v>74</v>
      </c>
      <c r="F275" t="s">
        <v>5519</v>
      </c>
      <c r="G275" t="s">
        <v>74</v>
      </c>
      <c r="H275" t="s">
        <v>74</v>
      </c>
      <c r="I275" t="s">
        <v>5520</v>
      </c>
      <c r="J275" t="s">
        <v>5464</v>
      </c>
      <c r="K275" t="s">
        <v>74</v>
      </c>
      <c r="L275" t="s">
        <v>74</v>
      </c>
      <c r="M275" t="s">
        <v>78</v>
      </c>
      <c r="N275" t="s">
        <v>99</v>
      </c>
      <c r="O275" t="s">
        <v>74</v>
      </c>
      <c r="P275" t="s">
        <v>74</v>
      </c>
      <c r="Q275" t="s">
        <v>74</v>
      </c>
      <c r="R275" t="s">
        <v>74</v>
      </c>
      <c r="S275" t="s">
        <v>74</v>
      </c>
      <c r="T275" t="s">
        <v>5521</v>
      </c>
      <c r="U275" t="s">
        <v>5522</v>
      </c>
      <c r="V275" t="s">
        <v>5523</v>
      </c>
      <c r="W275" t="s">
        <v>5524</v>
      </c>
      <c r="X275" t="s">
        <v>2128</v>
      </c>
      <c r="Y275" t="s">
        <v>5525</v>
      </c>
      <c r="Z275" t="s">
        <v>5526</v>
      </c>
      <c r="AA275" t="s">
        <v>5527</v>
      </c>
      <c r="AB275" t="s">
        <v>5528</v>
      </c>
      <c r="AC275" t="s">
        <v>5529</v>
      </c>
      <c r="AD275" t="s">
        <v>5530</v>
      </c>
      <c r="AE275" t="s">
        <v>5531</v>
      </c>
      <c r="AF275" t="s">
        <v>74</v>
      </c>
      <c r="AG275">
        <v>92</v>
      </c>
      <c r="AH275">
        <v>17</v>
      </c>
      <c r="AI275">
        <v>18</v>
      </c>
      <c r="AJ275">
        <v>0</v>
      </c>
      <c r="AK275">
        <v>16</v>
      </c>
      <c r="AL275" t="s">
        <v>2439</v>
      </c>
      <c r="AM275" t="s">
        <v>1411</v>
      </c>
      <c r="AN275" t="s">
        <v>2440</v>
      </c>
      <c r="AO275" t="s">
        <v>5477</v>
      </c>
      <c r="AP275" t="s">
        <v>5478</v>
      </c>
      <c r="AQ275" t="s">
        <v>74</v>
      </c>
      <c r="AR275" t="s">
        <v>5479</v>
      </c>
      <c r="AS275" t="s">
        <v>5480</v>
      </c>
      <c r="AT275" t="s">
        <v>200</v>
      </c>
      <c r="AU275">
        <v>2015</v>
      </c>
      <c r="AV275">
        <v>111</v>
      </c>
      <c r="AW275" t="s">
        <v>74</v>
      </c>
      <c r="AX275" t="s">
        <v>74</v>
      </c>
      <c r="AY275" t="s">
        <v>74</v>
      </c>
      <c r="AZ275" t="s">
        <v>1437</v>
      </c>
      <c r="BA275" t="s">
        <v>74</v>
      </c>
      <c r="BB275">
        <v>357</v>
      </c>
      <c r="BC275">
        <v>375</v>
      </c>
      <c r="BD275" t="s">
        <v>74</v>
      </c>
      <c r="BE275" t="s">
        <v>5532</v>
      </c>
      <c r="BF275" t="str">
        <f>HYPERLINK("http://dx.doi.org/10.1016/j.dsr2.2014.08.006","http://dx.doi.org/10.1016/j.dsr2.2014.08.006")</f>
        <v>http://dx.doi.org/10.1016/j.dsr2.2014.08.006</v>
      </c>
      <c r="BG275" t="s">
        <v>74</v>
      </c>
      <c r="BH275" t="s">
        <v>74</v>
      </c>
      <c r="BI275">
        <v>19</v>
      </c>
      <c r="BJ275" t="s">
        <v>2054</v>
      </c>
      <c r="BK275" t="s">
        <v>91</v>
      </c>
      <c r="BL275" t="s">
        <v>2054</v>
      </c>
      <c r="BM275" t="s">
        <v>5482</v>
      </c>
      <c r="BN275" t="s">
        <v>74</v>
      </c>
      <c r="BO275" t="s">
        <v>74</v>
      </c>
      <c r="BP275" t="s">
        <v>74</v>
      </c>
      <c r="BQ275" t="s">
        <v>74</v>
      </c>
      <c r="BR275" t="s">
        <v>93</v>
      </c>
      <c r="BS275" t="s">
        <v>5533</v>
      </c>
      <c r="BT275" t="str">
        <f>HYPERLINK("https%3A%2F%2Fwww.webofscience.com%2Fwos%2Fwoscc%2Ffull-record%2FWOS:000348747400031","View Full Record in Web of Science")</f>
        <v>View Full Record in Web of Science</v>
      </c>
    </row>
    <row r="276" spans="1:72" x14ac:dyDescent="0.15">
      <c r="A276" t="s">
        <v>72</v>
      </c>
      <c r="B276" t="s">
        <v>5534</v>
      </c>
      <c r="C276" t="s">
        <v>74</v>
      </c>
      <c r="D276" t="s">
        <v>74</v>
      </c>
      <c r="E276" t="s">
        <v>74</v>
      </c>
      <c r="F276" t="s">
        <v>5535</v>
      </c>
      <c r="G276" t="s">
        <v>74</v>
      </c>
      <c r="H276" t="s">
        <v>74</v>
      </c>
      <c r="I276" t="s">
        <v>5536</v>
      </c>
      <c r="J276" t="s">
        <v>5537</v>
      </c>
      <c r="K276" t="s">
        <v>74</v>
      </c>
      <c r="L276" t="s">
        <v>74</v>
      </c>
      <c r="M276" t="s">
        <v>78</v>
      </c>
      <c r="N276" t="s">
        <v>99</v>
      </c>
      <c r="O276" t="s">
        <v>74</v>
      </c>
      <c r="P276" t="s">
        <v>74</v>
      </c>
      <c r="Q276" t="s">
        <v>74</v>
      </c>
      <c r="R276" t="s">
        <v>74</v>
      </c>
      <c r="S276" t="s">
        <v>74</v>
      </c>
      <c r="T276" t="s">
        <v>5538</v>
      </c>
      <c r="U276" t="s">
        <v>5539</v>
      </c>
      <c r="V276" t="s">
        <v>5540</v>
      </c>
      <c r="W276" t="s">
        <v>5541</v>
      </c>
      <c r="X276" t="s">
        <v>5542</v>
      </c>
      <c r="Y276" t="s">
        <v>5543</v>
      </c>
      <c r="Z276" t="s">
        <v>5544</v>
      </c>
      <c r="AA276" t="s">
        <v>5545</v>
      </c>
      <c r="AB276" t="s">
        <v>5546</v>
      </c>
      <c r="AC276" t="s">
        <v>5547</v>
      </c>
      <c r="AD276" t="s">
        <v>5548</v>
      </c>
      <c r="AE276" t="s">
        <v>5549</v>
      </c>
      <c r="AF276" t="s">
        <v>74</v>
      </c>
      <c r="AG276">
        <v>36</v>
      </c>
      <c r="AH276">
        <v>47</v>
      </c>
      <c r="AI276">
        <v>50</v>
      </c>
      <c r="AJ276">
        <v>0</v>
      </c>
      <c r="AK276">
        <v>68</v>
      </c>
      <c r="AL276" t="s">
        <v>2006</v>
      </c>
      <c r="AM276" t="s">
        <v>2007</v>
      </c>
      <c r="AN276" t="s">
        <v>2008</v>
      </c>
      <c r="AO276" t="s">
        <v>5550</v>
      </c>
      <c r="AP276" t="s">
        <v>5551</v>
      </c>
      <c r="AQ276" t="s">
        <v>74</v>
      </c>
      <c r="AR276" t="s">
        <v>5552</v>
      </c>
      <c r="AS276" t="s">
        <v>5553</v>
      </c>
      <c r="AT276" t="s">
        <v>200</v>
      </c>
      <c r="AU276">
        <v>2015</v>
      </c>
      <c r="AV276">
        <v>21</v>
      </c>
      <c r="AW276">
        <v>1</v>
      </c>
      <c r="AX276" t="s">
        <v>74</v>
      </c>
      <c r="AY276" t="s">
        <v>74</v>
      </c>
      <c r="AZ276" t="s">
        <v>74</v>
      </c>
      <c r="BA276" t="s">
        <v>74</v>
      </c>
      <c r="BB276">
        <v>13</v>
      </c>
      <c r="BC276">
        <v>22</v>
      </c>
      <c r="BD276" t="s">
        <v>74</v>
      </c>
      <c r="BE276" t="s">
        <v>5554</v>
      </c>
      <c r="BF276" t="str">
        <f>HYPERLINK("http://dx.doi.org/10.1111/ddi.12263","http://dx.doi.org/10.1111/ddi.12263")</f>
        <v>http://dx.doi.org/10.1111/ddi.12263</v>
      </c>
      <c r="BG276" t="s">
        <v>74</v>
      </c>
      <c r="BH276" t="s">
        <v>74</v>
      </c>
      <c r="BI276">
        <v>10</v>
      </c>
      <c r="BJ276" t="s">
        <v>3475</v>
      </c>
      <c r="BK276" t="s">
        <v>91</v>
      </c>
      <c r="BL276" t="s">
        <v>3476</v>
      </c>
      <c r="BM276" t="s">
        <v>5555</v>
      </c>
      <c r="BN276" t="s">
        <v>74</v>
      </c>
      <c r="BO276" t="s">
        <v>5556</v>
      </c>
      <c r="BP276" t="s">
        <v>74</v>
      </c>
      <c r="BQ276" t="s">
        <v>74</v>
      </c>
      <c r="BR276" t="s">
        <v>93</v>
      </c>
      <c r="BS276" t="s">
        <v>5557</v>
      </c>
      <c r="BT276" t="str">
        <f>HYPERLINK("https%3A%2F%2Fwww.webofscience.com%2Fwos%2Fwoscc%2Ffull-record%2FWOS:000346182200002","View Full Record in Web of Science")</f>
        <v>View Full Record in Web of Science</v>
      </c>
    </row>
    <row r="277" spans="1:72" x14ac:dyDescent="0.15">
      <c r="A277" t="s">
        <v>1395</v>
      </c>
      <c r="B277" t="s">
        <v>5558</v>
      </c>
      <c r="C277" t="s">
        <v>5558</v>
      </c>
      <c r="D277" t="s">
        <v>74</v>
      </c>
      <c r="E277" t="s">
        <v>74</v>
      </c>
      <c r="F277" t="s">
        <v>5559</v>
      </c>
      <c r="G277" t="s">
        <v>5558</v>
      </c>
      <c r="H277" t="s">
        <v>74</v>
      </c>
      <c r="I277" t="s">
        <v>5560</v>
      </c>
      <c r="J277" t="s">
        <v>5561</v>
      </c>
      <c r="K277" t="s">
        <v>74</v>
      </c>
      <c r="L277" t="s">
        <v>74</v>
      </c>
      <c r="M277" t="s">
        <v>78</v>
      </c>
      <c r="N277" t="s">
        <v>918</v>
      </c>
      <c r="O277" t="s">
        <v>74</v>
      </c>
      <c r="P277" t="s">
        <v>74</v>
      </c>
      <c r="Q277" t="s">
        <v>74</v>
      </c>
      <c r="R277" t="s">
        <v>74</v>
      </c>
      <c r="S277" t="s">
        <v>74</v>
      </c>
      <c r="T277" t="s">
        <v>74</v>
      </c>
      <c r="U277" t="s">
        <v>5562</v>
      </c>
      <c r="V277" t="s">
        <v>74</v>
      </c>
      <c r="W277" t="s">
        <v>74</v>
      </c>
      <c r="X277" t="s">
        <v>74</v>
      </c>
      <c r="Y277" t="s">
        <v>74</v>
      </c>
      <c r="Z277" t="s">
        <v>74</v>
      </c>
      <c r="AA277" t="s">
        <v>74</v>
      </c>
      <c r="AB277" t="s">
        <v>74</v>
      </c>
      <c r="AC277" t="s">
        <v>74</v>
      </c>
      <c r="AD277" t="s">
        <v>74</v>
      </c>
      <c r="AE277" t="s">
        <v>74</v>
      </c>
      <c r="AF277" t="s">
        <v>74</v>
      </c>
      <c r="AG277">
        <v>1534</v>
      </c>
      <c r="AH277">
        <v>28</v>
      </c>
      <c r="AI277">
        <v>39</v>
      </c>
      <c r="AJ277">
        <v>6</v>
      </c>
      <c r="AK277">
        <v>21</v>
      </c>
      <c r="AL277" t="s">
        <v>365</v>
      </c>
      <c r="AM277" t="s">
        <v>112</v>
      </c>
      <c r="AN277" t="s">
        <v>5563</v>
      </c>
      <c r="AO277" t="s">
        <v>74</v>
      </c>
      <c r="AP277" t="s">
        <v>74</v>
      </c>
      <c r="AQ277" t="s">
        <v>5564</v>
      </c>
      <c r="AR277" t="s">
        <v>74</v>
      </c>
      <c r="AS277" t="s">
        <v>74</v>
      </c>
      <c r="AT277" t="s">
        <v>74</v>
      </c>
      <c r="AU277">
        <v>2015</v>
      </c>
      <c r="AV277" t="s">
        <v>74</v>
      </c>
      <c r="AW277" t="s">
        <v>74</v>
      </c>
      <c r="AX277" t="s">
        <v>74</v>
      </c>
      <c r="AY277" t="s">
        <v>74</v>
      </c>
      <c r="AZ277" t="s">
        <v>74</v>
      </c>
      <c r="BA277" t="s">
        <v>74</v>
      </c>
      <c r="BB277">
        <v>1</v>
      </c>
      <c r="BC277">
        <v>333</v>
      </c>
      <c r="BD277" t="s">
        <v>74</v>
      </c>
      <c r="BE277" t="s">
        <v>74</v>
      </c>
      <c r="BF277" t="s">
        <v>74</v>
      </c>
      <c r="BG277" t="s">
        <v>5565</v>
      </c>
      <c r="BH277" t="s">
        <v>74</v>
      </c>
      <c r="BI277">
        <v>333</v>
      </c>
      <c r="BJ277" t="s">
        <v>423</v>
      </c>
      <c r="BK277" t="s">
        <v>936</v>
      </c>
      <c r="BL277" t="s">
        <v>423</v>
      </c>
      <c r="BM277" t="s">
        <v>5566</v>
      </c>
      <c r="BN277" t="s">
        <v>74</v>
      </c>
      <c r="BO277" t="s">
        <v>2056</v>
      </c>
      <c r="BP277" t="s">
        <v>74</v>
      </c>
      <c r="BQ277" t="s">
        <v>74</v>
      </c>
      <c r="BR277" t="s">
        <v>93</v>
      </c>
      <c r="BS277" t="s">
        <v>5567</v>
      </c>
      <c r="BT277" t="str">
        <f>HYPERLINK("https%3A%2F%2Fwww.webofscience.com%2Fwos%2Fwoscc%2Ffull-record%2FWOS:000386499900015","View Full Record in Web of Science")</f>
        <v>View Full Record in Web of Science</v>
      </c>
    </row>
    <row r="278" spans="1:72" x14ac:dyDescent="0.15">
      <c r="A278" t="s">
        <v>72</v>
      </c>
      <c r="B278" t="s">
        <v>5568</v>
      </c>
      <c r="C278" t="s">
        <v>74</v>
      </c>
      <c r="D278" t="s">
        <v>74</v>
      </c>
      <c r="E278" t="s">
        <v>74</v>
      </c>
      <c r="F278" t="s">
        <v>5569</v>
      </c>
      <c r="G278" t="s">
        <v>74</v>
      </c>
      <c r="H278" t="s">
        <v>74</v>
      </c>
      <c r="I278" t="s">
        <v>5570</v>
      </c>
      <c r="J278" t="s">
        <v>2773</v>
      </c>
      <c r="K278" t="s">
        <v>74</v>
      </c>
      <c r="L278" t="s">
        <v>74</v>
      </c>
      <c r="M278" t="s">
        <v>78</v>
      </c>
      <c r="N278" t="s">
        <v>99</v>
      </c>
      <c r="O278" t="s">
        <v>74</v>
      </c>
      <c r="P278" t="s">
        <v>74</v>
      </c>
      <c r="Q278" t="s">
        <v>74</v>
      </c>
      <c r="R278" t="s">
        <v>74</v>
      </c>
      <c r="S278" t="s">
        <v>74</v>
      </c>
      <c r="T278" t="s">
        <v>5571</v>
      </c>
      <c r="U278" t="s">
        <v>5572</v>
      </c>
      <c r="V278" t="s">
        <v>5573</v>
      </c>
      <c r="W278" t="s">
        <v>5574</v>
      </c>
      <c r="X278" t="s">
        <v>2754</v>
      </c>
      <c r="Y278" t="s">
        <v>5575</v>
      </c>
      <c r="Z278" t="s">
        <v>5576</v>
      </c>
      <c r="AA278" t="s">
        <v>74</v>
      </c>
      <c r="AB278" t="s">
        <v>5577</v>
      </c>
      <c r="AC278" t="s">
        <v>5578</v>
      </c>
      <c r="AD278" t="s">
        <v>5579</v>
      </c>
      <c r="AE278" t="s">
        <v>5580</v>
      </c>
      <c r="AF278" t="s">
        <v>74</v>
      </c>
      <c r="AG278">
        <v>67</v>
      </c>
      <c r="AH278">
        <v>22</v>
      </c>
      <c r="AI278">
        <v>23</v>
      </c>
      <c r="AJ278">
        <v>0</v>
      </c>
      <c r="AK278">
        <v>60</v>
      </c>
      <c r="AL278" t="s">
        <v>1175</v>
      </c>
      <c r="AM278" t="s">
        <v>1176</v>
      </c>
      <c r="AN278" t="s">
        <v>2938</v>
      </c>
      <c r="AO278" t="s">
        <v>2786</v>
      </c>
      <c r="AP278" t="s">
        <v>2787</v>
      </c>
      <c r="AQ278" t="s">
        <v>74</v>
      </c>
      <c r="AR278" t="s">
        <v>2788</v>
      </c>
      <c r="AS278" t="s">
        <v>2789</v>
      </c>
      <c r="AT278" t="s">
        <v>2464</v>
      </c>
      <c r="AU278">
        <v>2015</v>
      </c>
      <c r="AV278">
        <v>409</v>
      </c>
      <c r="AW278" t="s">
        <v>74</v>
      </c>
      <c r="AX278" t="s">
        <v>74</v>
      </c>
      <c r="AY278" t="s">
        <v>74</v>
      </c>
      <c r="AZ278" t="s">
        <v>74</v>
      </c>
      <c r="BA278" t="s">
        <v>74</v>
      </c>
      <c r="BB278">
        <v>329</v>
      </c>
      <c r="BC278">
        <v>338</v>
      </c>
      <c r="BD278" t="s">
        <v>74</v>
      </c>
      <c r="BE278" t="s">
        <v>5581</v>
      </c>
      <c r="BF278" t="str">
        <f>HYPERLINK("http://dx.doi.org/10.1016/j.epsl.2014.10.036","http://dx.doi.org/10.1016/j.epsl.2014.10.036")</f>
        <v>http://dx.doi.org/10.1016/j.epsl.2014.10.036</v>
      </c>
      <c r="BG278" t="s">
        <v>74</v>
      </c>
      <c r="BH278" t="s">
        <v>74</v>
      </c>
      <c r="BI278">
        <v>10</v>
      </c>
      <c r="BJ278" t="s">
        <v>1902</v>
      </c>
      <c r="BK278" t="s">
        <v>91</v>
      </c>
      <c r="BL278" t="s">
        <v>1902</v>
      </c>
      <c r="BM278" t="s">
        <v>2791</v>
      </c>
      <c r="BN278" t="s">
        <v>74</v>
      </c>
      <c r="BO278" t="s">
        <v>74</v>
      </c>
      <c r="BP278" t="s">
        <v>74</v>
      </c>
      <c r="BQ278" t="s">
        <v>74</v>
      </c>
      <c r="BR278" t="s">
        <v>93</v>
      </c>
      <c r="BS278" t="s">
        <v>5582</v>
      </c>
      <c r="BT278" t="str">
        <f>HYPERLINK("https%3A%2F%2Fwww.webofscience.com%2Fwos%2Fwoscc%2Ffull-record%2FWOS:000347763500032","View Full Record in Web of Science")</f>
        <v>View Full Record in Web of Science</v>
      </c>
    </row>
    <row r="279" spans="1:72" x14ac:dyDescent="0.15">
      <c r="A279" t="s">
        <v>72</v>
      </c>
      <c r="B279" t="s">
        <v>5583</v>
      </c>
      <c r="C279" t="s">
        <v>74</v>
      </c>
      <c r="D279" t="s">
        <v>74</v>
      </c>
      <c r="E279" t="s">
        <v>74</v>
      </c>
      <c r="F279" t="s">
        <v>5584</v>
      </c>
      <c r="G279" t="s">
        <v>74</v>
      </c>
      <c r="H279" t="s">
        <v>74</v>
      </c>
      <c r="I279" t="s">
        <v>5585</v>
      </c>
      <c r="J279" t="s">
        <v>2627</v>
      </c>
      <c r="K279" t="s">
        <v>74</v>
      </c>
      <c r="L279" t="s">
        <v>74</v>
      </c>
      <c r="M279" t="s">
        <v>78</v>
      </c>
      <c r="N279" t="s">
        <v>99</v>
      </c>
      <c r="O279" t="s">
        <v>74</v>
      </c>
      <c r="P279" t="s">
        <v>74</v>
      </c>
      <c r="Q279" t="s">
        <v>74</v>
      </c>
      <c r="R279" t="s">
        <v>74</v>
      </c>
      <c r="S279" t="s">
        <v>74</v>
      </c>
      <c r="T279" t="s">
        <v>5586</v>
      </c>
      <c r="U279" t="s">
        <v>5587</v>
      </c>
      <c r="V279" t="s">
        <v>5588</v>
      </c>
      <c r="W279" t="s">
        <v>5589</v>
      </c>
      <c r="X279" t="s">
        <v>5590</v>
      </c>
      <c r="Y279" t="s">
        <v>5591</v>
      </c>
      <c r="Z279" t="s">
        <v>5592</v>
      </c>
      <c r="AA279" t="s">
        <v>5593</v>
      </c>
      <c r="AB279" t="s">
        <v>5594</v>
      </c>
      <c r="AC279" t="s">
        <v>5595</v>
      </c>
      <c r="AD279" t="s">
        <v>5595</v>
      </c>
      <c r="AE279" t="s">
        <v>5596</v>
      </c>
      <c r="AF279" t="s">
        <v>74</v>
      </c>
      <c r="AG279">
        <v>200</v>
      </c>
      <c r="AH279">
        <v>96</v>
      </c>
      <c r="AI279">
        <v>112</v>
      </c>
      <c r="AJ279">
        <v>4</v>
      </c>
      <c r="AK279">
        <v>126</v>
      </c>
      <c r="AL279" t="s">
        <v>1175</v>
      </c>
      <c r="AM279" t="s">
        <v>1176</v>
      </c>
      <c r="AN279" t="s">
        <v>2938</v>
      </c>
      <c r="AO279" t="s">
        <v>2642</v>
      </c>
      <c r="AP279" t="s">
        <v>2643</v>
      </c>
      <c r="AQ279" t="s">
        <v>74</v>
      </c>
      <c r="AR279" t="s">
        <v>2644</v>
      </c>
      <c r="AS279" t="s">
        <v>2645</v>
      </c>
      <c r="AT279" t="s">
        <v>200</v>
      </c>
      <c r="AU279">
        <v>2015</v>
      </c>
      <c r="AV279">
        <v>140</v>
      </c>
      <c r="AW279" t="s">
        <v>74</v>
      </c>
      <c r="AX279" t="s">
        <v>74</v>
      </c>
      <c r="AY279" t="s">
        <v>74</v>
      </c>
      <c r="AZ279" t="s">
        <v>74</v>
      </c>
      <c r="BA279" t="s">
        <v>74</v>
      </c>
      <c r="BB279">
        <v>108</v>
      </c>
      <c r="BC279">
        <v>157</v>
      </c>
      <c r="BD279" t="s">
        <v>74</v>
      </c>
      <c r="BE279" t="s">
        <v>5597</v>
      </c>
      <c r="BF279" t="str">
        <f>HYPERLINK("http://dx.doi.org/10.1016/j.earscirev.2014.11.001","http://dx.doi.org/10.1016/j.earscirev.2014.11.001")</f>
        <v>http://dx.doi.org/10.1016/j.earscirev.2014.11.001</v>
      </c>
      <c r="BG279" t="s">
        <v>74</v>
      </c>
      <c r="BH279" t="s">
        <v>74</v>
      </c>
      <c r="BI279">
        <v>50</v>
      </c>
      <c r="BJ279" t="s">
        <v>1953</v>
      </c>
      <c r="BK279" t="s">
        <v>91</v>
      </c>
      <c r="BL279" t="s">
        <v>1954</v>
      </c>
      <c r="BM279" t="s">
        <v>2647</v>
      </c>
      <c r="BN279" t="s">
        <v>74</v>
      </c>
      <c r="BO279" t="s">
        <v>5598</v>
      </c>
      <c r="BP279" t="s">
        <v>74</v>
      </c>
      <c r="BQ279" t="s">
        <v>74</v>
      </c>
      <c r="BR279" t="s">
        <v>93</v>
      </c>
      <c r="BS279" t="s">
        <v>5599</v>
      </c>
      <c r="BT279" t="str">
        <f>HYPERLINK("https%3A%2F%2Fwww.webofscience.com%2Fwos%2Fwoscc%2Ffull-record%2FWOS:000347863500006","View Full Record in Web of Science")</f>
        <v>View Full Record in Web of Science</v>
      </c>
    </row>
    <row r="280" spans="1:72" x14ac:dyDescent="0.15">
      <c r="A280" t="s">
        <v>72</v>
      </c>
      <c r="B280" t="s">
        <v>5600</v>
      </c>
      <c r="C280" t="s">
        <v>74</v>
      </c>
      <c r="D280" t="s">
        <v>74</v>
      </c>
      <c r="E280" t="s">
        <v>74</v>
      </c>
      <c r="F280" t="s">
        <v>5601</v>
      </c>
      <c r="G280" t="s">
        <v>74</v>
      </c>
      <c r="H280" t="s">
        <v>74</v>
      </c>
      <c r="I280" t="s">
        <v>5602</v>
      </c>
      <c r="J280" t="s">
        <v>5603</v>
      </c>
      <c r="K280" t="s">
        <v>74</v>
      </c>
      <c r="L280" t="s">
        <v>74</v>
      </c>
      <c r="M280" t="s">
        <v>78</v>
      </c>
      <c r="N280" t="s">
        <v>99</v>
      </c>
      <c r="O280" t="s">
        <v>74</v>
      </c>
      <c r="P280" t="s">
        <v>74</v>
      </c>
      <c r="Q280" t="s">
        <v>74</v>
      </c>
      <c r="R280" t="s">
        <v>74</v>
      </c>
      <c r="S280" t="s">
        <v>74</v>
      </c>
      <c r="T280" t="s">
        <v>74</v>
      </c>
      <c r="U280" t="s">
        <v>5604</v>
      </c>
      <c r="V280" t="s">
        <v>5605</v>
      </c>
      <c r="W280" t="s">
        <v>5606</v>
      </c>
      <c r="X280" t="s">
        <v>5607</v>
      </c>
      <c r="Y280" t="s">
        <v>5608</v>
      </c>
      <c r="Z280" t="s">
        <v>5609</v>
      </c>
      <c r="AA280" t="s">
        <v>5610</v>
      </c>
      <c r="AB280" t="s">
        <v>5611</v>
      </c>
      <c r="AC280" t="s">
        <v>5612</v>
      </c>
      <c r="AD280" t="s">
        <v>5613</v>
      </c>
      <c r="AE280" t="s">
        <v>5614</v>
      </c>
      <c r="AF280" t="s">
        <v>74</v>
      </c>
      <c r="AG280">
        <v>70</v>
      </c>
      <c r="AH280">
        <v>15</v>
      </c>
      <c r="AI280">
        <v>15</v>
      </c>
      <c r="AJ280">
        <v>0</v>
      </c>
      <c r="AK280">
        <v>4</v>
      </c>
      <c r="AL280" t="s">
        <v>244</v>
      </c>
      <c r="AM280" t="s">
        <v>245</v>
      </c>
      <c r="AN280" t="s">
        <v>246</v>
      </c>
      <c r="AO280" t="s">
        <v>5615</v>
      </c>
      <c r="AP280" t="s">
        <v>5616</v>
      </c>
      <c r="AQ280" t="s">
        <v>74</v>
      </c>
      <c r="AR280" t="s">
        <v>5617</v>
      </c>
      <c r="AS280" t="s">
        <v>5618</v>
      </c>
      <c r="AT280" t="s">
        <v>74</v>
      </c>
      <c r="AU280">
        <v>2015</v>
      </c>
      <c r="AV280">
        <v>3</v>
      </c>
      <c r="AW280">
        <v>1</v>
      </c>
      <c r="AX280" t="s">
        <v>74</v>
      </c>
      <c r="AY280" t="s">
        <v>74</v>
      </c>
      <c r="AZ280" t="s">
        <v>74</v>
      </c>
      <c r="BA280" t="s">
        <v>74</v>
      </c>
      <c r="BB280">
        <v>139</v>
      </c>
      <c r="BC280">
        <v>152</v>
      </c>
      <c r="BD280" t="s">
        <v>74</v>
      </c>
      <c r="BE280" t="s">
        <v>5619</v>
      </c>
      <c r="BF280" t="str">
        <f>HYPERLINK("http://dx.doi.org/10.5194/esurf-3-139-2015","http://dx.doi.org/10.5194/esurf-3-139-2015")</f>
        <v>http://dx.doi.org/10.5194/esurf-3-139-2015</v>
      </c>
      <c r="BG280" t="s">
        <v>74</v>
      </c>
      <c r="BH280" t="s">
        <v>74</v>
      </c>
      <c r="BI280">
        <v>14</v>
      </c>
      <c r="BJ280" t="s">
        <v>372</v>
      </c>
      <c r="BK280" t="s">
        <v>91</v>
      </c>
      <c r="BL280" t="s">
        <v>373</v>
      </c>
      <c r="BM280" t="s">
        <v>5620</v>
      </c>
      <c r="BN280" t="s">
        <v>74</v>
      </c>
      <c r="BO280" t="s">
        <v>805</v>
      </c>
      <c r="BP280" t="s">
        <v>74</v>
      </c>
      <c r="BQ280" t="s">
        <v>74</v>
      </c>
      <c r="BR280" t="s">
        <v>93</v>
      </c>
      <c r="BS280" t="s">
        <v>5621</v>
      </c>
      <c r="BT280" t="str">
        <f>HYPERLINK("https%3A%2F%2Fwww.webofscience.com%2Fwos%2Fwoscc%2Ffull-record%2FWOS:000356874200009","View Full Record in Web of Science")</f>
        <v>View Full Record in Web of Science</v>
      </c>
    </row>
    <row r="281" spans="1:72" x14ac:dyDescent="0.15">
      <c r="A281" t="s">
        <v>72</v>
      </c>
      <c r="B281" t="s">
        <v>5622</v>
      </c>
      <c r="C281" t="s">
        <v>74</v>
      </c>
      <c r="D281" t="s">
        <v>74</v>
      </c>
      <c r="E281" t="s">
        <v>74</v>
      </c>
      <c r="F281" t="s">
        <v>5623</v>
      </c>
      <c r="G281" t="s">
        <v>74</v>
      </c>
      <c r="H281" t="s">
        <v>74</v>
      </c>
      <c r="I281" t="s">
        <v>5624</v>
      </c>
      <c r="J281" t="s">
        <v>5603</v>
      </c>
      <c r="K281" t="s">
        <v>74</v>
      </c>
      <c r="L281" t="s">
        <v>74</v>
      </c>
      <c r="M281" t="s">
        <v>78</v>
      </c>
      <c r="N281" t="s">
        <v>99</v>
      </c>
      <c r="O281" t="s">
        <v>74</v>
      </c>
      <c r="P281" t="s">
        <v>74</v>
      </c>
      <c r="Q281" t="s">
        <v>74</v>
      </c>
      <c r="R281" t="s">
        <v>74</v>
      </c>
      <c r="S281" t="s">
        <v>74</v>
      </c>
      <c r="T281" t="s">
        <v>74</v>
      </c>
      <c r="U281" t="s">
        <v>5625</v>
      </c>
      <c r="V281" t="s">
        <v>5626</v>
      </c>
      <c r="W281" t="s">
        <v>5627</v>
      </c>
      <c r="X281" t="s">
        <v>5628</v>
      </c>
      <c r="Y281" t="s">
        <v>5629</v>
      </c>
      <c r="Z281" t="s">
        <v>5630</v>
      </c>
      <c r="AA281" t="s">
        <v>5631</v>
      </c>
      <c r="AB281" t="s">
        <v>5632</v>
      </c>
      <c r="AC281" t="s">
        <v>5633</v>
      </c>
      <c r="AD281" t="s">
        <v>5634</v>
      </c>
      <c r="AE281" t="s">
        <v>74</v>
      </c>
      <c r="AF281" t="s">
        <v>74</v>
      </c>
      <c r="AG281">
        <v>59</v>
      </c>
      <c r="AH281">
        <v>18</v>
      </c>
      <c r="AI281">
        <v>19</v>
      </c>
      <c r="AJ281">
        <v>0</v>
      </c>
      <c r="AK281">
        <v>14</v>
      </c>
      <c r="AL281" t="s">
        <v>244</v>
      </c>
      <c r="AM281" t="s">
        <v>245</v>
      </c>
      <c r="AN281" t="s">
        <v>246</v>
      </c>
      <c r="AO281" t="s">
        <v>5615</v>
      </c>
      <c r="AP281" t="s">
        <v>5616</v>
      </c>
      <c r="AQ281" t="s">
        <v>74</v>
      </c>
      <c r="AR281" t="s">
        <v>5617</v>
      </c>
      <c r="AS281" t="s">
        <v>5618</v>
      </c>
      <c r="AT281" t="s">
        <v>74</v>
      </c>
      <c r="AU281">
        <v>2015</v>
      </c>
      <c r="AV281">
        <v>3</v>
      </c>
      <c r="AW281">
        <v>2</v>
      </c>
      <c r="AX281" t="s">
        <v>74</v>
      </c>
      <c r="AY281" t="s">
        <v>74</v>
      </c>
      <c r="AZ281" t="s">
        <v>74</v>
      </c>
      <c r="BA281" t="s">
        <v>74</v>
      </c>
      <c r="BB281">
        <v>239</v>
      </c>
      <c r="BC281">
        <v>249</v>
      </c>
      <c r="BD281" t="s">
        <v>74</v>
      </c>
      <c r="BE281" t="s">
        <v>5635</v>
      </c>
      <c r="BF281" t="str">
        <f>HYPERLINK("http://dx.doi.org/10.5194/esurf-3-239-2015","http://dx.doi.org/10.5194/esurf-3-239-2015")</f>
        <v>http://dx.doi.org/10.5194/esurf-3-239-2015</v>
      </c>
      <c r="BG281" t="s">
        <v>74</v>
      </c>
      <c r="BH281" t="s">
        <v>74</v>
      </c>
      <c r="BI281">
        <v>11</v>
      </c>
      <c r="BJ281" t="s">
        <v>372</v>
      </c>
      <c r="BK281" t="s">
        <v>91</v>
      </c>
      <c r="BL281" t="s">
        <v>373</v>
      </c>
      <c r="BM281" t="s">
        <v>5636</v>
      </c>
      <c r="BN281" t="s">
        <v>74</v>
      </c>
      <c r="BO281" t="s">
        <v>255</v>
      </c>
      <c r="BP281" t="s">
        <v>74</v>
      </c>
      <c r="BQ281" t="s">
        <v>74</v>
      </c>
      <c r="BR281" t="s">
        <v>93</v>
      </c>
      <c r="BS281" t="s">
        <v>5637</v>
      </c>
      <c r="BT281" t="str">
        <f>HYPERLINK("https%3A%2F%2Fwww.webofscience.com%2Fwos%2Fwoscc%2Ffull-record%2FWOS:000356874300002","View Full Record in Web of Science")</f>
        <v>View Full Record in Web of Science</v>
      </c>
    </row>
    <row r="282" spans="1:72" x14ac:dyDescent="0.15">
      <c r="A282" t="s">
        <v>72</v>
      </c>
      <c r="B282" t="s">
        <v>5638</v>
      </c>
      <c r="C282" t="s">
        <v>74</v>
      </c>
      <c r="D282" t="s">
        <v>74</v>
      </c>
      <c r="E282" t="s">
        <v>74</v>
      </c>
      <c r="F282" t="s">
        <v>5639</v>
      </c>
      <c r="G282" t="s">
        <v>74</v>
      </c>
      <c r="H282" t="s">
        <v>74</v>
      </c>
      <c r="I282" t="s">
        <v>5640</v>
      </c>
      <c r="J282" t="s">
        <v>620</v>
      </c>
      <c r="K282" t="s">
        <v>74</v>
      </c>
      <c r="L282" t="s">
        <v>74</v>
      </c>
      <c r="M282" t="s">
        <v>78</v>
      </c>
      <c r="N282" t="s">
        <v>5641</v>
      </c>
      <c r="O282" t="s">
        <v>74</v>
      </c>
      <c r="P282" t="s">
        <v>74</v>
      </c>
      <c r="Q282" t="s">
        <v>74</v>
      </c>
      <c r="R282" t="s">
        <v>74</v>
      </c>
      <c r="S282" t="s">
        <v>74</v>
      </c>
      <c r="T282" t="s">
        <v>74</v>
      </c>
      <c r="U282" t="s">
        <v>5642</v>
      </c>
      <c r="V282" t="s">
        <v>5643</v>
      </c>
      <c r="W282" t="s">
        <v>5644</v>
      </c>
      <c r="X282" t="s">
        <v>5645</v>
      </c>
      <c r="Y282" t="s">
        <v>5646</v>
      </c>
      <c r="Z282" t="s">
        <v>5647</v>
      </c>
      <c r="AA282" t="s">
        <v>5648</v>
      </c>
      <c r="AB282" t="s">
        <v>5649</v>
      </c>
      <c r="AC282" t="s">
        <v>5650</v>
      </c>
      <c r="AD282" t="s">
        <v>5651</v>
      </c>
      <c r="AE282" t="s">
        <v>5652</v>
      </c>
      <c r="AF282" t="s">
        <v>74</v>
      </c>
      <c r="AG282">
        <v>128</v>
      </c>
      <c r="AH282">
        <v>403</v>
      </c>
      <c r="AI282">
        <v>430</v>
      </c>
      <c r="AJ282">
        <v>12</v>
      </c>
      <c r="AK282">
        <v>371</v>
      </c>
      <c r="AL282" t="s">
        <v>244</v>
      </c>
      <c r="AM282" t="s">
        <v>245</v>
      </c>
      <c r="AN282" t="s">
        <v>246</v>
      </c>
      <c r="AO282" t="s">
        <v>632</v>
      </c>
      <c r="AP282" t="s">
        <v>633</v>
      </c>
      <c r="AQ282" t="s">
        <v>74</v>
      </c>
      <c r="AR282" t="s">
        <v>634</v>
      </c>
      <c r="AS282" t="s">
        <v>635</v>
      </c>
      <c r="AT282" t="s">
        <v>74</v>
      </c>
      <c r="AU282">
        <v>2015</v>
      </c>
      <c r="AV282">
        <v>7</v>
      </c>
      <c r="AW282">
        <v>1</v>
      </c>
      <c r="AX282" t="s">
        <v>74</v>
      </c>
      <c r="AY282" t="s">
        <v>74</v>
      </c>
      <c r="AZ282" t="s">
        <v>74</v>
      </c>
      <c r="BA282" t="s">
        <v>74</v>
      </c>
      <c r="BB282">
        <v>47</v>
      </c>
      <c r="BC282">
        <v>85</v>
      </c>
      <c r="BD282" t="s">
        <v>74</v>
      </c>
      <c r="BE282" t="s">
        <v>5653</v>
      </c>
      <c r="BF282" t="str">
        <f>HYPERLINK("http://dx.doi.org/10.5194/essd-7-47-2015","http://dx.doi.org/10.5194/essd-7-47-2015")</f>
        <v>http://dx.doi.org/10.5194/essd-7-47-2015</v>
      </c>
      <c r="BG282" t="s">
        <v>74</v>
      </c>
      <c r="BH282" t="s">
        <v>74</v>
      </c>
      <c r="BI282">
        <v>39</v>
      </c>
      <c r="BJ282" t="s">
        <v>637</v>
      </c>
      <c r="BK282" t="s">
        <v>91</v>
      </c>
      <c r="BL282" t="s">
        <v>638</v>
      </c>
      <c r="BM282" t="s">
        <v>639</v>
      </c>
      <c r="BN282" t="s">
        <v>74</v>
      </c>
      <c r="BO282" t="s">
        <v>1989</v>
      </c>
      <c r="BP282" t="s">
        <v>5654</v>
      </c>
      <c r="BQ282" t="s">
        <v>5655</v>
      </c>
      <c r="BR282" t="s">
        <v>93</v>
      </c>
      <c r="BS282" t="s">
        <v>5656</v>
      </c>
      <c r="BT282" t="str">
        <f>HYPERLINK("https%3A%2F%2Fwww.webofscience.com%2Fwos%2Fwoscc%2Ffull-record%2FWOS:000356934300005","View Full Record in Web of Science")</f>
        <v>View Full Record in Web of Science</v>
      </c>
    </row>
    <row r="283" spans="1:72" x14ac:dyDescent="0.15">
      <c r="A283" t="s">
        <v>72</v>
      </c>
      <c r="B283" t="s">
        <v>5657</v>
      </c>
      <c r="C283" t="s">
        <v>74</v>
      </c>
      <c r="D283" t="s">
        <v>74</v>
      </c>
      <c r="E283" t="s">
        <v>74</v>
      </c>
      <c r="F283" t="s">
        <v>5658</v>
      </c>
      <c r="G283" t="s">
        <v>74</v>
      </c>
      <c r="H283" t="s">
        <v>74</v>
      </c>
      <c r="I283" t="s">
        <v>5659</v>
      </c>
      <c r="J283" t="s">
        <v>620</v>
      </c>
      <c r="K283" t="s">
        <v>74</v>
      </c>
      <c r="L283" t="s">
        <v>74</v>
      </c>
      <c r="M283" t="s">
        <v>78</v>
      </c>
      <c r="N283" t="s">
        <v>5641</v>
      </c>
      <c r="O283" t="s">
        <v>74</v>
      </c>
      <c r="P283" t="s">
        <v>74</v>
      </c>
      <c r="Q283" t="s">
        <v>74</v>
      </c>
      <c r="R283" t="s">
        <v>74</v>
      </c>
      <c r="S283" t="s">
        <v>74</v>
      </c>
      <c r="T283" t="s">
        <v>74</v>
      </c>
      <c r="U283" t="s">
        <v>5660</v>
      </c>
      <c r="V283" t="s">
        <v>5661</v>
      </c>
      <c r="W283" t="s">
        <v>5662</v>
      </c>
      <c r="X283" t="s">
        <v>5663</v>
      </c>
      <c r="Y283" t="s">
        <v>5664</v>
      </c>
      <c r="Z283" t="s">
        <v>5665</v>
      </c>
      <c r="AA283" t="s">
        <v>5666</v>
      </c>
      <c r="AB283" t="s">
        <v>5667</v>
      </c>
      <c r="AC283" t="s">
        <v>5668</v>
      </c>
      <c r="AD283" t="s">
        <v>5669</v>
      </c>
      <c r="AE283" t="s">
        <v>5670</v>
      </c>
      <c r="AF283" t="s">
        <v>74</v>
      </c>
      <c r="AG283">
        <v>40</v>
      </c>
      <c r="AH283">
        <v>95</v>
      </c>
      <c r="AI283">
        <v>104</v>
      </c>
      <c r="AJ283">
        <v>6</v>
      </c>
      <c r="AK283">
        <v>72</v>
      </c>
      <c r="AL283" t="s">
        <v>244</v>
      </c>
      <c r="AM283" t="s">
        <v>245</v>
      </c>
      <c r="AN283" t="s">
        <v>246</v>
      </c>
      <c r="AO283" t="s">
        <v>632</v>
      </c>
      <c r="AP283" t="s">
        <v>633</v>
      </c>
      <c r="AQ283" t="s">
        <v>74</v>
      </c>
      <c r="AR283" t="s">
        <v>634</v>
      </c>
      <c r="AS283" t="s">
        <v>635</v>
      </c>
      <c r="AT283" t="s">
        <v>74</v>
      </c>
      <c r="AU283">
        <v>2015</v>
      </c>
      <c r="AV283">
        <v>7</v>
      </c>
      <c r="AW283">
        <v>2</v>
      </c>
      <c r="AX283" t="s">
        <v>74</v>
      </c>
      <c r="AY283" t="s">
        <v>74</v>
      </c>
      <c r="AZ283" t="s">
        <v>74</v>
      </c>
      <c r="BA283" t="s">
        <v>74</v>
      </c>
      <c r="BB283">
        <v>245</v>
      </c>
      <c r="BC283">
        <v>259</v>
      </c>
      <c r="BD283" t="s">
        <v>74</v>
      </c>
      <c r="BE283" t="s">
        <v>5671</v>
      </c>
      <c r="BF283" t="str">
        <f>HYPERLINK("http://dx.doi.org/10.5194/essd-7-245-2015","http://dx.doi.org/10.5194/essd-7-245-2015")</f>
        <v>http://dx.doi.org/10.5194/essd-7-245-2015</v>
      </c>
      <c r="BG283" t="s">
        <v>74</v>
      </c>
      <c r="BH283" t="s">
        <v>74</v>
      </c>
      <c r="BI283">
        <v>15</v>
      </c>
      <c r="BJ283" t="s">
        <v>637</v>
      </c>
      <c r="BK283" t="s">
        <v>91</v>
      </c>
      <c r="BL283" t="s">
        <v>638</v>
      </c>
      <c r="BM283" t="s">
        <v>5672</v>
      </c>
      <c r="BN283" t="s">
        <v>74</v>
      </c>
      <c r="BO283" t="s">
        <v>1136</v>
      </c>
      <c r="BP283" t="s">
        <v>74</v>
      </c>
      <c r="BQ283" t="s">
        <v>74</v>
      </c>
      <c r="BR283" t="s">
        <v>93</v>
      </c>
      <c r="BS283" t="s">
        <v>5673</v>
      </c>
      <c r="BT283" t="str">
        <f>HYPERLINK("https%3A%2F%2Fwww.webofscience.com%2Fwos%2Fwoscc%2Ffull-record%2FWOS:000368632100009","View Full Record in Web of Science")</f>
        <v>View Full Record in Web of Science</v>
      </c>
    </row>
    <row r="284" spans="1:72" x14ac:dyDescent="0.15">
      <c r="A284" t="s">
        <v>72</v>
      </c>
      <c r="B284" t="s">
        <v>5674</v>
      </c>
      <c r="C284" t="s">
        <v>74</v>
      </c>
      <c r="D284" t="s">
        <v>74</v>
      </c>
      <c r="E284" t="s">
        <v>74</v>
      </c>
      <c r="F284" t="s">
        <v>5675</v>
      </c>
      <c r="G284" t="s">
        <v>74</v>
      </c>
      <c r="H284" t="s">
        <v>74</v>
      </c>
      <c r="I284" t="s">
        <v>5676</v>
      </c>
      <c r="J284" t="s">
        <v>620</v>
      </c>
      <c r="K284" t="s">
        <v>74</v>
      </c>
      <c r="L284" t="s">
        <v>74</v>
      </c>
      <c r="M284" t="s">
        <v>78</v>
      </c>
      <c r="N284" t="s">
        <v>5641</v>
      </c>
      <c r="O284" t="s">
        <v>74</v>
      </c>
      <c r="P284" t="s">
        <v>74</v>
      </c>
      <c r="Q284" t="s">
        <v>74</v>
      </c>
      <c r="R284" t="s">
        <v>74</v>
      </c>
      <c r="S284" t="s">
        <v>74</v>
      </c>
      <c r="T284" t="s">
        <v>74</v>
      </c>
      <c r="U284" t="s">
        <v>5677</v>
      </c>
      <c r="V284" t="s">
        <v>5678</v>
      </c>
      <c r="W284" t="s">
        <v>5679</v>
      </c>
      <c r="X284" t="s">
        <v>5680</v>
      </c>
      <c r="Y284" t="s">
        <v>5646</v>
      </c>
      <c r="Z284" t="s">
        <v>5647</v>
      </c>
      <c r="AA284" t="s">
        <v>5681</v>
      </c>
      <c r="AB284" t="s">
        <v>5682</v>
      </c>
      <c r="AC284" t="s">
        <v>5683</v>
      </c>
      <c r="AD284" t="s">
        <v>5684</v>
      </c>
      <c r="AE284" t="s">
        <v>5685</v>
      </c>
      <c r="AF284" t="s">
        <v>74</v>
      </c>
      <c r="AG284">
        <v>171</v>
      </c>
      <c r="AH284">
        <v>557</v>
      </c>
      <c r="AI284">
        <v>604</v>
      </c>
      <c r="AJ284">
        <v>11</v>
      </c>
      <c r="AK284">
        <v>421</v>
      </c>
      <c r="AL284" t="s">
        <v>244</v>
      </c>
      <c r="AM284" t="s">
        <v>245</v>
      </c>
      <c r="AN284" t="s">
        <v>246</v>
      </c>
      <c r="AO284" t="s">
        <v>632</v>
      </c>
      <c r="AP284" t="s">
        <v>633</v>
      </c>
      <c r="AQ284" t="s">
        <v>74</v>
      </c>
      <c r="AR284" t="s">
        <v>634</v>
      </c>
      <c r="AS284" t="s">
        <v>635</v>
      </c>
      <c r="AT284" t="s">
        <v>74</v>
      </c>
      <c r="AU284">
        <v>2015</v>
      </c>
      <c r="AV284">
        <v>7</v>
      </c>
      <c r="AW284">
        <v>2</v>
      </c>
      <c r="AX284" t="s">
        <v>74</v>
      </c>
      <c r="AY284" t="s">
        <v>74</v>
      </c>
      <c r="AZ284" t="s">
        <v>74</v>
      </c>
      <c r="BA284" t="s">
        <v>74</v>
      </c>
      <c r="BB284">
        <v>349</v>
      </c>
      <c r="BC284">
        <v>396</v>
      </c>
      <c r="BD284" t="s">
        <v>74</v>
      </c>
      <c r="BE284" t="s">
        <v>5686</v>
      </c>
      <c r="BF284" t="str">
        <f>HYPERLINK("http://dx.doi.org/10.5194/essd-7-349-2015","http://dx.doi.org/10.5194/essd-7-349-2015")</f>
        <v>http://dx.doi.org/10.5194/essd-7-349-2015</v>
      </c>
      <c r="BG284" t="s">
        <v>74</v>
      </c>
      <c r="BH284" t="s">
        <v>74</v>
      </c>
      <c r="BI284">
        <v>48</v>
      </c>
      <c r="BJ284" t="s">
        <v>637</v>
      </c>
      <c r="BK284" t="s">
        <v>91</v>
      </c>
      <c r="BL284" t="s">
        <v>638</v>
      </c>
      <c r="BM284" t="s">
        <v>5672</v>
      </c>
      <c r="BN284" t="s">
        <v>74</v>
      </c>
      <c r="BO284" t="s">
        <v>2099</v>
      </c>
      <c r="BP284" t="s">
        <v>5654</v>
      </c>
      <c r="BQ284" t="s">
        <v>5655</v>
      </c>
      <c r="BR284" t="s">
        <v>93</v>
      </c>
      <c r="BS284" t="s">
        <v>5687</v>
      </c>
      <c r="BT284" t="str">
        <f>HYPERLINK("https%3A%2F%2Fwww.webofscience.com%2Fwos%2Fwoscc%2Ffull-record%2FWOS:000368632100016","View Full Record in Web of Science")</f>
        <v>View Full Record in Web of Science</v>
      </c>
    </row>
    <row r="285" spans="1:72" x14ac:dyDescent="0.15">
      <c r="A285" t="s">
        <v>295</v>
      </c>
      <c r="B285" t="s">
        <v>5688</v>
      </c>
      <c r="C285" t="s">
        <v>74</v>
      </c>
      <c r="D285" t="s">
        <v>5689</v>
      </c>
      <c r="E285" t="s">
        <v>74</v>
      </c>
      <c r="F285" t="s">
        <v>5690</v>
      </c>
      <c r="G285" t="s">
        <v>74</v>
      </c>
      <c r="H285" t="s">
        <v>74</v>
      </c>
      <c r="I285" t="s">
        <v>5691</v>
      </c>
      <c r="J285" t="s">
        <v>5692</v>
      </c>
      <c r="K285" t="s">
        <v>74</v>
      </c>
      <c r="L285" t="s">
        <v>74</v>
      </c>
      <c r="M285" t="s">
        <v>5693</v>
      </c>
      <c r="N285" t="s">
        <v>301</v>
      </c>
      <c r="O285" t="s">
        <v>5694</v>
      </c>
      <c r="P285" t="s">
        <v>5695</v>
      </c>
      <c r="Q285" t="s">
        <v>5696</v>
      </c>
      <c r="R285" t="s">
        <v>74</v>
      </c>
      <c r="S285" t="s">
        <v>5697</v>
      </c>
      <c r="T285" t="s">
        <v>5698</v>
      </c>
      <c r="U285" t="s">
        <v>74</v>
      </c>
      <c r="V285" t="s">
        <v>5699</v>
      </c>
      <c r="W285" t="s">
        <v>5700</v>
      </c>
      <c r="X285" t="s">
        <v>5701</v>
      </c>
      <c r="Y285" t="s">
        <v>5702</v>
      </c>
      <c r="Z285" t="s">
        <v>5703</v>
      </c>
      <c r="AA285" t="s">
        <v>74</v>
      </c>
      <c r="AB285" t="s">
        <v>74</v>
      </c>
      <c r="AC285" t="s">
        <v>74</v>
      </c>
      <c r="AD285" t="s">
        <v>74</v>
      </c>
      <c r="AE285" t="s">
        <v>74</v>
      </c>
      <c r="AF285" t="s">
        <v>74</v>
      </c>
      <c r="AG285">
        <v>6</v>
      </c>
      <c r="AH285">
        <v>0</v>
      </c>
      <c r="AI285">
        <v>0</v>
      </c>
      <c r="AJ285">
        <v>0</v>
      </c>
      <c r="AK285">
        <v>1</v>
      </c>
      <c r="AL285" t="s">
        <v>5704</v>
      </c>
      <c r="AM285" t="s">
        <v>5705</v>
      </c>
      <c r="AN285" t="s">
        <v>5706</v>
      </c>
      <c r="AO285" t="s">
        <v>74</v>
      </c>
      <c r="AP285" t="s">
        <v>74</v>
      </c>
      <c r="AQ285" t="s">
        <v>5707</v>
      </c>
      <c r="AR285" t="s">
        <v>74</v>
      </c>
      <c r="AS285" t="s">
        <v>74</v>
      </c>
      <c r="AT285" t="s">
        <v>74</v>
      </c>
      <c r="AU285">
        <v>2015</v>
      </c>
      <c r="AV285" t="s">
        <v>74</v>
      </c>
      <c r="AW285" t="s">
        <v>74</v>
      </c>
      <c r="AX285" t="s">
        <v>74</v>
      </c>
      <c r="AY285" t="s">
        <v>74</v>
      </c>
      <c r="AZ285" t="s">
        <v>74</v>
      </c>
      <c r="BA285" t="s">
        <v>74</v>
      </c>
      <c r="BB285">
        <v>143</v>
      </c>
      <c r="BC285">
        <v>149</v>
      </c>
      <c r="BD285" t="s">
        <v>74</v>
      </c>
      <c r="BE285" t="s">
        <v>74</v>
      </c>
      <c r="BF285" t="s">
        <v>74</v>
      </c>
      <c r="BG285" t="s">
        <v>74</v>
      </c>
      <c r="BH285" t="s">
        <v>74</v>
      </c>
      <c r="BI285">
        <v>7</v>
      </c>
      <c r="BJ285" t="s">
        <v>5708</v>
      </c>
      <c r="BK285" t="s">
        <v>5709</v>
      </c>
      <c r="BL285" t="s">
        <v>5708</v>
      </c>
      <c r="BM285" t="s">
        <v>5710</v>
      </c>
      <c r="BN285" t="s">
        <v>74</v>
      </c>
      <c r="BO285" t="s">
        <v>74</v>
      </c>
      <c r="BP285" t="s">
        <v>74</v>
      </c>
      <c r="BQ285" t="s">
        <v>74</v>
      </c>
      <c r="BR285" t="s">
        <v>93</v>
      </c>
      <c r="BS285" t="s">
        <v>5711</v>
      </c>
      <c r="BT285" t="str">
        <f>HYPERLINK("https%3A%2F%2Fwww.webofscience.com%2Fwos%2Fwoscc%2Ffull-record%2FWOS:000414777000019","View Full Record in Web of Science")</f>
        <v>View Full Record in Web of Science</v>
      </c>
    </row>
    <row r="286" spans="1:72" x14ac:dyDescent="0.15">
      <c r="A286" t="s">
        <v>72</v>
      </c>
      <c r="B286" t="s">
        <v>5712</v>
      </c>
      <c r="C286" t="s">
        <v>74</v>
      </c>
      <c r="D286" t="s">
        <v>74</v>
      </c>
      <c r="E286" t="s">
        <v>74</v>
      </c>
      <c r="F286" t="s">
        <v>5713</v>
      </c>
      <c r="G286" t="s">
        <v>74</v>
      </c>
      <c r="H286" t="s">
        <v>74</v>
      </c>
      <c r="I286" t="s">
        <v>5714</v>
      </c>
      <c r="J286" t="s">
        <v>401</v>
      </c>
      <c r="K286" t="s">
        <v>74</v>
      </c>
      <c r="L286" t="s">
        <v>74</v>
      </c>
      <c r="M286" t="s">
        <v>78</v>
      </c>
      <c r="N286" t="s">
        <v>99</v>
      </c>
      <c r="O286" t="s">
        <v>74</v>
      </c>
      <c r="P286" t="s">
        <v>74</v>
      </c>
      <c r="Q286" t="s">
        <v>74</v>
      </c>
      <c r="R286" t="s">
        <v>74</v>
      </c>
      <c r="S286" t="s">
        <v>74</v>
      </c>
      <c r="T286" t="s">
        <v>5715</v>
      </c>
      <c r="U286" t="s">
        <v>5716</v>
      </c>
      <c r="V286" t="s">
        <v>5717</v>
      </c>
      <c r="W286" t="s">
        <v>5718</v>
      </c>
      <c r="X286" t="s">
        <v>5719</v>
      </c>
      <c r="Y286" t="s">
        <v>5720</v>
      </c>
      <c r="Z286" t="s">
        <v>5721</v>
      </c>
      <c r="AA286" t="s">
        <v>5722</v>
      </c>
      <c r="AB286" t="s">
        <v>5723</v>
      </c>
      <c r="AC286" t="s">
        <v>5724</v>
      </c>
      <c r="AD286" t="s">
        <v>5725</v>
      </c>
      <c r="AE286" t="s">
        <v>5726</v>
      </c>
      <c r="AF286" t="s">
        <v>74</v>
      </c>
      <c r="AG286">
        <v>34</v>
      </c>
      <c r="AH286">
        <v>12</v>
      </c>
      <c r="AI286">
        <v>13</v>
      </c>
      <c r="AJ286">
        <v>1</v>
      </c>
      <c r="AK286">
        <v>42</v>
      </c>
      <c r="AL286" t="s">
        <v>5727</v>
      </c>
      <c r="AM286" t="s">
        <v>415</v>
      </c>
      <c r="AN286" t="s">
        <v>416</v>
      </c>
      <c r="AO286" t="s">
        <v>417</v>
      </c>
      <c r="AP286" t="s">
        <v>418</v>
      </c>
      <c r="AQ286" t="s">
        <v>74</v>
      </c>
      <c r="AR286" t="s">
        <v>419</v>
      </c>
      <c r="AS286" t="s">
        <v>420</v>
      </c>
      <c r="AT286" t="s">
        <v>74</v>
      </c>
      <c r="AU286">
        <v>2015</v>
      </c>
      <c r="AV286">
        <v>115</v>
      </c>
      <c r="AW286">
        <v>2</v>
      </c>
      <c r="AX286" t="s">
        <v>74</v>
      </c>
      <c r="AY286" t="s">
        <v>74</v>
      </c>
      <c r="AZ286" t="s">
        <v>74</v>
      </c>
      <c r="BA286" t="s">
        <v>74</v>
      </c>
      <c r="BB286">
        <v>158</v>
      </c>
      <c r="BC286">
        <v>167</v>
      </c>
      <c r="BD286" t="s">
        <v>74</v>
      </c>
      <c r="BE286" t="s">
        <v>5728</v>
      </c>
      <c r="BF286" t="str">
        <f>HYPERLINK("http://dx.doi.org/10.1071/MU13112","http://dx.doi.org/10.1071/MU13112")</f>
        <v>http://dx.doi.org/10.1071/MU13112</v>
      </c>
      <c r="BG286" t="s">
        <v>74</v>
      </c>
      <c r="BH286" t="s">
        <v>74</v>
      </c>
      <c r="BI286">
        <v>10</v>
      </c>
      <c r="BJ286" t="s">
        <v>422</v>
      </c>
      <c r="BK286" t="s">
        <v>91</v>
      </c>
      <c r="BL286" t="s">
        <v>423</v>
      </c>
      <c r="BM286" t="s">
        <v>1154</v>
      </c>
      <c r="BN286" t="s">
        <v>74</v>
      </c>
      <c r="BO286" t="s">
        <v>4631</v>
      </c>
      <c r="BP286" t="s">
        <v>74</v>
      </c>
      <c r="BQ286" t="s">
        <v>74</v>
      </c>
      <c r="BR286" t="s">
        <v>93</v>
      </c>
      <c r="BS286" t="s">
        <v>5729</v>
      </c>
      <c r="BT286" t="str">
        <f>HYPERLINK("https%3A%2F%2Fwww.webofscience.com%2Fwos%2Fwoscc%2Ffull-record%2FWOS:000354177600008","View Full Record in Web of Science")</f>
        <v>View Full Record in Web of Science</v>
      </c>
    </row>
    <row r="287" spans="1:72" x14ac:dyDescent="0.15">
      <c r="A287" t="s">
        <v>72</v>
      </c>
      <c r="B287" t="s">
        <v>5730</v>
      </c>
      <c r="C287" t="s">
        <v>74</v>
      </c>
      <c r="D287" t="s">
        <v>74</v>
      </c>
      <c r="E287" t="s">
        <v>74</v>
      </c>
      <c r="F287" t="s">
        <v>5731</v>
      </c>
      <c r="G287" t="s">
        <v>74</v>
      </c>
      <c r="H287" t="s">
        <v>74</v>
      </c>
      <c r="I287" t="s">
        <v>5732</v>
      </c>
      <c r="J287" t="s">
        <v>5733</v>
      </c>
      <c r="K287" t="s">
        <v>74</v>
      </c>
      <c r="L287" t="s">
        <v>74</v>
      </c>
      <c r="M287" t="s">
        <v>78</v>
      </c>
      <c r="N287" t="s">
        <v>99</v>
      </c>
      <c r="O287" t="s">
        <v>74</v>
      </c>
      <c r="P287" t="s">
        <v>74</v>
      </c>
      <c r="Q287" t="s">
        <v>74</v>
      </c>
      <c r="R287" t="s">
        <v>74</v>
      </c>
      <c r="S287" t="s">
        <v>74</v>
      </c>
      <c r="T287" t="s">
        <v>74</v>
      </c>
      <c r="U287" t="s">
        <v>5734</v>
      </c>
      <c r="V287" t="s">
        <v>5735</v>
      </c>
      <c r="W287" t="s">
        <v>5736</v>
      </c>
      <c r="X287" t="s">
        <v>5737</v>
      </c>
      <c r="Y287" t="s">
        <v>5738</v>
      </c>
      <c r="Z287" t="s">
        <v>5739</v>
      </c>
      <c r="AA287" t="s">
        <v>5740</v>
      </c>
      <c r="AB287" t="s">
        <v>5741</v>
      </c>
      <c r="AC287" t="s">
        <v>5742</v>
      </c>
      <c r="AD287" t="s">
        <v>5743</v>
      </c>
      <c r="AE287" t="s">
        <v>5744</v>
      </c>
      <c r="AF287" t="s">
        <v>74</v>
      </c>
      <c r="AG287">
        <v>56</v>
      </c>
      <c r="AH287">
        <v>4</v>
      </c>
      <c r="AI287">
        <v>5</v>
      </c>
      <c r="AJ287">
        <v>0</v>
      </c>
      <c r="AK287">
        <v>23</v>
      </c>
      <c r="AL287" t="s">
        <v>1219</v>
      </c>
      <c r="AM287" t="s">
        <v>1220</v>
      </c>
      <c r="AN287" t="s">
        <v>1221</v>
      </c>
      <c r="AO287" t="s">
        <v>5745</v>
      </c>
      <c r="AP287" t="s">
        <v>5746</v>
      </c>
      <c r="AQ287" t="s">
        <v>74</v>
      </c>
      <c r="AR287" t="s">
        <v>5747</v>
      </c>
      <c r="AS287" t="s">
        <v>5748</v>
      </c>
      <c r="AT287" t="s">
        <v>74</v>
      </c>
      <c r="AU287">
        <v>2015</v>
      </c>
      <c r="AV287">
        <v>28</v>
      </c>
      <c r="AW287">
        <v>2</v>
      </c>
      <c r="AX287" t="s">
        <v>74</v>
      </c>
      <c r="AY287" t="s">
        <v>74</v>
      </c>
      <c r="AZ287" t="s">
        <v>74</v>
      </c>
      <c r="BA287" t="s">
        <v>74</v>
      </c>
      <c r="BB287">
        <v>147</v>
      </c>
      <c r="BC287">
        <v>162</v>
      </c>
      <c r="BD287" t="s">
        <v>74</v>
      </c>
      <c r="BE287" t="s">
        <v>5749</v>
      </c>
      <c r="BF287" t="str">
        <f>HYPERLINK("http://dx.doi.org/10.3354/esr00686","http://dx.doi.org/10.3354/esr00686")</f>
        <v>http://dx.doi.org/10.3354/esr00686</v>
      </c>
      <c r="BG287" t="s">
        <v>74</v>
      </c>
      <c r="BH287" t="s">
        <v>74</v>
      </c>
      <c r="BI287">
        <v>16</v>
      </c>
      <c r="BJ287" t="s">
        <v>4676</v>
      </c>
      <c r="BK287" t="s">
        <v>91</v>
      </c>
      <c r="BL287" t="s">
        <v>4677</v>
      </c>
      <c r="BM287" t="s">
        <v>5750</v>
      </c>
      <c r="BN287" t="s">
        <v>74</v>
      </c>
      <c r="BO287" t="s">
        <v>5751</v>
      </c>
      <c r="BP287" t="s">
        <v>74</v>
      </c>
      <c r="BQ287" t="s">
        <v>74</v>
      </c>
      <c r="BR287" t="s">
        <v>93</v>
      </c>
      <c r="BS287" t="s">
        <v>5752</v>
      </c>
      <c r="BT287" t="str">
        <f>HYPERLINK("https%3A%2F%2Fwww.webofscience.com%2Fwos%2Fwoscc%2Ffull-record%2FWOS:000361551100006","View Full Record in Web of Science")</f>
        <v>View Full Record in Web of Science</v>
      </c>
    </row>
    <row r="288" spans="1:72" x14ac:dyDescent="0.15">
      <c r="A288" t="s">
        <v>72</v>
      </c>
      <c r="B288" t="s">
        <v>5753</v>
      </c>
      <c r="C288" t="s">
        <v>74</v>
      </c>
      <c r="D288" t="s">
        <v>74</v>
      </c>
      <c r="E288" t="s">
        <v>74</v>
      </c>
      <c r="F288" t="s">
        <v>5754</v>
      </c>
      <c r="G288" t="s">
        <v>74</v>
      </c>
      <c r="H288" t="s">
        <v>74</v>
      </c>
      <c r="I288" t="s">
        <v>5755</v>
      </c>
      <c r="J288" t="s">
        <v>5733</v>
      </c>
      <c r="K288" t="s">
        <v>74</v>
      </c>
      <c r="L288" t="s">
        <v>74</v>
      </c>
      <c r="M288" t="s">
        <v>78</v>
      </c>
      <c r="N288" t="s">
        <v>99</v>
      </c>
      <c r="O288" t="s">
        <v>74</v>
      </c>
      <c r="P288" t="s">
        <v>74</v>
      </c>
      <c r="Q288" t="s">
        <v>74</v>
      </c>
      <c r="R288" t="s">
        <v>74</v>
      </c>
      <c r="S288" t="s">
        <v>74</v>
      </c>
      <c r="T288" t="s">
        <v>74</v>
      </c>
      <c r="U288" t="s">
        <v>5756</v>
      </c>
      <c r="V288" t="s">
        <v>5757</v>
      </c>
      <c r="W288" t="s">
        <v>5758</v>
      </c>
      <c r="X288" t="s">
        <v>5759</v>
      </c>
      <c r="Y288" t="s">
        <v>5760</v>
      </c>
      <c r="Z288" t="s">
        <v>5761</v>
      </c>
      <c r="AA288" t="s">
        <v>5762</v>
      </c>
      <c r="AB288" t="s">
        <v>5763</v>
      </c>
      <c r="AC288" t="s">
        <v>74</v>
      </c>
      <c r="AD288" t="s">
        <v>74</v>
      </c>
      <c r="AE288" t="s">
        <v>74</v>
      </c>
      <c r="AF288" t="s">
        <v>74</v>
      </c>
      <c r="AG288">
        <v>64</v>
      </c>
      <c r="AH288">
        <v>34</v>
      </c>
      <c r="AI288">
        <v>45</v>
      </c>
      <c r="AJ288">
        <v>2</v>
      </c>
      <c r="AK288">
        <v>33</v>
      </c>
      <c r="AL288" t="s">
        <v>1219</v>
      </c>
      <c r="AM288" t="s">
        <v>1220</v>
      </c>
      <c r="AN288" t="s">
        <v>1221</v>
      </c>
      <c r="AO288" t="s">
        <v>5745</v>
      </c>
      <c r="AP288" t="s">
        <v>5746</v>
      </c>
      <c r="AQ288" t="s">
        <v>74</v>
      </c>
      <c r="AR288" t="s">
        <v>5747</v>
      </c>
      <c r="AS288" t="s">
        <v>5748</v>
      </c>
      <c r="AT288" t="s">
        <v>74</v>
      </c>
      <c r="AU288">
        <v>2015</v>
      </c>
      <c r="AV288">
        <v>26</v>
      </c>
      <c r="AW288">
        <v>3</v>
      </c>
      <c r="AX288" t="s">
        <v>74</v>
      </c>
      <c r="AY288" t="s">
        <v>74</v>
      </c>
      <c r="AZ288" t="s">
        <v>74</v>
      </c>
      <c r="BA288" t="s">
        <v>74</v>
      </c>
      <c r="BB288">
        <v>257</v>
      </c>
      <c r="BC288">
        <v>269</v>
      </c>
      <c r="BD288" t="s">
        <v>74</v>
      </c>
      <c r="BE288" t="s">
        <v>5764</v>
      </c>
      <c r="BF288" t="str">
        <f>HYPERLINK("http://dx.doi.org/10.3354/esr00642","http://dx.doi.org/10.3354/esr00642")</f>
        <v>http://dx.doi.org/10.3354/esr00642</v>
      </c>
      <c r="BG288" t="s">
        <v>74</v>
      </c>
      <c r="BH288" t="s">
        <v>74</v>
      </c>
      <c r="BI288">
        <v>13</v>
      </c>
      <c r="BJ288" t="s">
        <v>4676</v>
      </c>
      <c r="BK288" t="s">
        <v>91</v>
      </c>
      <c r="BL288" t="s">
        <v>4677</v>
      </c>
      <c r="BM288" t="s">
        <v>5765</v>
      </c>
      <c r="BN288" t="s">
        <v>74</v>
      </c>
      <c r="BO288" t="s">
        <v>1393</v>
      </c>
      <c r="BP288" t="s">
        <v>74</v>
      </c>
      <c r="BQ288" t="s">
        <v>74</v>
      </c>
      <c r="BR288" t="s">
        <v>93</v>
      </c>
      <c r="BS288" t="s">
        <v>5766</v>
      </c>
      <c r="BT288" t="str">
        <f>HYPERLINK("https%3A%2F%2Fwww.webofscience.com%2Fwos%2Fwoscc%2Ffull-record%2FWOS:000349154400007","View Full Record in Web of Science")</f>
        <v>View Full Record in Web of Science</v>
      </c>
    </row>
    <row r="289" spans="1:72" x14ac:dyDescent="0.15">
      <c r="A289" t="s">
        <v>72</v>
      </c>
      <c r="B289" t="s">
        <v>5767</v>
      </c>
      <c r="C289" t="s">
        <v>74</v>
      </c>
      <c r="D289" t="s">
        <v>74</v>
      </c>
      <c r="E289" t="s">
        <v>74</v>
      </c>
      <c r="F289" t="s">
        <v>5768</v>
      </c>
      <c r="G289" t="s">
        <v>74</v>
      </c>
      <c r="H289" t="s">
        <v>74</v>
      </c>
      <c r="I289" t="s">
        <v>5769</v>
      </c>
      <c r="J289" t="s">
        <v>1498</v>
      </c>
      <c r="K289" t="s">
        <v>74</v>
      </c>
      <c r="L289" t="s">
        <v>74</v>
      </c>
      <c r="M289" t="s">
        <v>78</v>
      </c>
      <c r="N289" t="s">
        <v>99</v>
      </c>
      <c r="O289" t="s">
        <v>74</v>
      </c>
      <c r="P289" t="s">
        <v>74</v>
      </c>
      <c r="Q289" t="s">
        <v>74</v>
      </c>
      <c r="R289" t="s">
        <v>74</v>
      </c>
      <c r="S289" t="s">
        <v>74</v>
      </c>
      <c r="T289" t="s">
        <v>74</v>
      </c>
      <c r="U289" t="s">
        <v>5770</v>
      </c>
      <c r="V289" t="s">
        <v>5771</v>
      </c>
      <c r="W289" t="s">
        <v>5772</v>
      </c>
      <c r="X289" t="s">
        <v>1406</v>
      </c>
      <c r="Y289" t="s">
        <v>5773</v>
      </c>
      <c r="Z289" t="s">
        <v>5774</v>
      </c>
      <c r="AA289" t="s">
        <v>5775</v>
      </c>
      <c r="AB289" t="s">
        <v>5776</v>
      </c>
      <c r="AC289" t="s">
        <v>5777</v>
      </c>
      <c r="AD289" t="s">
        <v>5778</v>
      </c>
      <c r="AE289" t="s">
        <v>5779</v>
      </c>
      <c r="AF289" t="s">
        <v>74</v>
      </c>
      <c r="AG289">
        <v>39</v>
      </c>
      <c r="AH289">
        <v>17</v>
      </c>
      <c r="AI289">
        <v>17</v>
      </c>
      <c r="AJ289">
        <v>3</v>
      </c>
      <c r="AK289">
        <v>45</v>
      </c>
      <c r="AL289" t="s">
        <v>1061</v>
      </c>
      <c r="AM289" t="s">
        <v>1062</v>
      </c>
      <c r="AN289" t="s">
        <v>1063</v>
      </c>
      <c r="AO289" t="s">
        <v>1511</v>
      </c>
      <c r="AP289" t="s">
        <v>1512</v>
      </c>
      <c r="AQ289" t="s">
        <v>74</v>
      </c>
      <c r="AR289" t="s">
        <v>1513</v>
      </c>
      <c r="AS289" t="s">
        <v>1514</v>
      </c>
      <c r="AT289" t="s">
        <v>74</v>
      </c>
      <c r="AU289">
        <v>2015</v>
      </c>
      <c r="AV289">
        <v>12</v>
      </c>
      <c r="AW289">
        <v>2</v>
      </c>
      <c r="AX289" t="s">
        <v>74</v>
      </c>
      <c r="AY289" t="s">
        <v>74</v>
      </c>
      <c r="AZ289" t="s">
        <v>74</v>
      </c>
      <c r="BA289" t="s">
        <v>74</v>
      </c>
      <c r="BB289">
        <v>245</v>
      </c>
      <c r="BC289">
        <v>252</v>
      </c>
      <c r="BD289" t="s">
        <v>74</v>
      </c>
      <c r="BE289" t="s">
        <v>5780</v>
      </c>
      <c r="BF289" t="str">
        <f>HYPERLINK("http://dx.doi.org/10.1071/EN14185","http://dx.doi.org/10.1071/EN14185")</f>
        <v>http://dx.doi.org/10.1071/EN14185</v>
      </c>
      <c r="BG289" t="s">
        <v>74</v>
      </c>
      <c r="BH289" t="s">
        <v>74</v>
      </c>
      <c r="BI289">
        <v>8</v>
      </c>
      <c r="BJ289" t="s">
        <v>571</v>
      </c>
      <c r="BK289" t="s">
        <v>91</v>
      </c>
      <c r="BL289" t="s">
        <v>572</v>
      </c>
      <c r="BM289" t="s">
        <v>1516</v>
      </c>
      <c r="BN289" t="s">
        <v>74</v>
      </c>
      <c r="BO289" t="s">
        <v>74</v>
      </c>
      <c r="BP289" t="s">
        <v>74</v>
      </c>
      <c r="BQ289" t="s">
        <v>74</v>
      </c>
      <c r="BR289" t="s">
        <v>93</v>
      </c>
      <c r="BS289" t="s">
        <v>5781</v>
      </c>
      <c r="BT289" t="str">
        <f>HYPERLINK("https%3A%2F%2Fwww.webofscience.com%2Fwos%2Fwoscc%2Ffull-record%2FWOS:000351999300016","View Full Record in Web of Science")</f>
        <v>View Full Record in Web of Science</v>
      </c>
    </row>
    <row r="290" spans="1:72" x14ac:dyDescent="0.15">
      <c r="A290" t="s">
        <v>295</v>
      </c>
      <c r="B290" t="s">
        <v>5782</v>
      </c>
      <c r="C290" t="s">
        <v>74</v>
      </c>
      <c r="D290" t="s">
        <v>5783</v>
      </c>
      <c r="E290" t="s">
        <v>74</v>
      </c>
      <c r="F290" t="s">
        <v>5784</v>
      </c>
      <c r="G290" t="s">
        <v>74</v>
      </c>
      <c r="H290" t="s">
        <v>74</v>
      </c>
      <c r="I290" t="s">
        <v>5785</v>
      </c>
      <c r="J290" t="s">
        <v>5786</v>
      </c>
      <c r="K290" t="s">
        <v>74</v>
      </c>
      <c r="L290" t="s">
        <v>74</v>
      </c>
      <c r="M290" t="s">
        <v>78</v>
      </c>
      <c r="N290" t="s">
        <v>301</v>
      </c>
      <c r="O290" t="s">
        <v>5787</v>
      </c>
      <c r="P290" t="s">
        <v>5788</v>
      </c>
      <c r="Q290" t="s">
        <v>5789</v>
      </c>
      <c r="R290" t="s">
        <v>74</v>
      </c>
      <c r="S290" t="s">
        <v>74</v>
      </c>
      <c r="T290" t="s">
        <v>74</v>
      </c>
      <c r="U290" t="s">
        <v>5790</v>
      </c>
      <c r="V290" t="s">
        <v>5791</v>
      </c>
      <c r="W290" t="s">
        <v>5792</v>
      </c>
      <c r="X290" t="s">
        <v>5793</v>
      </c>
      <c r="Y290" t="s">
        <v>5794</v>
      </c>
      <c r="Z290" t="s">
        <v>74</v>
      </c>
      <c r="AA290" t="s">
        <v>74</v>
      </c>
      <c r="AB290" t="s">
        <v>74</v>
      </c>
      <c r="AC290" t="s">
        <v>5795</v>
      </c>
      <c r="AD290" t="s">
        <v>5796</v>
      </c>
      <c r="AE290" t="s">
        <v>5797</v>
      </c>
      <c r="AF290" t="s">
        <v>74</v>
      </c>
      <c r="AG290">
        <v>32</v>
      </c>
      <c r="AH290">
        <v>0</v>
      </c>
      <c r="AI290">
        <v>0</v>
      </c>
      <c r="AJ290">
        <v>1</v>
      </c>
      <c r="AK290">
        <v>2</v>
      </c>
      <c r="AL290" t="s">
        <v>5798</v>
      </c>
      <c r="AM290" t="s">
        <v>387</v>
      </c>
      <c r="AN290" t="s">
        <v>5799</v>
      </c>
      <c r="AO290" t="s">
        <v>74</v>
      </c>
      <c r="AP290" t="s">
        <v>74</v>
      </c>
      <c r="AQ290" t="s">
        <v>5800</v>
      </c>
      <c r="AR290" t="s">
        <v>74</v>
      </c>
      <c r="AS290" t="s">
        <v>74</v>
      </c>
      <c r="AT290" t="s">
        <v>74</v>
      </c>
      <c r="AU290">
        <v>2015</v>
      </c>
      <c r="AV290" t="s">
        <v>74</v>
      </c>
      <c r="AW290" t="s">
        <v>74</v>
      </c>
      <c r="AX290" t="s">
        <v>74</v>
      </c>
      <c r="AY290" t="s">
        <v>74</v>
      </c>
      <c r="AZ290" t="s">
        <v>74</v>
      </c>
      <c r="BA290" t="s">
        <v>74</v>
      </c>
      <c r="BB290">
        <v>207</v>
      </c>
      <c r="BC290">
        <v>212</v>
      </c>
      <c r="BD290" t="s">
        <v>74</v>
      </c>
      <c r="BE290" t="s">
        <v>74</v>
      </c>
      <c r="BF290" t="s">
        <v>74</v>
      </c>
      <c r="BG290" t="s">
        <v>74</v>
      </c>
      <c r="BH290" t="s">
        <v>74</v>
      </c>
      <c r="BI290">
        <v>6</v>
      </c>
      <c r="BJ290" t="s">
        <v>5801</v>
      </c>
      <c r="BK290" t="s">
        <v>320</v>
      </c>
      <c r="BL290" t="s">
        <v>5802</v>
      </c>
      <c r="BM290" t="s">
        <v>5803</v>
      </c>
      <c r="BN290" t="s">
        <v>74</v>
      </c>
      <c r="BO290" t="s">
        <v>74</v>
      </c>
      <c r="BP290" t="s">
        <v>74</v>
      </c>
      <c r="BQ290" t="s">
        <v>74</v>
      </c>
      <c r="BR290" t="s">
        <v>93</v>
      </c>
      <c r="BS290" t="s">
        <v>5804</v>
      </c>
      <c r="BT290" t="str">
        <f>HYPERLINK("https%3A%2F%2Fwww.webofscience.com%2Fwos%2Fwoscc%2Ffull-record%2FWOS:000556194200035","View Full Record in Web of Science")</f>
        <v>View Full Record in Web of Science</v>
      </c>
    </row>
    <row r="291" spans="1:72" x14ac:dyDescent="0.15">
      <c r="A291" t="s">
        <v>72</v>
      </c>
      <c r="B291" t="s">
        <v>5805</v>
      </c>
      <c r="C291" t="s">
        <v>74</v>
      </c>
      <c r="D291" t="s">
        <v>74</v>
      </c>
      <c r="E291" t="s">
        <v>74</v>
      </c>
      <c r="F291" t="s">
        <v>5806</v>
      </c>
      <c r="G291" t="s">
        <v>74</v>
      </c>
      <c r="H291" t="s">
        <v>74</v>
      </c>
      <c r="I291" t="s">
        <v>5807</v>
      </c>
      <c r="J291" t="s">
        <v>554</v>
      </c>
      <c r="K291" t="s">
        <v>74</v>
      </c>
      <c r="L291" t="s">
        <v>74</v>
      </c>
      <c r="M291" t="s">
        <v>78</v>
      </c>
      <c r="N291" t="s">
        <v>99</v>
      </c>
      <c r="O291" t="s">
        <v>74</v>
      </c>
      <c r="P291" t="s">
        <v>74</v>
      </c>
      <c r="Q291" t="s">
        <v>74</v>
      </c>
      <c r="R291" t="s">
        <v>74</v>
      </c>
      <c r="S291" t="s">
        <v>74</v>
      </c>
      <c r="T291" t="s">
        <v>74</v>
      </c>
      <c r="U291" t="s">
        <v>5808</v>
      </c>
      <c r="V291" t="s">
        <v>5809</v>
      </c>
      <c r="W291" t="s">
        <v>5810</v>
      </c>
      <c r="X291" t="s">
        <v>5811</v>
      </c>
      <c r="Y291" t="s">
        <v>5812</v>
      </c>
      <c r="Z291" t="s">
        <v>5813</v>
      </c>
      <c r="AA291" t="s">
        <v>5814</v>
      </c>
      <c r="AB291" t="s">
        <v>5815</v>
      </c>
      <c r="AC291" t="s">
        <v>5816</v>
      </c>
      <c r="AD291" t="s">
        <v>5817</v>
      </c>
      <c r="AE291" t="s">
        <v>5818</v>
      </c>
      <c r="AF291" t="s">
        <v>74</v>
      </c>
      <c r="AG291">
        <v>51</v>
      </c>
      <c r="AH291">
        <v>53</v>
      </c>
      <c r="AI291">
        <v>60</v>
      </c>
      <c r="AJ291">
        <v>0</v>
      </c>
      <c r="AK291">
        <v>46</v>
      </c>
      <c r="AL291" t="s">
        <v>111</v>
      </c>
      <c r="AM291" t="s">
        <v>112</v>
      </c>
      <c r="AN291" t="s">
        <v>113</v>
      </c>
      <c r="AO291" t="s">
        <v>566</v>
      </c>
      <c r="AP291" t="s">
        <v>567</v>
      </c>
      <c r="AQ291" t="s">
        <v>74</v>
      </c>
      <c r="AR291" t="s">
        <v>568</v>
      </c>
      <c r="AS291" t="s">
        <v>569</v>
      </c>
      <c r="AT291" t="s">
        <v>74</v>
      </c>
      <c r="AU291">
        <v>2015</v>
      </c>
      <c r="AV291">
        <v>17</v>
      </c>
      <c r="AW291">
        <v>7</v>
      </c>
      <c r="AX291" t="s">
        <v>74</v>
      </c>
      <c r="AY291" t="s">
        <v>74</v>
      </c>
      <c r="AZ291" t="s">
        <v>74</v>
      </c>
      <c r="BA291" t="s">
        <v>74</v>
      </c>
      <c r="BB291">
        <v>1311</v>
      </c>
      <c r="BC291">
        <v>1322</v>
      </c>
      <c r="BD291" t="s">
        <v>74</v>
      </c>
      <c r="BE291" t="s">
        <v>5819</v>
      </c>
      <c r="BF291" t="str">
        <f>HYPERLINK("http://dx.doi.org/10.1039/c4em00683f","http://dx.doi.org/10.1039/c4em00683f")</f>
        <v>http://dx.doi.org/10.1039/c4em00683f</v>
      </c>
      <c r="BG291" t="s">
        <v>74</v>
      </c>
      <c r="BH291" t="s">
        <v>74</v>
      </c>
      <c r="BI291">
        <v>12</v>
      </c>
      <c r="BJ291" t="s">
        <v>571</v>
      </c>
      <c r="BK291" t="s">
        <v>91</v>
      </c>
      <c r="BL291" t="s">
        <v>572</v>
      </c>
      <c r="BM291" t="s">
        <v>573</v>
      </c>
      <c r="BN291">
        <v>26086045</v>
      </c>
      <c r="BO291" t="s">
        <v>4631</v>
      </c>
      <c r="BP291" t="s">
        <v>74</v>
      </c>
      <c r="BQ291" t="s">
        <v>74</v>
      </c>
      <c r="BR291" t="s">
        <v>93</v>
      </c>
      <c r="BS291" t="s">
        <v>5820</v>
      </c>
      <c r="BT291" t="str">
        <f>HYPERLINK("https%3A%2F%2Fwww.webofscience.com%2Fwos%2Fwoscc%2Ffull-record%2FWOS:000357793300012","View Full Record in Web of Science")</f>
        <v>View Full Record in Web of Science</v>
      </c>
    </row>
    <row r="292" spans="1:72" x14ac:dyDescent="0.15">
      <c r="A292" t="s">
        <v>1395</v>
      </c>
      <c r="B292" t="s">
        <v>5821</v>
      </c>
      <c r="C292" t="s">
        <v>74</v>
      </c>
      <c r="D292" t="s">
        <v>5822</v>
      </c>
      <c r="E292" t="s">
        <v>74</v>
      </c>
      <c r="F292" t="s">
        <v>5823</v>
      </c>
      <c r="G292" t="s">
        <v>74</v>
      </c>
      <c r="H292" t="s">
        <v>74</v>
      </c>
      <c r="I292" t="s">
        <v>5824</v>
      </c>
      <c r="J292" t="s">
        <v>5825</v>
      </c>
      <c r="K292" t="s">
        <v>74</v>
      </c>
      <c r="L292" t="s">
        <v>74</v>
      </c>
      <c r="M292" t="s">
        <v>78</v>
      </c>
      <c r="N292" t="s">
        <v>918</v>
      </c>
      <c r="O292" t="s">
        <v>74</v>
      </c>
      <c r="P292" t="s">
        <v>74</v>
      </c>
      <c r="Q292" t="s">
        <v>74</v>
      </c>
      <c r="R292" t="s">
        <v>74</v>
      </c>
      <c r="S292" t="s">
        <v>74</v>
      </c>
      <c r="T292" t="s">
        <v>74</v>
      </c>
      <c r="U292" t="s">
        <v>74</v>
      </c>
      <c r="V292" t="s">
        <v>74</v>
      </c>
      <c r="W292" t="s">
        <v>5826</v>
      </c>
      <c r="X292" t="s">
        <v>5827</v>
      </c>
      <c r="Y292" t="s">
        <v>5828</v>
      </c>
      <c r="Z292" t="s">
        <v>74</v>
      </c>
      <c r="AA292" t="s">
        <v>74</v>
      </c>
      <c r="AB292" t="s">
        <v>74</v>
      </c>
      <c r="AC292" t="s">
        <v>74</v>
      </c>
      <c r="AD292" t="s">
        <v>74</v>
      </c>
      <c r="AE292" t="s">
        <v>74</v>
      </c>
      <c r="AF292" t="s">
        <v>74</v>
      </c>
      <c r="AG292">
        <v>4</v>
      </c>
      <c r="AH292">
        <v>0</v>
      </c>
      <c r="AI292">
        <v>0</v>
      </c>
      <c r="AJ292">
        <v>0</v>
      </c>
      <c r="AK292">
        <v>1</v>
      </c>
      <c r="AL292" t="s">
        <v>5829</v>
      </c>
      <c r="AM292" t="s">
        <v>83</v>
      </c>
      <c r="AN292" t="s">
        <v>5830</v>
      </c>
      <c r="AO292" t="s">
        <v>74</v>
      </c>
      <c r="AP292" t="s">
        <v>74</v>
      </c>
      <c r="AQ292" t="s">
        <v>5831</v>
      </c>
      <c r="AR292" t="s">
        <v>74</v>
      </c>
      <c r="AS292" t="s">
        <v>74</v>
      </c>
      <c r="AT292" t="s">
        <v>74</v>
      </c>
      <c r="AU292">
        <v>2015</v>
      </c>
      <c r="AV292" t="s">
        <v>74</v>
      </c>
      <c r="AW292" t="s">
        <v>74</v>
      </c>
      <c r="AX292" t="s">
        <v>74</v>
      </c>
      <c r="AY292" t="s">
        <v>74</v>
      </c>
      <c r="AZ292" t="s">
        <v>74</v>
      </c>
      <c r="BA292" t="s">
        <v>74</v>
      </c>
      <c r="BB292">
        <v>5</v>
      </c>
      <c r="BC292">
        <v>7</v>
      </c>
      <c r="BD292" t="s">
        <v>74</v>
      </c>
      <c r="BE292" t="s">
        <v>74</v>
      </c>
      <c r="BF292" t="s">
        <v>74</v>
      </c>
      <c r="BG292" t="s">
        <v>74</v>
      </c>
      <c r="BH292" t="s">
        <v>74</v>
      </c>
      <c r="BI292">
        <v>3</v>
      </c>
      <c r="BJ292" t="s">
        <v>5832</v>
      </c>
      <c r="BK292" t="s">
        <v>5833</v>
      </c>
      <c r="BL292" t="s">
        <v>5834</v>
      </c>
      <c r="BM292" t="s">
        <v>5835</v>
      </c>
      <c r="BN292" t="s">
        <v>74</v>
      </c>
      <c r="BO292" t="s">
        <v>74</v>
      </c>
      <c r="BP292" t="s">
        <v>74</v>
      </c>
      <c r="BQ292" t="s">
        <v>74</v>
      </c>
      <c r="BR292" t="s">
        <v>93</v>
      </c>
      <c r="BS292" t="s">
        <v>5836</v>
      </c>
      <c r="BT292" t="str">
        <f>HYPERLINK("https%3A%2F%2Fwww.webofscience.com%2Fwos%2Fwoscc%2Ffull-record%2FWOS:000389722200004","View Full Record in Web of Science")</f>
        <v>View Full Record in Web of Science</v>
      </c>
    </row>
    <row r="293" spans="1:72" x14ac:dyDescent="0.15">
      <c r="A293" t="s">
        <v>72</v>
      </c>
      <c r="B293" t="s">
        <v>5837</v>
      </c>
      <c r="C293" t="s">
        <v>74</v>
      </c>
      <c r="D293" t="s">
        <v>74</v>
      </c>
      <c r="E293" t="s">
        <v>74</v>
      </c>
      <c r="F293" t="s">
        <v>5838</v>
      </c>
      <c r="G293" t="s">
        <v>74</v>
      </c>
      <c r="H293" t="s">
        <v>74</v>
      </c>
      <c r="I293" t="s">
        <v>5839</v>
      </c>
      <c r="J293" t="s">
        <v>77</v>
      </c>
      <c r="K293" t="s">
        <v>74</v>
      </c>
      <c r="L293" t="s">
        <v>74</v>
      </c>
      <c r="M293" t="s">
        <v>78</v>
      </c>
      <c r="N293" t="s">
        <v>99</v>
      </c>
      <c r="O293" t="s">
        <v>74</v>
      </c>
      <c r="P293" t="s">
        <v>74</v>
      </c>
      <c r="Q293" t="s">
        <v>74</v>
      </c>
      <c r="R293" t="s">
        <v>74</v>
      </c>
      <c r="S293" t="s">
        <v>74</v>
      </c>
      <c r="T293" t="s">
        <v>5840</v>
      </c>
      <c r="U293" t="s">
        <v>5841</v>
      </c>
      <c r="V293" t="s">
        <v>5842</v>
      </c>
      <c r="W293" t="s">
        <v>5843</v>
      </c>
      <c r="X293" t="s">
        <v>5844</v>
      </c>
      <c r="Y293" t="s">
        <v>5845</v>
      </c>
      <c r="Z293" t="s">
        <v>5846</v>
      </c>
      <c r="AA293" t="s">
        <v>5847</v>
      </c>
      <c r="AB293" t="s">
        <v>5848</v>
      </c>
      <c r="AC293" t="s">
        <v>5849</v>
      </c>
      <c r="AD293" t="s">
        <v>5850</v>
      </c>
      <c r="AE293" t="s">
        <v>5851</v>
      </c>
      <c r="AF293" t="s">
        <v>74</v>
      </c>
      <c r="AG293">
        <v>84</v>
      </c>
      <c r="AH293">
        <v>13</v>
      </c>
      <c r="AI293">
        <v>16</v>
      </c>
      <c r="AJ293">
        <v>0</v>
      </c>
      <c r="AK293">
        <v>25</v>
      </c>
      <c r="AL293" t="s">
        <v>82</v>
      </c>
      <c r="AM293" t="s">
        <v>83</v>
      </c>
      <c r="AN293" t="s">
        <v>150</v>
      </c>
      <c r="AO293" t="s">
        <v>85</v>
      </c>
      <c r="AP293" t="s">
        <v>86</v>
      </c>
      <c r="AQ293" t="s">
        <v>74</v>
      </c>
      <c r="AR293" t="s">
        <v>87</v>
      </c>
      <c r="AS293" t="s">
        <v>88</v>
      </c>
      <c r="AT293" t="s">
        <v>74</v>
      </c>
      <c r="AU293">
        <v>2015</v>
      </c>
      <c r="AV293">
        <v>50</v>
      </c>
      <c r="AW293">
        <v>1</v>
      </c>
      <c r="AX293" t="s">
        <v>74</v>
      </c>
      <c r="AY293" t="s">
        <v>74</v>
      </c>
      <c r="AZ293" t="s">
        <v>74</v>
      </c>
      <c r="BA293" t="s">
        <v>74</v>
      </c>
      <c r="BB293">
        <v>112</v>
      </c>
      <c r="BC293">
        <v>124</v>
      </c>
      <c r="BD293" t="s">
        <v>74</v>
      </c>
      <c r="BE293" t="s">
        <v>5852</v>
      </c>
      <c r="BF293" t="str">
        <f>HYPERLINK("http://dx.doi.org/10.1080/09670262.2014.998295","http://dx.doi.org/10.1080/09670262.2014.998295")</f>
        <v>http://dx.doi.org/10.1080/09670262.2014.998295</v>
      </c>
      <c r="BG293" t="s">
        <v>74</v>
      </c>
      <c r="BH293" t="s">
        <v>74</v>
      </c>
      <c r="BI293">
        <v>13</v>
      </c>
      <c r="BJ293" t="s">
        <v>90</v>
      </c>
      <c r="BK293" t="s">
        <v>91</v>
      </c>
      <c r="BL293" t="s">
        <v>90</v>
      </c>
      <c r="BM293" t="s">
        <v>5853</v>
      </c>
      <c r="BN293" t="s">
        <v>74</v>
      </c>
      <c r="BO293" t="s">
        <v>375</v>
      </c>
      <c r="BP293" t="s">
        <v>74</v>
      </c>
      <c r="BQ293" t="s">
        <v>74</v>
      </c>
      <c r="BR293" t="s">
        <v>93</v>
      </c>
      <c r="BS293" t="s">
        <v>5854</v>
      </c>
      <c r="BT293" t="str">
        <f>HYPERLINK("https%3A%2F%2Fwww.webofscience.com%2Fwos%2Fwoscc%2Ffull-record%2FWOS:000349385600009","View Full Record in Web of Science")</f>
        <v>View Full Record in Web of Science</v>
      </c>
    </row>
    <row r="294" spans="1:72" x14ac:dyDescent="0.15">
      <c r="A294" t="s">
        <v>72</v>
      </c>
      <c r="B294" t="s">
        <v>5855</v>
      </c>
      <c r="C294" t="s">
        <v>74</v>
      </c>
      <c r="D294" t="s">
        <v>74</v>
      </c>
      <c r="E294" t="s">
        <v>74</v>
      </c>
      <c r="F294" t="s">
        <v>5856</v>
      </c>
      <c r="G294" t="s">
        <v>74</v>
      </c>
      <c r="H294" t="s">
        <v>74</v>
      </c>
      <c r="I294" t="s">
        <v>5857</v>
      </c>
      <c r="J294" t="s">
        <v>5858</v>
      </c>
      <c r="K294" t="s">
        <v>74</v>
      </c>
      <c r="L294" t="s">
        <v>74</v>
      </c>
      <c r="M294" t="s">
        <v>78</v>
      </c>
      <c r="N294" t="s">
        <v>99</v>
      </c>
      <c r="O294" t="s">
        <v>74</v>
      </c>
      <c r="P294" t="s">
        <v>74</v>
      </c>
      <c r="Q294" t="s">
        <v>74</v>
      </c>
      <c r="R294" t="s">
        <v>74</v>
      </c>
      <c r="S294" t="s">
        <v>74</v>
      </c>
      <c r="T294" t="s">
        <v>5859</v>
      </c>
      <c r="U294" t="s">
        <v>74</v>
      </c>
      <c r="V294" t="s">
        <v>5860</v>
      </c>
      <c r="W294" t="s">
        <v>5861</v>
      </c>
      <c r="X294" t="s">
        <v>5862</v>
      </c>
      <c r="Y294" t="s">
        <v>5863</v>
      </c>
      <c r="Z294" t="s">
        <v>5864</v>
      </c>
      <c r="AA294" t="s">
        <v>74</v>
      </c>
      <c r="AB294" t="s">
        <v>5865</v>
      </c>
      <c r="AC294" t="s">
        <v>74</v>
      </c>
      <c r="AD294" t="s">
        <v>74</v>
      </c>
      <c r="AE294" t="s">
        <v>74</v>
      </c>
      <c r="AF294" t="s">
        <v>74</v>
      </c>
      <c r="AG294">
        <v>27</v>
      </c>
      <c r="AH294">
        <v>17</v>
      </c>
      <c r="AI294">
        <v>20</v>
      </c>
      <c r="AJ294">
        <v>0</v>
      </c>
      <c r="AK294">
        <v>6</v>
      </c>
      <c r="AL294" t="s">
        <v>5866</v>
      </c>
      <c r="AM294" t="s">
        <v>219</v>
      </c>
      <c r="AN294" t="s">
        <v>5867</v>
      </c>
      <c r="AO294" t="s">
        <v>5868</v>
      </c>
      <c r="AP294" t="s">
        <v>74</v>
      </c>
      <c r="AQ294" t="s">
        <v>74</v>
      </c>
      <c r="AR294" t="s">
        <v>5869</v>
      </c>
      <c r="AS294" t="s">
        <v>5870</v>
      </c>
      <c r="AT294" t="s">
        <v>74</v>
      </c>
      <c r="AU294">
        <v>2015</v>
      </c>
      <c r="AV294">
        <v>4</v>
      </c>
      <c r="AW294" t="s">
        <v>74</v>
      </c>
      <c r="AX294" t="s">
        <v>74</v>
      </c>
      <c r="AY294" t="s">
        <v>74</v>
      </c>
      <c r="AZ294" t="s">
        <v>74</v>
      </c>
      <c r="BA294" t="s">
        <v>74</v>
      </c>
      <c r="BB294" t="s">
        <v>74</v>
      </c>
      <c r="BC294" t="s">
        <v>74</v>
      </c>
      <c r="BD294">
        <v>3</v>
      </c>
      <c r="BE294" t="s">
        <v>5871</v>
      </c>
      <c r="BF294" t="str">
        <f>HYPERLINK("http://dx.doi.org/10.1186/s13728-015-0022-0","http://dx.doi.org/10.1186/s13728-015-0022-0")</f>
        <v>http://dx.doi.org/10.1186/s13728-015-0022-0</v>
      </c>
      <c r="BG294" t="s">
        <v>74</v>
      </c>
      <c r="BH294" t="s">
        <v>74</v>
      </c>
      <c r="BI294">
        <v>11</v>
      </c>
      <c r="BJ294" t="s">
        <v>5872</v>
      </c>
      <c r="BK294" t="s">
        <v>202</v>
      </c>
      <c r="BL294" t="s">
        <v>5872</v>
      </c>
      <c r="BM294" t="s">
        <v>5873</v>
      </c>
      <c r="BN294">
        <v>25767697</v>
      </c>
      <c r="BO294" t="s">
        <v>2744</v>
      </c>
      <c r="BP294" t="s">
        <v>74</v>
      </c>
      <c r="BQ294" t="s">
        <v>74</v>
      </c>
      <c r="BR294" t="s">
        <v>93</v>
      </c>
      <c r="BS294" t="s">
        <v>5874</v>
      </c>
      <c r="BT294" t="str">
        <f>HYPERLINK("https%3A%2F%2Fwww.webofscience.com%2Fwos%2Fwoscc%2Ffull-record%2FWOS:000215850900003","View Full Record in Web of Science")</f>
        <v>View Full Record in Web of Science</v>
      </c>
    </row>
    <row r="295" spans="1:72" x14ac:dyDescent="0.15">
      <c r="A295" t="s">
        <v>72</v>
      </c>
      <c r="B295" t="s">
        <v>5875</v>
      </c>
      <c r="C295" t="s">
        <v>74</v>
      </c>
      <c r="D295" t="s">
        <v>74</v>
      </c>
      <c r="E295" t="s">
        <v>74</v>
      </c>
      <c r="F295" t="s">
        <v>5876</v>
      </c>
      <c r="G295" t="s">
        <v>74</v>
      </c>
      <c r="H295" t="s">
        <v>74</v>
      </c>
      <c r="I295" t="s">
        <v>5877</v>
      </c>
      <c r="J295" t="s">
        <v>3375</v>
      </c>
      <c r="K295" t="s">
        <v>74</v>
      </c>
      <c r="L295" t="s">
        <v>74</v>
      </c>
      <c r="M295" t="s">
        <v>78</v>
      </c>
      <c r="N295" t="s">
        <v>99</v>
      </c>
      <c r="O295" t="s">
        <v>74</v>
      </c>
      <c r="P295" t="s">
        <v>74</v>
      </c>
      <c r="Q295" t="s">
        <v>74</v>
      </c>
      <c r="R295" t="s">
        <v>74</v>
      </c>
      <c r="S295" t="s">
        <v>74</v>
      </c>
      <c r="T295" t="s">
        <v>5878</v>
      </c>
      <c r="U295" t="s">
        <v>5879</v>
      </c>
      <c r="V295" t="s">
        <v>5880</v>
      </c>
      <c r="W295" t="s">
        <v>5881</v>
      </c>
      <c r="X295" t="s">
        <v>5882</v>
      </c>
      <c r="Y295" t="s">
        <v>5883</v>
      </c>
      <c r="Z295" t="s">
        <v>5884</v>
      </c>
      <c r="AA295" t="s">
        <v>74</v>
      </c>
      <c r="AB295" t="s">
        <v>74</v>
      </c>
      <c r="AC295" t="s">
        <v>5885</v>
      </c>
      <c r="AD295" t="s">
        <v>5885</v>
      </c>
      <c r="AE295" t="s">
        <v>5886</v>
      </c>
      <c r="AF295" t="s">
        <v>74</v>
      </c>
      <c r="AG295">
        <v>67</v>
      </c>
      <c r="AH295">
        <v>23</v>
      </c>
      <c r="AI295">
        <v>27</v>
      </c>
      <c r="AJ295">
        <v>0</v>
      </c>
      <c r="AK295">
        <v>66</v>
      </c>
      <c r="AL295" t="s">
        <v>2512</v>
      </c>
      <c r="AM295" t="s">
        <v>2171</v>
      </c>
      <c r="AN295" t="s">
        <v>3410</v>
      </c>
      <c r="AO295" t="s">
        <v>3388</v>
      </c>
      <c r="AP295" t="s">
        <v>3389</v>
      </c>
      <c r="AQ295" t="s">
        <v>74</v>
      </c>
      <c r="AR295" t="s">
        <v>3375</v>
      </c>
      <c r="AS295" t="s">
        <v>3390</v>
      </c>
      <c r="AT295" t="s">
        <v>200</v>
      </c>
      <c r="AU295">
        <v>2015</v>
      </c>
      <c r="AV295">
        <v>19</v>
      </c>
      <c r="AW295">
        <v>1</v>
      </c>
      <c r="AX295" t="s">
        <v>74</v>
      </c>
      <c r="AY295" t="s">
        <v>74</v>
      </c>
      <c r="AZ295" t="s">
        <v>74</v>
      </c>
      <c r="BA295" t="s">
        <v>74</v>
      </c>
      <c r="BB295">
        <v>1</v>
      </c>
      <c r="BC295">
        <v>15</v>
      </c>
      <c r="BD295" t="s">
        <v>74</v>
      </c>
      <c r="BE295" t="s">
        <v>5887</v>
      </c>
      <c r="BF295" t="str">
        <f>HYPERLINK("http://dx.doi.org/10.1007/s00792-014-0703-4","http://dx.doi.org/10.1007/s00792-014-0703-4")</f>
        <v>http://dx.doi.org/10.1007/s00792-014-0703-4</v>
      </c>
      <c r="BG295" t="s">
        <v>74</v>
      </c>
      <c r="BH295" t="s">
        <v>74</v>
      </c>
      <c r="BI295">
        <v>15</v>
      </c>
      <c r="BJ295" t="s">
        <v>3392</v>
      </c>
      <c r="BK295" t="s">
        <v>91</v>
      </c>
      <c r="BL295" t="s">
        <v>3392</v>
      </c>
      <c r="BM295" t="s">
        <v>3393</v>
      </c>
      <c r="BN295">
        <v>25381577</v>
      </c>
      <c r="BO295" t="s">
        <v>74</v>
      </c>
      <c r="BP295" t="s">
        <v>74</v>
      </c>
      <c r="BQ295" t="s">
        <v>74</v>
      </c>
      <c r="BR295" t="s">
        <v>93</v>
      </c>
      <c r="BS295" t="s">
        <v>5888</v>
      </c>
      <c r="BT295" t="str">
        <f>HYPERLINK("https%3A%2F%2Fwww.webofscience.com%2Fwos%2Fwoscc%2Ffull-record%2FWOS:000346657500001","View Full Record in Web of Science")</f>
        <v>View Full Record in Web of Science</v>
      </c>
    </row>
    <row r="296" spans="1:72" x14ac:dyDescent="0.15">
      <c r="A296" t="s">
        <v>72</v>
      </c>
      <c r="B296" t="s">
        <v>5889</v>
      </c>
      <c r="C296" t="s">
        <v>74</v>
      </c>
      <c r="D296" t="s">
        <v>74</v>
      </c>
      <c r="E296" t="s">
        <v>74</v>
      </c>
      <c r="F296" t="s">
        <v>5890</v>
      </c>
      <c r="G296" t="s">
        <v>74</v>
      </c>
      <c r="H296" t="s">
        <v>74</v>
      </c>
      <c r="I296" t="s">
        <v>5891</v>
      </c>
      <c r="J296" t="s">
        <v>3375</v>
      </c>
      <c r="K296" t="s">
        <v>74</v>
      </c>
      <c r="L296" t="s">
        <v>74</v>
      </c>
      <c r="M296" t="s">
        <v>78</v>
      </c>
      <c r="N296" t="s">
        <v>99</v>
      </c>
      <c r="O296" t="s">
        <v>74</v>
      </c>
      <c r="P296" t="s">
        <v>74</v>
      </c>
      <c r="Q296" t="s">
        <v>74</v>
      </c>
      <c r="R296" t="s">
        <v>74</v>
      </c>
      <c r="S296" t="s">
        <v>74</v>
      </c>
      <c r="T296" t="s">
        <v>5892</v>
      </c>
      <c r="U296" t="s">
        <v>5893</v>
      </c>
      <c r="V296" t="s">
        <v>5894</v>
      </c>
      <c r="W296" t="s">
        <v>5895</v>
      </c>
      <c r="X296" t="s">
        <v>5896</v>
      </c>
      <c r="Y296" t="s">
        <v>5897</v>
      </c>
      <c r="Z296" t="s">
        <v>5898</v>
      </c>
      <c r="AA296" t="s">
        <v>74</v>
      </c>
      <c r="AB296" t="s">
        <v>5899</v>
      </c>
      <c r="AC296" t="s">
        <v>5900</v>
      </c>
      <c r="AD296" t="s">
        <v>5901</v>
      </c>
      <c r="AE296" t="s">
        <v>5902</v>
      </c>
      <c r="AF296" t="s">
        <v>74</v>
      </c>
      <c r="AG296">
        <v>72</v>
      </c>
      <c r="AH296">
        <v>36</v>
      </c>
      <c r="AI296">
        <v>40</v>
      </c>
      <c r="AJ296">
        <v>2</v>
      </c>
      <c r="AK296">
        <v>68</v>
      </c>
      <c r="AL296" t="s">
        <v>2512</v>
      </c>
      <c r="AM296" t="s">
        <v>2171</v>
      </c>
      <c r="AN296" t="s">
        <v>2513</v>
      </c>
      <c r="AO296" t="s">
        <v>3388</v>
      </c>
      <c r="AP296" t="s">
        <v>3389</v>
      </c>
      <c r="AQ296" t="s">
        <v>74</v>
      </c>
      <c r="AR296" t="s">
        <v>3375</v>
      </c>
      <c r="AS296" t="s">
        <v>3390</v>
      </c>
      <c r="AT296" t="s">
        <v>200</v>
      </c>
      <c r="AU296">
        <v>2015</v>
      </c>
      <c r="AV296">
        <v>19</v>
      </c>
      <c r="AW296">
        <v>1</v>
      </c>
      <c r="AX296" t="s">
        <v>74</v>
      </c>
      <c r="AY296" t="s">
        <v>74</v>
      </c>
      <c r="AZ296" t="s">
        <v>74</v>
      </c>
      <c r="BA296" t="s">
        <v>74</v>
      </c>
      <c r="BB296">
        <v>207</v>
      </c>
      <c r="BC296">
        <v>220</v>
      </c>
      <c r="BD296" t="s">
        <v>74</v>
      </c>
      <c r="BE296" t="s">
        <v>5903</v>
      </c>
      <c r="BF296" t="str">
        <f>HYPERLINK("http://dx.doi.org/10.1007/s00792-014-0700-7","http://dx.doi.org/10.1007/s00792-014-0700-7")</f>
        <v>http://dx.doi.org/10.1007/s00792-014-0700-7</v>
      </c>
      <c r="BG296" t="s">
        <v>74</v>
      </c>
      <c r="BH296" t="s">
        <v>74</v>
      </c>
      <c r="BI296">
        <v>14</v>
      </c>
      <c r="BJ296" t="s">
        <v>3392</v>
      </c>
      <c r="BK296" t="s">
        <v>91</v>
      </c>
      <c r="BL296" t="s">
        <v>3392</v>
      </c>
      <c r="BM296" t="s">
        <v>3393</v>
      </c>
      <c r="BN296">
        <v>25316211</v>
      </c>
      <c r="BO296" t="s">
        <v>74</v>
      </c>
      <c r="BP296" t="s">
        <v>74</v>
      </c>
      <c r="BQ296" t="s">
        <v>74</v>
      </c>
      <c r="BR296" t="s">
        <v>93</v>
      </c>
      <c r="BS296" t="s">
        <v>5904</v>
      </c>
      <c r="BT296" t="str">
        <f>HYPERLINK("https%3A%2F%2Fwww.webofscience.com%2Fwos%2Fwoscc%2Ffull-record%2FWOS:000346657500021","View Full Record in Web of Science")</f>
        <v>View Full Record in Web of Science</v>
      </c>
    </row>
    <row r="297" spans="1:72" x14ac:dyDescent="0.15">
      <c r="A297" t="s">
        <v>72</v>
      </c>
      <c r="B297" t="s">
        <v>5905</v>
      </c>
      <c r="C297" t="s">
        <v>74</v>
      </c>
      <c r="D297" t="s">
        <v>74</v>
      </c>
      <c r="E297" t="s">
        <v>74</v>
      </c>
      <c r="F297" t="s">
        <v>5906</v>
      </c>
      <c r="G297" t="s">
        <v>74</v>
      </c>
      <c r="H297" t="s">
        <v>74</v>
      </c>
      <c r="I297" t="s">
        <v>5907</v>
      </c>
      <c r="J297" t="s">
        <v>5908</v>
      </c>
      <c r="K297" t="s">
        <v>74</v>
      </c>
      <c r="L297" t="s">
        <v>74</v>
      </c>
      <c r="M297" t="s">
        <v>78</v>
      </c>
      <c r="N297" t="s">
        <v>99</v>
      </c>
      <c r="O297" t="s">
        <v>74</v>
      </c>
      <c r="P297" t="s">
        <v>74</v>
      </c>
      <c r="Q297" t="s">
        <v>74</v>
      </c>
      <c r="R297" t="s">
        <v>74</v>
      </c>
      <c r="S297" t="s">
        <v>74</v>
      </c>
      <c r="T297" t="s">
        <v>5909</v>
      </c>
      <c r="U297" t="s">
        <v>5910</v>
      </c>
      <c r="V297" t="s">
        <v>5911</v>
      </c>
      <c r="W297" t="s">
        <v>5912</v>
      </c>
      <c r="X297" t="s">
        <v>5913</v>
      </c>
      <c r="Y297" t="s">
        <v>5914</v>
      </c>
      <c r="Z297" t="s">
        <v>5915</v>
      </c>
      <c r="AA297" t="s">
        <v>5916</v>
      </c>
      <c r="AB297" t="s">
        <v>5917</v>
      </c>
      <c r="AC297" t="s">
        <v>5918</v>
      </c>
      <c r="AD297" t="s">
        <v>5919</v>
      </c>
      <c r="AE297" t="s">
        <v>5920</v>
      </c>
      <c r="AF297" t="s">
        <v>74</v>
      </c>
      <c r="AG297">
        <v>56</v>
      </c>
      <c r="AH297">
        <v>19</v>
      </c>
      <c r="AI297">
        <v>20</v>
      </c>
      <c r="AJ297">
        <v>3</v>
      </c>
      <c r="AK297">
        <v>38</v>
      </c>
      <c r="AL297" t="s">
        <v>1895</v>
      </c>
      <c r="AM297" t="s">
        <v>1411</v>
      </c>
      <c r="AN297" t="s">
        <v>1896</v>
      </c>
      <c r="AO297" t="s">
        <v>5921</v>
      </c>
      <c r="AP297" t="s">
        <v>5922</v>
      </c>
      <c r="AQ297" t="s">
        <v>74</v>
      </c>
      <c r="AR297" t="s">
        <v>5923</v>
      </c>
      <c r="AS297" t="s">
        <v>5924</v>
      </c>
      <c r="AT297" t="s">
        <v>200</v>
      </c>
      <c r="AU297">
        <v>2015</v>
      </c>
      <c r="AV297">
        <v>91</v>
      </c>
      <c r="AW297">
        <v>1</v>
      </c>
      <c r="AX297" t="s">
        <v>74</v>
      </c>
      <c r="AY297" t="s">
        <v>74</v>
      </c>
      <c r="AZ297" t="s">
        <v>74</v>
      </c>
      <c r="BA297" t="s">
        <v>74</v>
      </c>
      <c r="BB297" t="s">
        <v>74</v>
      </c>
      <c r="BC297" t="s">
        <v>74</v>
      </c>
      <c r="BD297" t="s">
        <v>74</v>
      </c>
      <c r="BE297" t="s">
        <v>5925</v>
      </c>
      <c r="BF297" t="str">
        <f>HYPERLINK("http://dx.doi.org/10.1093/femsec/fiu005","http://dx.doi.org/10.1093/femsec/fiu005")</f>
        <v>http://dx.doi.org/10.1093/femsec/fiu005</v>
      </c>
      <c r="BG297" t="s">
        <v>74</v>
      </c>
      <c r="BH297" t="s">
        <v>74</v>
      </c>
      <c r="BI297">
        <v>10</v>
      </c>
      <c r="BJ297" t="s">
        <v>5926</v>
      </c>
      <c r="BK297" t="s">
        <v>91</v>
      </c>
      <c r="BL297" t="s">
        <v>5926</v>
      </c>
      <c r="BM297" t="s">
        <v>5927</v>
      </c>
      <c r="BN297">
        <v>25764530</v>
      </c>
      <c r="BO297" t="s">
        <v>375</v>
      </c>
      <c r="BP297" t="s">
        <v>74</v>
      </c>
      <c r="BQ297" t="s">
        <v>74</v>
      </c>
      <c r="BR297" t="s">
        <v>93</v>
      </c>
      <c r="BS297" t="s">
        <v>5928</v>
      </c>
      <c r="BT297" t="str">
        <f>HYPERLINK("https%3A%2F%2Fwww.webofscience.com%2Fwos%2Fwoscc%2Ffull-record%2FWOS:000352781000003","View Full Record in Web of Science")</f>
        <v>View Full Record in Web of Science</v>
      </c>
    </row>
    <row r="298" spans="1:72" x14ac:dyDescent="0.15">
      <c r="A298" t="s">
        <v>1395</v>
      </c>
      <c r="B298" t="s">
        <v>5929</v>
      </c>
      <c r="C298" t="s">
        <v>5929</v>
      </c>
      <c r="D298" t="s">
        <v>74</v>
      </c>
      <c r="E298" t="s">
        <v>74</v>
      </c>
      <c r="F298" t="s">
        <v>5930</v>
      </c>
      <c r="G298" t="s">
        <v>5929</v>
      </c>
      <c r="H298" t="s">
        <v>74</v>
      </c>
      <c r="I298" t="s">
        <v>5931</v>
      </c>
      <c r="J298" t="s">
        <v>5932</v>
      </c>
      <c r="K298" t="s">
        <v>5933</v>
      </c>
      <c r="L298" t="s">
        <v>74</v>
      </c>
      <c r="M298" t="s">
        <v>78</v>
      </c>
      <c r="N298" t="s">
        <v>918</v>
      </c>
      <c r="O298" t="s">
        <v>74</v>
      </c>
      <c r="P298" t="s">
        <v>74</v>
      </c>
      <c r="Q298" t="s">
        <v>74</v>
      </c>
      <c r="R298" t="s">
        <v>74</v>
      </c>
      <c r="S298" t="s">
        <v>74</v>
      </c>
      <c r="T298" t="s">
        <v>74</v>
      </c>
      <c r="U298" t="s">
        <v>74</v>
      </c>
      <c r="V298" t="s">
        <v>74</v>
      </c>
      <c r="W298" t="s">
        <v>74</v>
      </c>
      <c r="X298" t="s">
        <v>74</v>
      </c>
      <c r="Y298" t="s">
        <v>74</v>
      </c>
      <c r="Z298" t="s">
        <v>74</v>
      </c>
      <c r="AA298" t="s">
        <v>74</v>
      </c>
      <c r="AB298" t="s">
        <v>74</v>
      </c>
      <c r="AC298" t="s">
        <v>74</v>
      </c>
      <c r="AD298" t="s">
        <v>74</v>
      </c>
      <c r="AE298" t="s">
        <v>74</v>
      </c>
      <c r="AF298" t="s">
        <v>74</v>
      </c>
      <c r="AG298">
        <v>0</v>
      </c>
      <c r="AH298">
        <v>0</v>
      </c>
      <c r="AI298">
        <v>0</v>
      </c>
      <c r="AJ298">
        <v>0</v>
      </c>
      <c r="AK298">
        <v>0</v>
      </c>
      <c r="AL298" t="s">
        <v>5934</v>
      </c>
      <c r="AM298" t="s">
        <v>5935</v>
      </c>
      <c r="AN298" t="s">
        <v>5936</v>
      </c>
      <c r="AO298" t="s">
        <v>74</v>
      </c>
      <c r="AP298" t="s">
        <v>74</v>
      </c>
      <c r="AQ298" t="s">
        <v>5937</v>
      </c>
      <c r="AR298" t="s">
        <v>5938</v>
      </c>
      <c r="AS298" t="s">
        <v>74</v>
      </c>
      <c r="AT298" t="s">
        <v>74</v>
      </c>
      <c r="AU298">
        <v>2015</v>
      </c>
      <c r="AV298" t="s">
        <v>74</v>
      </c>
      <c r="AW298" t="s">
        <v>74</v>
      </c>
      <c r="AX298" t="s">
        <v>74</v>
      </c>
      <c r="AY298" t="s">
        <v>74</v>
      </c>
      <c r="AZ298" t="s">
        <v>74</v>
      </c>
      <c r="BA298" t="s">
        <v>74</v>
      </c>
      <c r="BB298">
        <v>65</v>
      </c>
      <c r="BC298">
        <v>112</v>
      </c>
      <c r="BD298" t="s">
        <v>74</v>
      </c>
      <c r="BE298" t="s">
        <v>74</v>
      </c>
      <c r="BF298" t="s">
        <v>74</v>
      </c>
      <c r="BG298" t="s">
        <v>74</v>
      </c>
      <c r="BH298" t="s">
        <v>74</v>
      </c>
      <c r="BI298">
        <v>48</v>
      </c>
      <c r="BJ298" t="s">
        <v>5939</v>
      </c>
      <c r="BK298" t="s">
        <v>5833</v>
      </c>
      <c r="BL298" t="s">
        <v>5940</v>
      </c>
      <c r="BM298" t="s">
        <v>5941</v>
      </c>
      <c r="BN298" t="s">
        <v>74</v>
      </c>
      <c r="BO298" t="s">
        <v>74</v>
      </c>
      <c r="BP298" t="s">
        <v>74</v>
      </c>
      <c r="BQ298" t="s">
        <v>74</v>
      </c>
      <c r="BR298" t="s">
        <v>93</v>
      </c>
      <c r="BS298" t="s">
        <v>5942</v>
      </c>
      <c r="BT298" t="str">
        <f>HYPERLINK("https%3A%2F%2Fwww.webofscience.com%2Fwos%2Fwoscc%2Ffull-record%2FWOS:000403261600003","View Full Record in Web of Science")</f>
        <v>View Full Record in Web of Science</v>
      </c>
    </row>
    <row r="299" spans="1:72" x14ac:dyDescent="0.15">
      <c r="A299" t="s">
        <v>72</v>
      </c>
      <c r="B299" t="s">
        <v>5943</v>
      </c>
      <c r="C299" t="s">
        <v>74</v>
      </c>
      <c r="D299" t="s">
        <v>74</v>
      </c>
      <c r="E299" t="s">
        <v>74</v>
      </c>
      <c r="F299" t="s">
        <v>5944</v>
      </c>
      <c r="G299" t="s">
        <v>74</v>
      </c>
      <c r="H299" t="s">
        <v>74</v>
      </c>
      <c r="I299" t="s">
        <v>5945</v>
      </c>
      <c r="J299" t="s">
        <v>5946</v>
      </c>
      <c r="K299" t="s">
        <v>74</v>
      </c>
      <c r="L299" t="s">
        <v>74</v>
      </c>
      <c r="M299" t="s">
        <v>78</v>
      </c>
      <c r="N299" t="s">
        <v>5947</v>
      </c>
      <c r="O299" t="s">
        <v>74</v>
      </c>
      <c r="P299" t="s">
        <v>74</v>
      </c>
      <c r="Q299" t="s">
        <v>74</v>
      </c>
      <c r="R299" t="s">
        <v>74</v>
      </c>
      <c r="S299" t="s">
        <v>74</v>
      </c>
      <c r="T299" t="s">
        <v>5948</v>
      </c>
      <c r="U299" t="s">
        <v>5949</v>
      </c>
      <c r="V299" t="s">
        <v>5950</v>
      </c>
      <c r="W299" t="s">
        <v>5951</v>
      </c>
      <c r="X299" t="s">
        <v>5952</v>
      </c>
      <c r="Y299" t="s">
        <v>5953</v>
      </c>
      <c r="Z299" t="s">
        <v>5954</v>
      </c>
      <c r="AA299" t="s">
        <v>74</v>
      </c>
      <c r="AB299" t="s">
        <v>74</v>
      </c>
      <c r="AC299" t="s">
        <v>5955</v>
      </c>
      <c r="AD299" t="s">
        <v>5956</v>
      </c>
      <c r="AE299" t="s">
        <v>5957</v>
      </c>
      <c r="AF299" t="s">
        <v>74</v>
      </c>
      <c r="AG299">
        <v>50</v>
      </c>
      <c r="AH299">
        <v>24</v>
      </c>
      <c r="AI299">
        <v>24</v>
      </c>
      <c r="AJ299">
        <v>1</v>
      </c>
      <c r="AK299">
        <v>18</v>
      </c>
      <c r="AL299" t="s">
        <v>5958</v>
      </c>
      <c r="AM299" t="s">
        <v>5959</v>
      </c>
      <c r="AN299" t="s">
        <v>5960</v>
      </c>
      <c r="AO299" t="s">
        <v>74</v>
      </c>
      <c r="AP299" t="s">
        <v>5961</v>
      </c>
      <c r="AQ299" t="s">
        <v>74</v>
      </c>
      <c r="AR299" t="s">
        <v>5962</v>
      </c>
      <c r="AS299" t="s">
        <v>5963</v>
      </c>
      <c r="AT299" t="s">
        <v>74</v>
      </c>
      <c r="AU299">
        <v>2015</v>
      </c>
      <c r="AV299">
        <v>3</v>
      </c>
      <c r="AW299" t="s">
        <v>74</v>
      </c>
      <c r="AX299" t="s">
        <v>74</v>
      </c>
      <c r="AY299" t="s">
        <v>74</v>
      </c>
      <c r="AZ299" t="s">
        <v>74</v>
      </c>
      <c r="BA299" t="s">
        <v>74</v>
      </c>
      <c r="BB299" t="s">
        <v>74</v>
      </c>
      <c r="BC299" t="s">
        <v>74</v>
      </c>
      <c r="BD299">
        <v>12</v>
      </c>
      <c r="BE299" t="s">
        <v>5964</v>
      </c>
      <c r="BF299" t="str">
        <f>HYPERLINK("http://dx.doi.org/10.3389/feart.2015.00012","http://dx.doi.org/10.3389/feart.2015.00012")</f>
        <v>http://dx.doi.org/10.3389/feart.2015.00012</v>
      </c>
      <c r="BG299" t="s">
        <v>74</v>
      </c>
      <c r="BH299" t="s">
        <v>74</v>
      </c>
      <c r="BI299">
        <v>4</v>
      </c>
      <c r="BJ299" t="s">
        <v>1953</v>
      </c>
      <c r="BK299" t="s">
        <v>202</v>
      </c>
      <c r="BL299" t="s">
        <v>1954</v>
      </c>
      <c r="BM299" t="s">
        <v>5965</v>
      </c>
      <c r="BN299" t="s">
        <v>74</v>
      </c>
      <c r="BO299" t="s">
        <v>159</v>
      </c>
      <c r="BP299" t="s">
        <v>74</v>
      </c>
      <c r="BQ299" t="s">
        <v>74</v>
      </c>
      <c r="BR299" t="s">
        <v>93</v>
      </c>
      <c r="BS299" t="s">
        <v>5966</v>
      </c>
      <c r="BT299" t="str">
        <f>HYPERLINK("https%3A%2F%2Fwww.webofscience.com%2Fwos%2Fwoscc%2Ffull-record%2FWOS:000421619700004","View Full Record in Web of Science")</f>
        <v>View Full Record in Web of Science</v>
      </c>
    </row>
    <row r="300" spans="1:72" x14ac:dyDescent="0.15">
      <c r="A300" t="s">
        <v>72</v>
      </c>
      <c r="B300" t="s">
        <v>5967</v>
      </c>
      <c r="C300" t="s">
        <v>74</v>
      </c>
      <c r="D300" t="s">
        <v>74</v>
      </c>
      <c r="E300" t="s">
        <v>74</v>
      </c>
      <c r="F300" t="s">
        <v>5968</v>
      </c>
      <c r="G300" t="s">
        <v>74</v>
      </c>
      <c r="H300" t="s">
        <v>74</v>
      </c>
      <c r="I300" t="s">
        <v>5969</v>
      </c>
      <c r="J300" t="s">
        <v>5970</v>
      </c>
      <c r="K300" t="s">
        <v>74</v>
      </c>
      <c r="L300" t="s">
        <v>74</v>
      </c>
      <c r="M300" t="s">
        <v>78</v>
      </c>
      <c r="N300" t="s">
        <v>99</v>
      </c>
      <c r="O300" t="s">
        <v>74</v>
      </c>
      <c r="P300" t="s">
        <v>74</v>
      </c>
      <c r="Q300" t="s">
        <v>74</v>
      </c>
      <c r="R300" t="s">
        <v>74</v>
      </c>
      <c r="S300" t="s">
        <v>74</v>
      </c>
      <c r="T300" t="s">
        <v>5971</v>
      </c>
      <c r="U300" t="s">
        <v>5972</v>
      </c>
      <c r="V300" t="s">
        <v>5973</v>
      </c>
      <c r="W300" t="s">
        <v>5974</v>
      </c>
      <c r="X300" t="s">
        <v>5975</v>
      </c>
      <c r="Y300" t="s">
        <v>5976</v>
      </c>
      <c r="Z300" t="s">
        <v>5977</v>
      </c>
      <c r="AA300" t="s">
        <v>5978</v>
      </c>
      <c r="AB300" t="s">
        <v>5979</v>
      </c>
      <c r="AC300" t="s">
        <v>5980</v>
      </c>
      <c r="AD300" t="s">
        <v>5981</v>
      </c>
      <c r="AE300" t="s">
        <v>5982</v>
      </c>
      <c r="AF300" t="s">
        <v>74</v>
      </c>
      <c r="AG300">
        <v>77</v>
      </c>
      <c r="AH300">
        <v>16</v>
      </c>
      <c r="AI300">
        <v>16</v>
      </c>
      <c r="AJ300">
        <v>2</v>
      </c>
      <c r="AK300">
        <v>7</v>
      </c>
      <c r="AL300" t="s">
        <v>5958</v>
      </c>
      <c r="AM300" t="s">
        <v>5959</v>
      </c>
      <c r="AN300" t="s">
        <v>5960</v>
      </c>
      <c r="AO300" t="s">
        <v>5983</v>
      </c>
      <c r="AP300" t="s">
        <v>74</v>
      </c>
      <c r="AQ300" t="s">
        <v>74</v>
      </c>
      <c r="AR300" t="s">
        <v>5984</v>
      </c>
      <c r="AS300" t="s">
        <v>5985</v>
      </c>
      <c r="AT300" t="s">
        <v>74</v>
      </c>
      <c r="AU300">
        <v>2015</v>
      </c>
      <c r="AV300">
        <v>3</v>
      </c>
      <c r="AW300" t="s">
        <v>74</v>
      </c>
      <c r="AX300" t="s">
        <v>74</v>
      </c>
      <c r="AY300" t="s">
        <v>74</v>
      </c>
      <c r="AZ300" t="s">
        <v>74</v>
      </c>
      <c r="BA300" t="s">
        <v>74</v>
      </c>
      <c r="BB300" t="s">
        <v>74</v>
      </c>
      <c r="BC300" t="s">
        <v>74</v>
      </c>
      <c r="BD300">
        <v>8</v>
      </c>
      <c r="BE300" t="s">
        <v>5986</v>
      </c>
      <c r="BF300" t="str">
        <f>HYPERLINK("http://dx.doi.org/10.3389/fevo.2015.00008","http://dx.doi.org/10.3389/fevo.2015.00008")</f>
        <v>http://dx.doi.org/10.3389/fevo.2015.00008</v>
      </c>
      <c r="BG300" t="s">
        <v>74</v>
      </c>
      <c r="BH300" t="s">
        <v>74</v>
      </c>
      <c r="BI300">
        <v>11</v>
      </c>
      <c r="BJ300" t="s">
        <v>5987</v>
      </c>
      <c r="BK300" t="s">
        <v>91</v>
      </c>
      <c r="BL300" t="s">
        <v>395</v>
      </c>
      <c r="BM300" t="s">
        <v>5988</v>
      </c>
      <c r="BN300" t="s">
        <v>74</v>
      </c>
      <c r="BO300" t="s">
        <v>1393</v>
      </c>
      <c r="BP300" t="s">
        <v>74</v>
      </c>
      <c r="BQ300" t="s">
        <v>74</v>
      </c>
      <c r="BR300" t="s">
        <v>93</v>
      </c>
      <c r="BS300" t="s">
        <v>5989</v>
      </c>
      <c r="BT300" t="str">
        <f>HYPERLINK("https%3A%2F%2Fwww.webofscience.com%2Fwos%2Fwoscc%2Ffull-record%2FWOS:000485318800016","View Full Record in Web of Science")</f>
        <v>View Full Record in Web of Science</v>
      </c>
    </row>
    <row r="301" spans="1:72" x14ac:dyDescent="0.15">
      <c r="A301" t="s">
        <v>72</v>
      </c>
      <c r="B301" t="s">
        <v>5990</v>
      </c>
      <c r="C301" t="s">
        <v>74</v>
      </c>
      <c r="D301" t="s">
        <v>74</v>
      </c>
      <c r="E301" t="s">
        <v>74</v>
      </c>
      <c r="F301" t="s">
        <v>5991</v>
      </c>
      <c r="G301" t="s">
        <v>74</v>
      </c>
      <c r="H301" t="s">
        <v>74</v>
      </c>
      <c r="I301" t="s">
        <v>5992</v>
      </c>
      <c r="J301" t="s">
        <v>5970</v>
      </c>
      <c r="K301" t="s">
        <v>74</v>
      </c>
      <c r="L301" t="s">
        <v>74</v>
      </c>
      <c r="M301" t="s">
        <v>78</v>
      </c>
      <c r="N301" t="s">
        <v>99</v>
      </c>
      <c r="O301" t="s">
        <v>74</v>
      </c>
      <c r="P301" t="s">
        <v>74</v>
      </c>
      <c r="Q301" t="s">
        <v>74</v>
      </c>
      <c r="R301" t="s">
        <v>74</v>
      </c>
      <c r="S301" t="s">
        <v>74</v>
      </c>
      <c r="T301" t="s">
        <v>5993</v>
      </c>
      <c r="U301" t="s">
        <v>5994</v>
      </c>
      <c r="V301" t="s">
        <v>5995</v>
      </c>
      <c r="W301" t="s">
        <v>5996</v>
      </c>
      <c r="X301" t="s">
        <v>5997</v>
      </c>
      <c r="Y301" t="s">
        <v>5998</v>
      </c>
      <c r="Z301" t="s">
        <v>5999</v>
      </c>
      <c r="AA301" t="s">
        <v>74</v>
      </c>
      <c r="AB301" t="s">
        <v>74</v>
      </c>
      <c r="AC301" t="s">
        <v>6000</v>
      </c>
      <c r="AD301" t="s">
        <v>6001</v>
      </c>
      <c r="AE301" t="s">
        <v>6002</v>
      </c>
      <c r="AF301" t="s">
        <v>74</v>
      </c>
      <c r="AG301">
        <v>80</v>
      </c>
      <c r="AH301">
        <v>23</v>
      </c>
      <c r="AI301">
        <v>27</v>
      </c>
      <c r="AJ301">
        <v>1</v>
      </c>
      <c r="AK301">
        <v>3</v>
      </c>
      <c r="AL301" t="s">
        <v>5958</v>
      </c>
      <c r="AM301" t="s">
        <v>5959</v>
      </c>
      <c r="AN301" t="s">
        <v>5960</v>
      </c>
      <c r="AO301" t="s">
        <v>5983</v>
      </c>
      <c r="AP301" t="s">
        <v>74</v>
      </c>
      <c r="AQ301" t="s">
        <v>74</v>
      </c>
      <c r="AR301" t="s">
        <v>5984</v>
      </c>
      <c r="AS301" t="s">
        <v>5985</v>
      </c>
      <c r="AT301" t="s">
        <v>74</v>
      </c>
      <c r="AU301">
        <v>2015</v>
      </c>
      <c r="AV301">
        <v>3</v>
      </c>
      <c r="AW301" t="s">
        <v>74</v>
      </c>
      <c r="AX301" t="s">
        <v>74</v>
      </c>
      <c r="AY301" t="s">
        <v>74</v>
      </c>
      <c r="AZ301" t="s">
        <v>74</v>
      </c>
      <c r="BA301" t="s">
        <v>74</v>
      </c>
      <c r="BB301" t="s">
        <v>74</v>
      </c>
      <c r="BC301" t="s">
        <v>74</v>
      </c>
      <c r="BD301">
        <v>63</v>
      </c>
      <c r="BE301" t="s">
        <v>6003</v>
      </c>
      <c r="BF301" t="str">
        <f>HYPERLINK("http://dx.doi.org/10.3389/fevo.2015.00063","http://dx.doi.org/10.3389/fevo.2015.00063")</f>
        <v>http://dx.doi.org/10.3389/fevo.2015.00063</v>
      </c>
      <c r="BG301" t="s">
        <v>74</v>
      </c>
      <c r="BH301" t="s">
        <v>74</v>
      </c>
      <c r="BI301">
        <v>13</v>
      </c>
      <c r="BJ301" t="s">
        <v>5987</v>
      </c>
      <c r="BK301" t="s">
        <v>91</v>
      </c>
      <c r="BL301" t="s">
        <v>395</v>
      </c>
      <c r="BM301" t="s">
        <v>5988</v>
      </c>
      <c r="BN301" t="s">
        <v>74</v>
      </c>
      <c r="BO301" t="s">
        <v>4631</v>
      </c>
      <c r="BP301" t="s">
        <v>74</v>
      </c>
      <c r="BQ301" t="s">
        <v>74</v>
      </c>
      <c r="BR301" t="s">
        <v>93</v>
      </c>
      <c r="BS301" t="s">
        <v>6004</v>
      </c>
      <c r="BT301" t="str">
        <f>HYPERLINK("https%3A%2F%2Fwww.webofscience.com%2Fwos%2Fwoscc%2Ffull-record%2FWOS:000485318800071","View Full Record in Web of Science")</f>
        <v>View Full Record in Web of Science</v>
      </c>
    </row>
    <row r="302" spans="1:72" x14ac:dyDescent="0.15">
      <c r="A302" t="s">
        <v>72</v>
      </c>
      <c r="B302" t="s">
        <v>6005</v>
      </c>
      <c r="C302" t="s">
        <v>74</v>
      </c>
      <c r="D302" t="s">
        <v>74</v>
      </c>
      <c r="E302" t="s">
        <v>74</v>
      </c>
      <c r="F302" t="s">
        <v>6006</v>
      </c>
      <c r="G302" t="s">
        <v>74</v>
      </c>
      <c r="H302" t="s">
        <v>74</v>
      </c>
      <c r="I302" t="s">
        <v>6007</v>
      </c>
      <c r="J302" t="s">
        <v>6008</v>
      </c>
      <c r="K302" t="s">
        <v>74</v>
      </c>
      <c r="L302" t="s">
        <v>74</v>
      </c>
      <c r="M302" t="s">
        <v>78</v>
      </c>
      <c r="N302" t="s">
        <v>99</v>
      </c>
      <c r="O302" t="s">
        <v>74</v>
      </c>
      <c r="P302" t="s">
        <v>74</v>
      </c>
      <c r="Q302" t="s">
        <v>74</v>
      </c>
      <c r="R302" t="s">
        <v>74</v>
      </c>
      <c r="S302" t="s">
        <v>74</v>
      </c>
      <c r="T302" t="s">
        <v>6009</v>
      </c>
      <c r="U302" t="s">
        <v>74</v>
      </c>
      <c r="V302" t="s">
        <v>6010</v>
      </c>
      <c r="W302" t="s">
        <v>6011</v>
      </c>
      <c r="X302" t="s">
        <v>1679</v>
      </c>
      <c r="Y302" t="s">
        <v>6012</v>
      </c>
      <c r="Z302" t="s">
        <v>6013</v>
      </c>
      <c r="AA302" t="s">
        <v>6014</v>
      </c>
      <c r="AB302" t="s">
        <v>6015</v>
      </c>
      <c r="AC302" t="s">
        <v>74</v>
      </c>
      <c r="AD302" t="s">
        <v>74</v>
      </c>
      <c r="AE302" t="s">
        <v>74</v>
      </c>
      <c r="AF302" t="s">
        <v>74</v>
      </c>
      <c r="AG302">
        <v>15</v>
      </c>
      <c r="AH302">
        <v>6</v>
      </c>
      <c r="AI302">
        <v>6</v>
      </c>
      <c r="AJ302">
        <v>0</v>
      </c>
      <c r="AK302">
        <v>1</v>
      </c>
      <c r="AL302" t="s">
        <v>5958</v>
      </c>
      <c r="AM302" t="s">
        <v>5959</v>
      </c>
      <c r="AN302" t="s">
        <v>5960</v>
      </c>
      <c r="AO302" t="s">
        <v>74</v>
      </c>
      <c r="AP302" t="s">
        <v>6016</v>
      </c>
      <c r="AQ302" t="s">
        <v>74</v>
      </c>
      <c r="AR302" t="s">
        <v>6017</v>
      </c>
      <c r="AS302" t="s">
        <v>6018</v>
      </c>
      <c r="AT302" t="s">
        <v>74</v>
      </c>
      <c r="AU302">
        <v>2015</v>
      </c>
      <c r="AV302">
        <v>3</v>
      </c>
      <c r="AW302" t="s">
        <v>74</v>
      </c>
      <c r="AX302" t="s">
        <v>74</v>
      </c>
      <c r="AY302" t="s">
        <v>74</v>
      </c>
      <c r="AZ302" t="s">
        <v>74</v>
      </c>
      <c r="BA302" t="s">
        <v>74</v>
      </c>
      <c r="BB302" t="s">
        <v>74</v>
      </c>
      <c r="BC302" t="s">
        <v>74</v>
      </c>
      <c r="BD302">
        <v>58</v>
      </c>
      <c r="BE302" t="s">
        <v>6019</v>
      </c>
      <c r="BF302" t="str">
        <f>HYPERLINK("http://dx.doi.org/10.3389/fenvs.2015.00058","http://dx.doi.org/10.3389/fenvs.2015.00058")</f>
        <v>http://dx.doi.org/10.3389/fenvs.2015.00058</v>
      </c>
      <c r="BG302" t="s">
        <v>74</v>
      </c>
      <c r="BH302" t="s">
        <v>74</v>
      </c>
      <c r="BI302">
        <v>11</v>
      </c>
      <c r="BJ302" t="s">
        <v>1611</v>
      </c>
      <c r="BK302" t="s">
        <v>202</v>
      </c>
      <c r="BL302" t="s">
        <v>395</v>
      </c>
      <c r="BM302" t="s">
        <v>6020</v>
      </c>
      <c r="BN302" t="s">
        <v>74</v>
      </c>
      <c r="BO302" t="s">
        <v>1393</v>
      </c>
      <c r="BP302" t="s">
        <v>74</v>
      </c>
      <c r="BQ302" t="s">
        <v>74</v>
      </c>
      <c r="BR302" t="s">
        <v>93</v>
      </c>
      <c r="BS302" t="s">
        <v>6021</v>
      </c>
      <c r="BT302" t="str">
        <f>HYPERLINK("https%3A%2F%2Fwww.webofscience.com%2Fwos%2Fwoscc%2Ffull-record%2FWOS:000458082100030","View Full Record in Web of Science")</f>
        <v>View Full Record in Web of Science</v>
      </c>
    </row>
    <row r="303" spans="1:72" x14ac:dyDescent="0.15">
      <c r="A303" t="s">
        <v>72</v>
      </c>
      <c r="B303" t="s">
        <v>6022</v>
      </c>
      <c r="C303" t="s">
        <v>74</v>
      </c>
      <c r="D303" t="s">
        <v>74</v>
      </c>
      <c r="E303" t="s">
        <v>74</v>
      </c>
      <c r="F303" t="s">
        <v>6023</v>
      </c>
      <c r="G303" t="s">
        <v>74</v>
      </c>
      <c r="H303" t="s">
        <v>74</v>
      </c>
      <c r="I303" t="s">
        <v>6024</v>
      </c>
      <c r="J303" t="s">
        <v>6025</v>
      </c>
      <c r="K303" t="s">
        <v>74</v>
      </c>
      <c r="L303" t="s">
        <v>74</v>
      </c>
      <c r="M303" t="s">
        <v>78</v>
      </c>
      <c r="N303" t="s">
        <v>99</v>
      </c>
      <c r="O303" t="s">
        <v>74</v>
      </c>
      <c r="P303" t="s">
        <v>74</v>
      </c>
      <c r="Q303" t="s">
        <v>74</v>
      </c>
      <c r="R303" t="s">
        <v>74</v>
      </c>
      <c r="S303" t="s">
        <v>74</v>
      </c>
      <c r="T303" t="s">
        <v>6026</v>
      </c>
      <c r="U303" t="s">
        <v>6027</v>
      </c>
      <c r="V303" t="s">
        <v>6028</v>
      </c>
      <c r="W303" t="s">
        <v>6029</v>
      </c>
      <c r="X303" t="s">
        <v>6030</v>
      </c>
      <c r="Y303" t="s">
        <v>6031</v>
      </c>
      <c r="Z303" t="s">
        <v>6032</v>
      </c>
      <c r="AA303" t="s">
        <v>6033</v>
      </c>
      <c r="AB303" t="s">
        <v>6034</v>
      </c>
      <c r="AC303" t="s">
        <v>6035</v>
      </c>
      <c r="AD303" t="s">
        <v>6036</v>
      </c>
      <c r="AE303" t="s">
        <v>6037</v>
      </c>
      <c r="AF303" t="s">
        <v>74</v>
      </c>
      <c r="AG303">
        <v>80</v>
      </c>
      <c r="AH303">
        <v>42</v>
      </c>
      <c r="AI303">
        <v>49</v>
      </c>
      <c r="AJ303">
        <v>7</v>
      </c>
      <c r="AK303">
        <v>39</v>
      </c>
      <c r="AL303" t="s">
        <v>5958</v>
      </c>
      <c r="AM303" t="s">
        <v>5959</v>
      </c>
      <c r="AN303" t="s">
        <v>5960</v>
      </c>
      <c r="AO303" t="s">
        <v>74</v>
      </c>
      <c r="AP303" t="s">
        <v>6038</v>
      </c>
      <c r="AQ303" t="s">
        <v>74</v>
      </c>
      <c r="AR303" t="s">
        <v>6039</v>
      </c>
      <c r="AS303" t="s">
        <v>6040</v>
      </c>
      <c r="AT303" t="s">
        <v>74</v>
      </c>
      <c r="AU303">
        <v>2015</v>
      </c>
      <c r="AV303">
        <v>2</v>
      </c>
      <c r="AW303" t="s">
        <v>74</v>
      </c>
      <c r="AX303" t="s">
        <v>74</v>
      </c>
      <c r="AY303" t="s">
        <v>74</v>
      </c>
      <c r="AZ303" t="s">
        <v>74</v>
      </c>
      <c r="BA303" t="s">
        <v>74</v>
      </c>
      <c r="BB303" t="s">
        <v>74</v>
      </c>
      <c r="BC303" t="s">
        <v>74</v>
      </c>
      <c r="BD303">
        <v>77</v>
      </c>
      <c r="BE303" t="s">
        <v>6041</v>
      </c>
      <c r="BF303" t="str">
        <f>HYPERLINK("http://dx.doi.org/10.3389/fmars.2015.00077","http://dx.doi.org/10.3389/fmars.2015.00077")</f>
        <v>http://dx.doi.org/10.3389/fmars.2015.00077</v>
      </c>
      <c r="BG303" t="s">
        <v>74</v>
      </c>
      <c r="BH303" t="s">
        <v>74</v>
      </c>
      <c r="BI303">
        <v>15</v>
      </c>
      <c r="BJ303" t="s">
        <v>2673</v>
      </c>
      <c r="BK303" t="s">
        <v>91</v>
      </c>
      <c r="BL303" t="s">
        <v>2674</v>
      </c>
      <c r="BM303" t="s">
        <v>6042</v>
      </c>
      <c r="BN303" t="s">
        <v>74</v>
      </c>
      <c r="BO303" t="s">
        <v>4229</v>
      </c>
      <c r="BP303" t="s">
        <v>74</v>
      </c>
      <c r="BQ303" t="s">
        <v>74</v>
      </c>
      <c r="BR303" t="s">
        <v>93</v>
      </c>
      <c r="BS303" t="s">
        <v>6043</v>
      </c>
      <c r="BT303" t="str">
        <f>HYPERLINK("https%3A%2F%2Fwww.webofscience.com%2Fwos%2Fwoscc%2Ffull-record%2FWOS:000485324300078","View Full Record in Web of Science")</f>
        <v>View Full Record in Web of Science</v>
      </c>
    </row>
    <row r="304" spans="1:72" x14ac:dyDescent="0.15">
      <c r="A304" t="s">
        <v>72</v>
      </c>
      <c r="B304" t="s">
        <v>6044</v>
      </c>
      <c r="C304" t="s">
        <v>74</v>
      </c>
      <c r="D304" t="s">
        <v>74</v>
      </c>
      <c r="E304" t="s">
        <v>74</v>
      </c>
      <c r="F304" t="s">
        <v>6045</v>
      </c>
      <c r="G304" t="s">
        <v>74</v>
      </c>
      <c r="H304" t="s">
        <v>74</v>
      </c>
      <c r="I304" t="s">
        <v>6046</v>
      </c>
      <c r="J304" t="s">
        <v>6025</v>
      </c>
      <c r="K304" t="s">
        <v>74</v>
      </c>
      <c r="L304" t="s">
        <v>74</v>
      </c>
      <c r="M304" t="s">
        <v>78</v>
      </c>
      <c r="N304" t="s">
        <v>454</v>
      </c>
      <c r="O304" t="s">
        <v>74</v>
      </c>
      <c r="P304" t="s">
        <v>74</v>
      </c>
      <c r="Q304" t="s">
        <v>74</v>
      </c>
      <c r="R304" t="s">
        <v>74</v>
      </c>
      <c r="S304" t="s">
        <v>74</v>
      </c>
      <c r="T304" t="s">
        <v>6047</v>
      </c>
      <c r="U304" t="s">
        <v>6048</v>
      </c>
      <c r="V304" t="s">
        <v>6049</v>
      </c>
      <c r="W304" t="s">
        <v>6050</v>
      </c>
      <c r="X304" t="s">
        <v>6051</v>
      </c>
      <c r="Y304" t="s">
        <v>6052</v>
      </c>
      <c r="Z304" t="s">
        <v>6032</v>
      </c>
      <c r="AA304" t="s">
        <v>6053</v>
      </c>
      <c r="AB304" t="s">
        <v>6054</v>
      </c>
      <c r="AC304" t="s">
        <v>74</v>
      </c>
      <c r="AD304" t="s">
        <v>74</v>
      </c>
      <c r="AE304" t="s">
        <v>74</v>
      </c>
      <c r="AF304" t="s">
        <v>74</v>
      </c>
      <c r="AG304">
        <v>46</v>
      </c>
      <c r="AH304">
        <v>51</v>
      </c>
      <c r="AI304">
        <v>53</v>
      </c>
      <c r="AJ304">
        <v>2</v>
      </c>
      <c r="AK304">
        <v>15</v>
      </c>
      <c r="AL304" t="s">
        <v>5958</v>
      </c>
      <c r="AM304" t="s">
        <v>5959</v>
      </c>
      <c r="AN304" t="s">
        <v>5960</v>
      </c>
      <c r="AO304" t="s">
        <v>74</v>
      </c>
      <c r="AP304" t="s">
        <v>6038</v>
      </c>
      <c r="AQ304" t="s">
        <v>74</v>
      </c>
      <c r="AR304" t="s">
        <v>6039</v>
      </c>
      <c r="AS304" t="s">
        <v>6040</v>
      </c>
      <c r="AT304" t="s">
        <v>74</v>
      </c>
      <c r="AU304">
        <v>2015</v>
      </c>
      <c r="AV304">
        <v>2</v>
      </c>
      <c r="AW304" t="s">
        <v>74</v>
      </c>
      <c r="AX304" t="s">
        <v>74</v>
      </c>
      <c r="AY304" t="s">
        <v>74</v>
      </c>
      <c r="AZ304" t="s">
        <v>74</v>
      </c>
      <c r="BA304" t="s">
        <v>74</v>
      </c>
      <c r="BB304" t="s">
        <v>74</v>
      </c>
      <c r="BC304" t="s">
        <v>74</v>
      </c>
      <c r="BD304">
        <v>9</v>
      </c>
      <c r="BE304" t="s">
        <v>6055</v>
      </c>
      <c r="BF304" t="str">
        <f>HYPERLINK("http://dx.doi.org/10.3389/fmars.2015.00009","http://dx.doi.org/10.3389/fmars.2015.00009")</f>
        <v>http://dx.doi.org/10.3389/fmars.2015.00009</v>
      </c>
      <c r="BG304" t="s">
        <v>74</v>
      </c>
      <c r="BH304" t="s">
        <v>74</v>
      </c>
      <c r="BI304">
        <v>7</v>
      </c>
      <c r="BJ304" t="s">
        <v>2673</v>
      </c>
      <c r="BK304" t="s">
        <v>91</v>
      </c>
      <c r="BL304" t="s">
        <v>2674</v>
      </c>
      <c r="BM304" t="s">
        <v>6042</v>
      </c>
      <c r="BN304" t="s">
        <v>74</v>
      </c>
      <c r="BO304" t="s">
        <v>4229</v>
      </c>
      <c r="BP304" t="s">
        <v>74</v>
      </c>
      <c r="BQ304" t="s">
        <v>74</v>
      </c>
      <c r="BR304" t="s">
        <v>93</v>
      </c>
      <c r="BS304" t="s">
        <v>6056</v>
      </c>
      <c r="BT304" t="str">
        <f>HYPERLINK("https%3A%2F%2Fwww.webofscience.com%2Fwos%2Fwoscc%2Ffull-record%2FWOS:000485324300013","View Full Record in Web of Science")</f>
        <v>View Full Record in Web of Science</v>
      </c>
    </row>
    <row r="305" spans="1:72" x14ac:dyDescent="0.15">
      <c r="A305" t="s">
        <v>72</v>
      </c>
      <c r="B305" t="s">
        <v>6057</v>
      </c>
      <c r="C305" t="s">
        <v>74</v>
      </c>
      <c r="D305" t="s">
        <v>74</v>
      </c>
      <c r="E305" t="s">
        <v>74</v>
      </c>
      <c r="F305" t="s">
        <v>6058</v>
      </c>
      <c r="G305" t="s">
        <v>74</v>
      </c>
      <c r="H305" t="s">
        <v>74</v>
      </c>
      <c r="I305" t="s">
        <v>6059</v>
      </c>
      <c r="J305" t="s">
        <v>6025</v>
      </c>
      <c r="K305" t="s">
        <v>74</v>
      </c>
      <c r="L305" t="s">
        <v>74</v>
      </c>
      <c r="M305" t="s">
        <v>78</v>
      </c>
      <c r="N305" t="s">
        <v>99</v>
      </c>
      <c r="O305" t="s">
        <v>74</v>
      </c>
      <c r="P305" t="s">
        <v>74</v>
      </c>
      <c r="Q305" t="s">
        <v>74</v>
      </c>
      <c r="R305" t="s">
        <v>74</v>
      </c>
      <c r="S305" t="s">
        <v>74</v>
      </c>
      <c r="T305" t="s">
        <v>6060</v>
      </c>
      <c r="U305" t="s">
        <v>6061</v>
      </c>
      <c r="V305" t="s">
        <v>6062</v>
      </c>
      <c r="W305" t="s">
        <v>6063</v>
      </c>
      <c r="X305" t="s">
        <v>6064</v>
      </c>
      <c r="Y305" t="s">
        <v>6065</v>
      </c>
      <c r="Z305" t="s">
        <v>6066</v>
      </c>
      <c r="AA305" t="s">
        <v>6067</v>
      </c>
      <c r="AB305" t="s">
        <v>6068</v>
      </c>
      <c r="AC305" t="s">
        <v>6069</v>
      </c>
      <c r="AD305" t="s">
        <v>6070</v>
      </c>
      <c r="AE305" t="s">
        <v>6071</v>
      </c>
      <c r="AF305" t="s">
        <v>74</v>
      </c>
      <c r="AG305">
        <v>55</v>
      </c>
      <c r="AH305">
        <v>80</v>
      </c>
      <c r="AI305">
        <v>87</v>
      </c>
      <c r="AJ305">
        <v>3</v>
      </c>
      <c r="AK305">
        <v>36</v>
      </c>
      <c r="AL305" t="s">
        <v>5958</v>
      </c>
      <c r="AM305" t="s">
        <v>5959</v>
      </c>
      <c r="AN305" t="s">
        <v>5960</v>
      </c>
      <c r="AO305" t="s">
        <v>74</v>
      </c>
      <c r="AP305" t="s">
        <v>6038</v>
      </c>
      <c r="AQ305" t="s">
        <v>74</v>
      </c>
      <c r="AR305" t="s">
        <v>6039</v>
      </c>
      <c r="AS305" t="s">
        <v>6040</v>
      </c>
      <c r="AT305" t="s">
        <v>74</v>
      </c>
      <c r="AU305">
        <v>2015</v>
      </c>
      <c r="AV305">
        <v>2</v>
      </c>
      <c r="AW305" t="s">
        <v>74</v>
      </c>
      <c r="AX305" t="s">
        <v>74</v>
      </c>
      <c r="AY305" t="s">
        <v>74</v>
      </c>
      <c r="AZ305" t="s">
        <v>74</v>
      </c>
      <c r="BA305" t="s">
        <v>74</v>
      </c>
      <c r="BB305" t="s">
        <v>74</v>
      </c>
      <c r="BC305" t="s">
        <v>74</v>
      </c>
      <c r="BD305">
        <v>26</v>
      </c>
      <c r="BE305" t="s">
        <v>6072</v>
      </c>
      <c r="BF305" t="str">
        <f>HYPERLINK("http://dx.doi.org/10.3389/fmars.2015.00026","http://dx.doi.org/10.3389/fmars.2015.00026")</f>
        <v>http://dx.doi.org/10.3389/fmars.2015.00026</v>
      </c>
      <c r="BG305" t="s">
        <v>74</v>
      </c>
      <c r="BH305" t="s">
        <v>74</v>
      </c>
      <c r="BI305">
        <v>12</v>
      </c>
      <c r="BJ305" t="s">
        <v>2673</v>
      </c>
      <c r="BK305" t="s">
        <v>91</v>
      </c>
      <c r="BL305" t="s">
        <v>2674</v>
      </c>
      <c r="BM305" t="s">
        <v>6042</v>
      </c>
      <c r="BN305" t="s">
        <v>74</v>
      </c>
      <c r="BO305" t="s">
        <v>159</v>
      </c>
      <c r="BP305" t="s">
        <v>74</v>
      </c>
      <c r="BQ305" t="s">
        <v>74</v>
      </c>
      <c r="BR305" t="s">
        <v>93</v>
      </c>
      <c r="BS305" t="s">
        <v>6073</v>
      </c>
      <c r="BT305" t="str">
        <f>HYPERLINK("https%3A%2F%2Fwww.webofscience.com%2Fwos%2Fwoscc%2Ffull-record%2FWOS:000485324300029","View Full Record in Web of Science")</f>
        <v>View Full Record in Web of Science</v>
      </c>
    </row>
    <row r="306" spans="1:72" x14ac:dyDescent="0.15">
      <c r="A306" t="s">
        <v>72</v>
      </c>
      <c r="B306" t="s">
        <v>6074</v>
      </c>
      <c r="C306" t="s">
        <v>74</v>
      </c>
      <c r="D306" t="s">
        <v>74</v>
      </c>
      <c r="E306" t="s">
        <v>74</v>
      </c>
      <c r="F306" t="s">
        <v>6075</v>
      </c>
      <c r="G306" t="s">
        <v>74</v>
      </c>
      <c r="H306" t="s">
        <v>74</v>
      </c>
      <c r="I306" t="s">
        <v>6076</v>
      </c>
      <c r="J306" t="s">
        <v>6025</v>
      </c>
      <c r="K306" t="s">
        <v>74</v>
      </c>
      <c r="L306" t="s">
        <v>74</v>
      </c>
      <c r="M306" t="s">
        <v>78</v>
      </c>
      <c r="N306" t="s">
        <v>99</v>
      </c>
      <c r="O306" t="s">
        <v>74</v>
      </c>
      <c r="P306" t="s">
        <v>74</v>
      </c>
      <c r="Q306" t="s">
        <v>74</v>
      </c>
      <c r="R306" t="s">
        <v>74</v>
      </c>
      <c r="S306" t="s">
        <v>74</v>
      </c>
      <c r="T306" t="s">
        <v>6077</v>
      </c>
      <c r="U306" t="s">
        <v>6078</v>
      </c>
      <c r="V306" t="s">
        <v>6079</v>
      </c>
      <c r="W306" t="s">
        <v>6080</v>
      </c>
      <c r="X306" t="s">
        <v>6081</v>
      </c>
      <c r="Y306" t="s">
        <v>6082</v>
      </c>
      <c r="Z306" t="s">
        <v>6083</v>
      </c>
      <c r="AA306" t="s">
        <v>74</v>
      </c>
      <c r="AB306" t="s">
        <v>6084</v>
      </c>
      <c r="AC306" t="s">
        <v>6085</v>
      </c>
      <c r="AD306" t="s">
        <v>6086</v>
      </c>
      <c r="AE306" t="s">
        <v>6087</v>
      </c>
      <c r="AF306" t="s">
        <v>74</v>
      </c>
      <c r="AG306">
        <v>16</v>
      </c>
      <c r="AH306">
        <v>10</v>
      </c>
      <c r="AI306">
        <v>12</v>
      </c>
      <c r="AJ306">
        <v>1</v>
      </c>
      <c r="AK306">
        <v>4</v>
      </c>
      <c r="AL306" t="s">
        <v>5958</v>
      </c>
      <c r="AM306" t="s">
        <v>5959</v>
      </c>
      <c r="AN306" t="s">
        <v>5960</v>
      </c>
      <c r="AO306" t="s">
        <v>74</v>
      </c>
      <c r="AP306" t="s">
        <v>6038</v>
      </c>
      <c r="AQ306" t="s">
        <v>74</v>
      </c>
      <c r="AR306" t="s">
        <v>6039</v>
      </c>
      <c r="AS306" t="s">
        <v>6040</v>
      </c>
      <c r="AT306" t="s">
        <v>74</v>
      </c>
      <c r="AU306">
        <v>2015</v>
      </c>
      <c r="AV306">
        <v>2</v>
      </c>
      <c r="AW306" t="s">
        <v>74</v>
      </c>
      <c r="AX306" t="s">
        <v>74</v>
      </c>
      <c r="AY306" t="s">
        <v>74</v>
      </c>
      <c r="AZ306" t="s">
        <v>74</v>
      </c>
      <c r="BA306" t="s">
        <v>74</v>
      </c>
      <c r="BB306" t="s">
        <v>74</v>
      </c>
      <c r="BC306" t="s">
        <v>74</v>
      </c>
      <c r="BD306">
        <v>15</v>
      </c>
      <c r="BE306" t="s">
        <v>6088</v>
      </c>
      <c r="BF306" t="str">
        <f>HYPERLINK("http://dx.doi.org/10.3389/fmars.2015.00015","http://dx.doi.org/10.3389/fmars.2015.00015")</f>
        <v>http://dx.doi.org/10.3389/fmars.2015.00015</v>
      </c>
      <c r="BG306" t="s">
        <v>74</v>
      </c>
      <c r="BH306" t="s">
        <v>74</v>
      </c>
      <c r="BI306">
        <v>6</v>
      </c>
      <c r="BJ306" t="s">
        <v>2673</v>
      </c>
      <c r="BK306" t="s">
        <v>91</v>
      </c>
      <c r="BL306" t="s">
        <v>2674</v>
      </c>
      <c r="BM306" t="s">
        <v>6042</v>
      </c>
      <c r="BN306" t="s">
        <v>74</v>
      </c>
      <c r="BO306" t="s">
        <v>6089</v>
      </c>
      <c r="BP306" t="s">
        <v>74</v>
      </c>
      <c r="BQ306" t="s">
        <v>74</v>
      </c>
      <c r="BR306" t="s">
        <v>93</v>
      </c>
      <c r="BS306" t="s">
        <v>6090</v>
      </c>
      <c r="BT306" t="str">
        <f>HYPERLINK("https%3A%2F%2Fwww.webofscience.com%2Fwos%2Fwoscc%2Ffull-record%2FWOS:000485324300019","View Full Record in Web of Science")</f>
        <v>View Full Record in Web of Science</v>
      </c>
    </row>
    <row r="307" spans="1:72" x14ac:dyDescent="0.15">
      <c r="A307" t="s">
        <v>72</v>
      </c>
      <c r="B307" t="s">
        <v>6091</v>
      </c>
      <c r="C307" t="s">
        <v>74</v>
      </c>
      <c r="D307" t="s">
        <v>74</v>
      </c>
      <c r="E307" t="s">
        <v>74</v>
      </c>
      <c r="F307" t="s">
        <v>6092</v>
      </c>
      <c r="G307" t="s">
        <v>74</v>
      </c>
      <c r="H307" t="s">
        <v>74</v>
      </c>
      <c r="I307" t="s">
        <v>6093</v>
      </c>
      <c r="J307" t="s">
        <v>6025</v>
      </c>
      <c r="K307" t="s">
        <v>74</v>
      </c>
      <c r="L307" t="s">
        <v>74</v>
      </c>
      <c r="M307" t="s">
        <v>78</v>
      </c>
      <c r="N307" t="s">
        <v>454</v>
      </c>
      <c r="O307" t="s">
        <v>74</v>
      </c>
      <c r="P307" t="s">
        <v>74</v>
      </c>
      <c r="Q307" t="s">
        <v>74</v>
      </c>
      <c r="R307" t="s">
        <v>74</v>
      </c>
      <c r="S307" t="s">
        <v>74</v>
      </c>
      <c r="T307" t="s">
        <v>6094</v>
      </c>
      <c r="U307" t="s">
        <v>6095</v>
      </c>
      <c r="V307" t="s">
        <v>6096</v>
      </c>
      <c r="W307" t="s">
        <v>6097</v>
      </c>
      <c r="X307" t="s">
        <v>6098</v>
      </c>
      <c r="Y307" t="s">
        <v>6099</v>
      </c>
      <c r="Z307" t="s">
        <v>6100</v>
      </c>
      <c r="AA307" t="s">
        <v>6101</v>
      </c>
      <c r="AB307" t="s">
        <v>6102</v>
      </c>
      <c r="AC307" t="s">
        <v>6103</v>
      </c>
      <c r="AD307" t="s">
        <v>6104</v>
      </c>
      <c r="AE307" t="s">
        <v>6105</v>
      </c>
      <c r="AF307" t="s">
        <v>74</v>
      </c>
      <c r="AG307">
        <v>101</v>
      </c>
      <c r="AH307">
        <v>16</v>
      </c>
      <c r="AI307">
        <v>16</v>
      </c>
      <c r="AJ307">
        <v>5</v>
      </c>
      <c r="AK307">
        <v>19</v>
      </c>
      <c r="AL307" t="s">
        <v>5958</v>
      </c>
      <c r="AM307" t="s">
        <v>5959</v>
      </c>
      <c r="AN307" t="s">
        <v>5960</v>
      </c>
      <c r="AO307" t="s">
        <v>74</v>
      </c>
      <c r="AP307" t="s">
        <v>6038</v>
      </c>
      <c r="AQ307" t="s">
        <v>74</v>
      </c>
      <c r="AR307" t="s">
        <v>6039</v>
      </c>
      <c r="AS307" t="s">
        <v>6040</v>
      </c>
      <c r="AT307" t="s">
        <v>74</v>
      </c>
      <c r="AU307">
        <v>2015</v>
      </c>
      <c r="AV307">
        <v>2</v>
      </c>
      <c r="AW307" t="s">
        <v>74</v>
      </c>
      <c r="AX307" t="s">
        <v>74</v>
      </c>
      <c r="AY307" t="s">
        <v>74</v>
      </c>
      <c r="AZ307" t="s">
        <v>74</v>
      </c>
      <c r="BA307" t="s">
        <v>74</v>
      </c>
      <c r="BB307" t="s">
        <v>74</v>
      </c>
      <c r="BC307" t="s">
        <v>74</v>
      </c>
      <c r="BD307">
        <v>76</v>
      </c>
      <c r="BE307" t="s">
        <v>6106</v>
      </c>
      <c r="BF307" t="str">
        <f>HYPERLINK("http://dx.doi.org/10.3389/fmars.2015.00076","http://dx.doi.org/10.3389/fmars.2015.00076")</f>
        <v>http://dx.doi.org/10.3389/fmars.2015.00076</v>
      </c>
      <c r="BG307" t="s">
        <v>74</v>
      </c>
      <c r="BH307" t="s">
        <v>74</v>
      </c>
      <c r="BI307">
        <v>12</v>
      </c>
      <c r="BJ307" t="s">
        <v>2673</v>
      </c>
      <c r="BK307" t="s">
        <v>91</v>
      </c>
      <c r="BL307" t="s">
        <v>2674</v>
      </c>
      <c r="BM307" t="s">
        <v>6042</v>
      </c>
      <c r="BN307" t="s">
        <v>74</v>
      </c>
      <c r="BO307" t="s">
        <v>4229</v>
      </c>
      <c r="BP307" t="s">
        <v>74</v>
      </c>
      <c r="BQ307" t="s">
        <v>74</v>
      </c>
      <c r="BR307" t="s">
        <v>93</v>
      </c>
      <c r="BS307" t="s">
        <v>6107</v>
      </c>
      <c r="BT307" t="str">
        <f>HYPERLINK("https%3A%2F%2Fwww.webofscience.com%2Fwos%2Fwoscc%2Ffull-record%2FWOS:000485324300077","View Full Record in Web of Science")</f>
        <v>View Full Record in Web of Science</v>
      </c>
    </row>
    <row r="308" spans="1:72" x14ac:dyDescent="0.15">
      <c r="A308" t="s">
        <v>72</v>
      </c>
      <c r="B308" t="s">
        <v>6108</v>
      </c>
      <c r="C308" t="s">
        <v>74</v>
      </c>
      <c r="D308" t="s">
        <v>74</v>
      </c>
      <c r="E308" t="s">
        <v>74</v>
      </c>
      <c r="F308" t="s">
        <v>6109</v>
      </c>
      <c r="G308" t="s">
        <v>74</v>
      </c>
      <c r="H308" t="s">
        <v>74</v>
      </c>
      <c r="I308" t="s">
        <v>6110</v>
      </c>
      <c r="J308" t="s">
        <v>6025</v>
      </c>
      <c r="K308" t="s">
        <v>74</v>
      </c>
      <c r="L308" t="s">
        <v>74</v>
      </c>
      <c r="M308" t="s">
        <v>78</v>
      </c>
      <c r="N308" t="s">
        <v>99</v>
      </c>
      <c r="O308" t="s">
        <v>74</v>
      </c>
      <c r="P308" t="s">
        <v>74</v>
      </c>
      <c r="Q308" t="s">
        <v>74</v>
      </c>
      <c r="R308" t="s">
        <v>74</v>
      </c>
      <c r="S308" t="s">
        <v>74</v>
      </c>
      <c r="T308" t="s">
        <v>6111</v>
      </c>
      <c r="U308" t="s">
        <v>6112</v>
      </c>
      <c r="V308" t="s">
        <v>6113</v>
      </c>
      <c r="W308" t="s">
        <v>6114</v>
      </c>
      <c r="X308" t="s">
        <v>6115</v>
      </c>
      <c r="Y308" t="s">
        <v>6116</v>
      </c>
      <c r="Z308" t="s">
        <v>6117</v>
      </c>
      <c r="AA308" t="s">
        <v>6118</v>
      </c>
      <c r="AB308" t="s">
        <v>6119</v>
      </c>
      <c r="AC308" t="s">
        <v>6120</v>
      </c>
      <c r="AD308" t="s">
        <v>6121</v>
      </c>
      <c r="AE308" t="s">
        <v>6122</v>
      </c>
      <c r="AF308" t="s">
        <v>74</v>
      </c>
      <c r="AG308">
        <v>64</v>
      </c>
      <c r="AH308">
        <v>13</v>
      </c>
      <c r="AI308">
        <v>13</v>
      </c>
      <c r="AJ308">
        <v>0</v>
      </c>
      <c r="AK308">
        <v>5</v>
      </c>
      <c r="AL308" t="s">
        <v>5958</v>
      </c>
      <c r="AM308" t="s">
        <v>5959</v>
      </c>
      <c r="AN308" t="s">
        <v>5960</v>
      </c>
      <c r="AO308" t="s">
        <v>74</v>
      </c>
      <c r="AP308" t="s">
        <v>6038</v>
      </c>
      <c r="AQ308" t="s">
        <v>74</v>
      </c>
      <c r="AR308" t="s">
        <v>6039</v>
      </c>
      <c r="AS308" t="s">
        <v>6040</v>
      </c>
      <c r="AT308" t="s">
        <v>74</v>
      </c>
      <c r="AU308">
        <v>2015</v>
      </c>
      <c r="AV308">
        <v>2</v>
      </c>
      <c r="AW308" t="s">
        <v>74</v>
      </c>
      <c r="AX308" t="s">
        <v>74</v>
      </c>
      <c r="AY308" t="s">
        <v>74</v>
      </c>
      <c r="AZ308" t="s">
        <v>74</v>
      </c>
      <c r="BA308" t="s">
        <v>74</v>
      </c>
      <c r="BB308" t="s">
        <v>74</v>
      </c>
      <c r="BC308" t="s">
        <v>74</v>
      </c>
      <c r="BD308">
        <v>27</v>
      </c>
      <c r="BE308" t="s">
        <v>6123</v>
      </c>
      <c r="BF308" t="str">
        <f>HYPERLINK("http://dx.doi.org/10.3389/fmars.2015.00027","http://dx.doi.org/10.3389/fmars.2015.00027")</f>
        <v>http://dx.doi.org/10.3389/fmars.2015.00027</v>
      </c>
      <c r="BG308" t="s">
        <v>74</v>
      </c>
      <c r="BH308" t="s">
        <v>74</v>
      </c>
      <c r="BI308">
        <v>11</v>
      </c>
      <c r="BJ308" t="s">
        <v>2673</v>
      </c>
      <c r="BK308" t="s">
        <v>91</v>
      </c>
      <c r="BL308" t="s">
        <v>2674</v>
      </c>
      <c r="BM308" t="s">
        <v>6042</v>
      </c>
      <c r="BN308" t="s">
        <v>74</v>
      </c>
      <c r="BO308" t="s">
        <v>4229</v>
      </c>
      <c r="BP308" t="s">
        <v>74</v>
      </c>
      <c r="BQ308" t="s">
        <v>74</v>
      </c>
      <c r="BR308" t="s">
        <v>93</v>
      </c>
      <c r="BS308" t="s">
        <v>6124</v>
      </c>
      <c r="BT308" t="str">
        <f>HYPERLINK("https%3A%2F%2Fwww.webofscience.com%2Fwos%2Fwoscc%2Ffull-record%2FWOS:000485324300030","View Full Record in Web of Science")</f>
        <v>View Full Record in Web of Science</v>
      </c>
    </row>
    <row r="309" spans="1:72" x14ac:dyDescent="0.15">
      <c r="A309" t="s">
        <v>72</v>
      </c>
      <c r="B309" t="s">
        <v>6125</v>
      </c>
      <c r="C309" t="s">
        <v>74</v>
      </c>
      <c r="D309" t="s">
        <v>74</v>
      </c>
      <c r="E309" t="s">
        <v>74</v>
      </c>
      <c r="F309" t="s">
        <v>6126</v>
      </c>
      <c r="G309" t="s">
        <v>74</v>
      </c>
      <c r="H309" t="s">
        <v>74</v>
      </c>
      <c r="I309" t="s">
        <v>6127</v>
      </c>
      <c r="J309" t="s">
        <v>6025</v>
      </c>
      <c r="K309" t="s">
        <v>74</v>
      </c>
      <c r="L309" t="s">
        <v>74</v>
      </c>
      <c r="M309" t="s">
        <v>78</v>
      </c>
      <c r="N309" t="s">
        <v>99</v>
      </c>
      <c r="O309" t="s">
        <v>74</v>
      </c>
      <c r="P309" t="s">
        <v>74</v>
      </c>
      <c r="Q309" t="s">
        <v>74</v>
      </c>
      <c r="R309" t="s">
        <v>74</v>
      </c>
      <c r="S309" t="s">
        <v>74</v>
      </c>
      <c r="T309" t="s">
        <v>6128</v>
      </c>
      <c r="U309" t="s">
        <v>6129</v>
      </c>
      <c r="V309" t="s">
        <v>6130</v>
      </c>
      <c r="W309" t="s">
        <v>6131</v>
      </c>
      <c r="X309" t="s">
        <v>6132</v>
      </c>
      <c r="Y309" t="s">
        <v>6133</v>
      </c>
      <c r="Z309" t="s">
        <v>6134</v>
      </c>
      <c r="AA309" t="s">
        <v>6135</v>
      </c>
      <c r="AB309" t="s">
        <v>6136</v>
      </c>
      <c r="AC309" t="s">
        <v>6137</v>
      </c>
      <c r="AD309" t="s">
        <v>6138</v>
      </c>
      <c r="AE309" t="s">
        <v>6139</v>
      </c>
      <c r="AF309" t="s">
        <v>74</v>
      </c>
      <c r="AG309">
        <v>67</v>
      </c>
      <c r="AH309">
        <v>11</v>
      </c>
      <c r="AI309">
        <v>12</v>
      </c>
      <c r="AJ309">
        <v>0</v>
      </c>
      <c r="AK309">
        <v>4</v>
      </c>
      <c r="AL309" t="s">
        <v>5958</v>
      </c>
      <c r="AM309" t="s">
        <v>5959</v>
      </c>
      <c r="AN309" t="s">
        <v>5960</v>
      </c>
      <c r="AO309" t="s">
        <v>74</v>
      </c>
      <c r="AP309" t="s">
        <v>6038</v>
      </c>
      <c r="AQ309" t="s">
        <v>74</v>
      </c>
      <c r="AR309" t="s">
        <v>6039</v>
      </c>
      <c r="AS309" t="s">
        <v>6040</v>
      </c>
      <c r="AT309" t="s">
        <v>74</v>
      </c>
      <c r="AU309">
        <v>2015</v>
      </c>
      <c r="AV309">
        <v>2</v>
      </c>
      <c r="AW309" t="s">
        <v>74</v>
      </c>
      <c r="AX309" t="s">
        <v>74</v>
      </c>
      <c r="AY309" t="s">
        <v>74</v>
      </c>
      <c r="AZ309" t="s">
        <v>74</v>
      </c>
      <c r="BA309" t="s">
        <v>74</v>
      </c>
      <c r="BB309" t="s">
        <v>74</v>
      </c>
      <c r="BC309" t="s">
        <v>74</v>
      </c>
      <c r="BD309">
        <v>21</v>
      </c>
      <c r="BE309" t="s">
        <v>6140</v>
      </c>
      <c r="BF309" t="str">
        <f>HYPERLINK("http://dx.doi.org/10.3389/fmars.2015.00021","http://dx.doi.org/10.3389/fmars.2015.00021")</f>
        <v>http://dx.doi.org/10.3389/fmars.2015.00021</v>
      </c>
      <c r="BG309" t="s">
        <v>74</v>
      </c>
      <c r="BH309" t="s">
        <v>74</v>
      </c>
      <c r="BI309">
        <v>10</v>
      </c>
      <c r="BJ309" t="s">
        <v>2673</v>
      </c>
      <c r="BK309" t="s">
        <v>91</v>
      </c>
      <c r="BL309" t="s">
        <v>2674</v>
      </c>
      <c r="BM309" t="s">
        <v>6042</v>
      </c>
      <c r="BN309" t="s">
        <v>74</v>
      </c>
      <c r="BO309" t="s">
        <v>4459</v>
      </c>
      <c r="BP309" t="s">
        <v>74</v>
      </c>
      <c r="BQ309" t="s">
        <v>74</v>
      </c>
      <c r="BR309" t="s">
        <v>93</v>
      </c>
      <c r="BS309" t="s">
        <v>6141</v>
      </c>
      <c r="BT309" t="str">
        <f>HYPERLINK("https%3A%2F%2Fwww.webofscience.com%2Fwos%2Fwoscc%2Ffull-record%2FWOS:000485324300025","View Full Record in Web of Science")</f>
        <v>View Full Record in Web of Science</v>
      </c>
    </row>
    <row r="310" spans="1:72" x14ac:dyDescent="0.15">
      <c r="A310" t="s">
        <v>72</v>
      </c>
      <c r="B310" t="s">
        <v>6142</v>
      </c>
      <c r="C310" t="s">
        <v>74</v>
      </c>
      <c r="D310" t="s">
        <v>74</v>
      </c>
      <c r="E310" t="s">
        <v>74</v>
      </c>
      <c r="F310" t="s">
        <v>6143</v>
      </c>
      <c r="G310" t="s">
        <v>74</v>
      </c>
      <c r="H310" t="s">
        <v>74</v>
      </c>
      <c r="I310" t="s">
        <v>6144</v>
      </c>
      <c r="J310" t="s">
        <v>6145</v>
      </c>
      <c r="K310" t="s">
        <v>74</v>
      </c>
      <c r="L310" t="s">
        <v>74</v>
      </c>
      <c r="M310" t="s">
        <v>78</v>
      </c>
      <c r="N310" t="s">
        <v>99</v>
      </c>
      <c r="O310" t="s">
        <v>74</v>
      </c>
      <c r="P310" t="s">
        <v>74</v>
      </c>
      <c r="Q310" t="s">
        <v>74</v>
      </c>
      <c r="R310" t="s">
        <v>74</v>
      </c>
      <c r="S310" t="s">
        <v>74</v>
      </c>
      <c r="T310" t="s">
        <v>6146</v>
      </c>
      <c r="U310" t="s">
        <v>74</v>
      </c>
      <c r="V310" t="s">
        <v>6147</v>
      </c>
      <c r="W310" t="s">
        <v>6148</v>
      </c>
      <c r="X310" t="s">
        <v>6149</v>
      </c>
      <c r="Y310" t="s">
        <v>6150</v>
      </c>
      <c r="Z310" t="s">
        <v>6151</v>
      </c>
      <c r="AA310" t="s">
        <v>74</v>
      </c>
      <c r="AB310" t="s">
        <v>6152</v>
      </c>
      <c r="AC310" t="s">
        <v>6153</v>
      </c>
      <c r="AD310" t="s">
        <v>6154</v>
      </c>
      <c r="AE310" t="s">
        <v>6155</v>
      </c>
      <c r="AF310" t="s">
        <v>74</v>
      </c>
      <c r="AG310">
        <v>23</v>
      </c>
      <c r="AH310">
        <v>1</v>
      </c>
      <c r="AI310">
        <v>1</v>
      </c>
      <c r="AJ310">
        <v>0</v>
      </c>
      <c r="AK310">
        <v>4</v>
      </c>
      <c r="AL310" t="s">
        <v>82</v>
      </c>
      <c r="AM310" t="s">
        <v>83</v>
      </c>
      <c r="AN310" t="s">
        <v>150</v>
      </c>
      <c r="AO310" t="s">
        <v>6156</v>
      </c>
      <c r="AP310" t="s">
        <v>6157</v>
      </c>
      <c r="AQ310" t="s">
        <v>74</v>
      </c>
      <c r="AR310" t="s">
        <v>6158</v>
      </c>
      <c r="AS310" t="s">
        <v>6159</v>
      </c>
      <c r="AT310" t="s">
        <v>74</v>
      </c>
      <c r="AU310">
        <v>2015</v>
      </c>
      <c r="AV310">
        <v>18</v>
      </c>
      <c r="AW310">
        <v>4</v>
      </c>
      <c r="AX310" t="s">
        <v>74</v>
      </c>
      <c r="AY310" t="s">
        <v>74</v>
      </c>
      <c r="AZ310" t="s">
        <v>74</v>
      </c>
      <c r="BA310" t="s">
        <v>74</v>
      </c>
      <c r="BB310">
        <v>193</v>
      </c>
      <c r="BC310">
        <v>199</v>
      </c>
      <c r="BD310" t="s">
        <v>74</v>
      </c>
      <c r="BE310" t="s">
        <v>6160</v>
      </c>
      <c r="BF310" t="str">
        <f>HYPERLINK("http://dx.doi.org/10.1080/10095020.2015.1126072","http://dx.doi.org/10.1080/10095020.2015.1126072")</f>
        <v>http://dx.doi.org/10.1080/10095020.2015.1126072</v>
      </c>
      <c r="BG310" t="s">
        <v>74</v>
      </c>
      <c r="BH310" t="s">
        <v>74</v>
      </c>
      <c r="BI310">
        <v>7</v>
      </c>
      <c r="BJ310" t="s">
        <v>6161</v>
      </c>
      <c r="BK310" t="s">
        <v>202</v>
      </c>
      <c r="BL310" t="s">
        <v>6161</v>
      </c>
      <c r="BM310" t="s">
        <v>6162</v>
      </c>
      <c r="BN310" t="s">
        <v>74</v>
      </c>
      <c r="BO310" t="s">
        <v>1393</v>
      </c>
      <c r="BP310" t="s">
        <v>74</v>
      </c>
      <c r="BQ310" t="s">
        <v>74</v>
      </c>
      <c r="BR310" t="s">
        <v>93</v>
      </c>
      <c r="BS310" t="s">
        <v>6163</v>
      </c>
      <c r="BT310" t="str">
        <f>HYPERLINK("https%3A%2F%2Fwww.webofscience.com%2Fwos%2Fwoscc%2Ffull-record%2FWOS:000410140000006","View Full Record in Web of Science")</f>
        <v>View Full Record in Web of Science</v>
      </c>
    </row>
    <row r="311" spans="1:72" x14ac:dyDescent="0.15">
      <c r="A311" t="s">
        <v>72</v>
      </c>
      <c r="B311" t="s">
        <v>6164</v>
      </c>
      <c r="C311" t="s">
        <v>74</v>
      </c>
      <c r="D311" t="s">
        <v>74</v>
      </c>
      <c r="E311" t="s">
        <v>74</v>
      </c>
      <c r="F311" t="s">
        <v>6165</v>
      </c>
      <c r="G311" t="s">
        <v>74</v>
      </c>
      <c r="H311" t="s">
        <v>74</v>
      </c>
      <c r="I311" t="s">
        <v>6166</v>
      </c>
      <c r="J311" t="s">
        <v>6167</v>
      </c>
      <c r="K311" t="s">
        <v>74</v>
      </c>
      <c r="L311" t="s">
        <v>74</v>
      </c>
      <c r="M311" t="s">
        <v>78</v>
      </c>
      <c r="N311" t="s">
        <v>99</v>
      </c>
      <c r="O311" t="s">
        <v>74</v>
      </c>
      <c r="P311" t="s">
        <v>74</v>
      </c>
      <c r="Q311" t="s">
        <v>74</v>
      </c>
      <c r="R311" t="s">
        <v>74</v>
      </c>
      <c r="S311" t="s">
        <v>74</v>
      </c>
      <c r="T311" t="s">
        <v>74</v>
      </c>
      <c r="U311" t="s">
        <v>6168</v>
      </c>
      <c r="V311" t="s">
        <v>6169</v>
      </c>
      <c r="W311" t="s">
        <v>6170</v>
      </c>
      <c r="X311" t="s">
        <v>6171</v>
      </c>
      <c r="Y311" t="s">
        <v>6172</v>
      </c>
      <c r="Z311" t="s">
        <v>6173</v>
      </c>
      <c r="AA311" t="s">
        <v>6174</v>
      </c>
      <c r="AB311" t="s">
        <v>6175</v>
      </c>
      <c r="AC311" t="s">
        <v>6176</v>
      </c>
      <c r="AD311" t="s">
        <v>6177</v>
      </c>
      <c r="AE311" t="s">
        <v>6178</v>
      </c>
      <c r="AF311" t="s">
        <v>74</v>
      </c>
      <c r="AG311">
        <v>96</v>
      </c>
      <c r="AH311">
        <v>36</v>
      </c>
      <c r="AI311">
        <v>42</v>
      </c>
      <c r="AJ311">
        <v>0</v>
      </c>
      <c r="AK311">
        <v>26</v>
      </c>
      <c r="AL311" t="s">
        <v>1945</v>
      </c>
      <c r="AM311" t="s">
        <v>1946</v>
      </c>
      <c r="AN311" t="s">
        <v>1947</v>
      </c>
      <c r="AO311" t="s">
        <v>6179</v>
      </c>
      <c r="AP311" t="s">
        <v>74</v>
      </c>
      <c r="AQ311" t="s">
        <v>74</v>
      </c>
      <c r="AR311" t="s">
        <v>6180</v>
      </c>
      <c r="AS311" t="s">
        <v>6181</v>
      </c>
      <c r="AT311" t="s">
        <v>200</v>
      </c>
      <c r="AU311">
        <v>2015</v>
      </c>
      <c r="AV311">
        <v>16</v>
      </c>
      <c r="AW311">
        <v>1</v>
      </c>
      <c r="AX311" t="s">
        <v>74</v>
      </c>
      <c r="AY311" t="s">
        <v>74</v>
      </c>
      <c r="AZ311" t="s">
        <v>74</v>
      </c>
      <c r="BA311" t="s">
        <v>74</v>
      </c>
      <c r="BB311">
        <v>40</v>
      </c>
      <c r="BC311">
        <v>58</v>
      </c>
      <c r="BD311" t="s">
        <v>74</v>
      </c>
      <c r="BE311" t="s">
        <v>6182</v>
      </c>
      <c r="BF311" t="str">
        <f>HYPERLINK("http://dx.doi.org/10.1002/2014GC005588","http://dx.doi.org/10.1002/2014GC005588")</f>
        <v>http://dx.doi.org/10.1002/2014GC005588</v>
      </c>
      <c r="BG311" t="s">
        <v>74</v>
      </c>
      <c r="BH311" t="s">
        <v>74</v>
      </c>
      <c r="BI311">
        <v>19</v>
      </c>
      <c r="BJ311" t="s">
        <v>1902</v>
      </c>
      <c r="BK311" t="s">
        <v>91</v>
      </c>
      <c r="BL311" t="s">
        <v>1902</v>
      </c>
      <c r="BM311" t="s">
        <v>6183</v>
      </c>
      <c r="BN311" t="s">
        <v>74</v>
      </c>
      <c r="BO311" t="s">
        <v>74</v>
      </c>
      <c r="BP311" t="s">
        <v>74</v>
      </c>
      <c r="BQ311" t="s">
        <v>74</v>
      </c>
      <c r="BR311" t="s">
        <v>93</v>
      </c>
      <c r="BS311" t="s">
        <v>6184</v>
      </c>
      <c r="BT311" t="str">
        <f>HYPERLINK("https%3A%2F%2Fwww.webofscience.com%2Fwos%2Fwoscc%2Ffull-record%2FWOS:000349839000003","View Full Record in Web of Science")</f>
        <v>View Full Record in Web of Science</v>
      </c>
    </row>
    <row r="312" spans="1:72" x14ac:dyDescent="0.15">
      <c r="A312" t="s">
        <v>72</v>
      </c>
      <c r="B312" t="s">
        <v>6185</v>
      </c>
      <c r="C312" t="s">
        <v>74</v>
      </c>
      <c r="D312" t="s">
        <v>74</v>
      </c>
      <c r="E312" t="s">
        <v>74</v>
      </c>
      <c r="F312" t="s">
        <v>6186</v>
      </c>
      <c r="G312" t="s">
        <v>74</v>
      </c>
      <c r="H312" t="s">
        <v>6187</v>
      </c>
      <c r="I312" t="s">
        <v>6188</v>
      </c>
      <c r="J312" t="s">
        <v>6189</v>
      </c>
      <c r="K312" t="s">
        <v>74</v>
      </c>
      <c r="L312" t="s">
        <v>74</v>
      </c>
      <c r="M312" t="s">
        <v>78</v>
      </c>
      <c r="N312" t="s">
        <v>99</v>
      </c>
      <c r="O312" t="s">
        <v>74</v>
      </c>
      <c r="P312" t="s">
        <v>74</v>
      </c>
      <c r="Q312" t="s">
        <v>74</v>
      </c>
      <c r="R312" t="s">
        <v>74</v>
      </c>
      <c r="S312" t="s">
        <v>74</v>
      </c>
      <c r="T312" t="s">
        <v>74</v>
      </c>
      <c r="U312" t="s">
        <v>6190</v>
      </c>
      <c r="V312" t="s">
        <v>6191</v>
      </c>
      <c r="W312" t="s">
        <v>6192</v>
      </c>
      <c r="X312" t="s">
        <v>6193</v>
      </c>
      <c r="Y312" t="s">
        <v>6194</v>
      </c>
      <c r="Z312" t="s">
        <v>6195</v>
      </c>
      <c r="AA312" t="s">
        <v>6196</v>
      </c>
      <c r="AB312" t="s">
        <v>6197</v>
      </c>
      <c r="AC312" t="s">
        <v>6198</v>
      </c>
      <c r="AD312" t="s">
        <v>6199</v>
      </c>
      <c r="AE312" t="s">
        <v>6200</v>
      </c>
      <c r="AF312" t="s">
        <v>74</v>
      </c>
      <c r="AG312">
        <v>77</v>
      </c>
      <c r="AH312">
        <v>33</v>
      </c>
      <c r="AI312">
        <v>36</v>
      </c>
      <c r="AJ312">
        <v>0</v>
      </c>
      <c r="AK312">
        <v>28</v>
      </c>
      <c r="AL312" t="s">
        <v>6201</v>
      </c>
      <c r="AM312" t="s">
        <v>6202</v>
      </c>
      <c r="AN312" t="s">
        <v>6203</v>
      </c>
      <c r="AO312" t="s">
        <v>6204</v>
      </c>
      <c r="AP312" t="s">
        <v>6205</v>
      </c>
      <c r="AQ312" t="s">
        <v>74</v>
      </c>
      <c r="AR312" t="s">
        <v>6206</v>
      </c>
      <c r="AS312" t="s">
        <v>6207</v>
      </c>
      <c r="AT312" t="s">
        <v>1924</v>
      </c>
      <c r="AU312">
        <v>2015</v>
      </c>
      <c r="AV312">
        <v>127</v>
      </c>
      <c r="AW312" t="s">
        <v>2766</v>
      </c>
      <c r="AX312" t="s">
        <v>74</v>
      </c>
      <c r="AY312" t="s">
        <v>74</v>
      </c>
      <c r="AZ312" t="s">
        <v>74</v>
      </c>
      <c r="BA312" t="s">
        <v>74</v>
      </c>
      <c r="BB312">
        <v>297</v>
      </c>
      <c r="BC312">
        <v>315</v>
      </c>
      <c r="BD312" t="s">
        <v>74</v>
      </c>
      <c r="BE312" t="s">
        <v>6208</v>
      </c>
      <c r="BF312" t="str">
        <f>HYPERLINK("http://dx.doi.org/10.1130/B31035.1","http://dx.doi.org/10.1130/B31035.1")</f>
        <v>http://dx.doi.org/10.1130/B31035.1</v>
      </c>
      <c r="BG312" t="s">
        <v>74</v>
      </c>
      <c r="BH312" t="s">
        <v>74</v>
      </c>
      <c r="BI312">
        <v>19</v>
      </c>
      <c r="BJ312" t="s">
        <v>1953</v>
      </c>
      <c r="BK312" t="s">
        <v>91</v>
      </c>
      <c r="BL312" t="s">
        <v>1954</v>
      </c>
      <c r="BM312" t="s">
        <v>6209</v>
      </c>
      <c r="BN312" t="s">
        <v>74</v>
      </c>
      <c r="BO312" t="s">
        <v>2056</v>
      </c>
      <c r="BP312" t="s">
        <v>74</v>
      </c>
      <c r="BQ312" t="s">
        <v>74</v>
      </c>
      <c r="BR312" t="s">
        <v>93</v>
      </c>
      <c r="BS312" t="s">
        <v>6210</v>
      </c>
      <c r="BT312" t="str">
        <f>HYPERLINK("https%3A%2F%2Fwww.webofscience.com%2Fwos%2Fwoscc%2Ffull-record%2FWOS:000352212200018","View Full Record in Web of Science")</f>
        <v>View Full Record in Web of Science</v>
      </c>
    </row>
    <row r="313" spans="1:72" x14ac:dyDescent="0.15">
      <c r="A313" t="s">
        <v>72</v>
      </c>
      <c r="B313" t="s">
        <v>6211</v>
      </c>
      <c r="C313" t="s">
        <v>74</v>
      </c>
      <c r="D313" t="s">
        <v>74</v>
      </c>
      <c r="E313" t="s">
        <v>74</v>
      </c>
      <c r="F313" t="s">
        <v>6212</v>
      </c>
      <c r="G313" t="s">
        <v>74</v>
      </c>
      <c r="H313" t="s">
        <v>74</v>
      </c>
      <c r="I313" t="s">
        <v>6213</v>
      </c>
      <c r="J313" t="s">
        <v>1884</v>
      </c>
      <c r="K313" t="s">
        <v>74</v>
      </c>
      <c r="L313" t="s">
        <v>74</v>
      </c>
      <c r="M313" t="s">
        <v>78</v>
      </c>
      <c r="N313" t="s">
        <v>99</v>
      </c>
      <c r="O313" t="s">
        <v>74</v>
      </c>
      <c r="P313" t="s">
        <v>74</v>
      </c>
      <c r="Q313" t="s">
        <v>74</v>
      </c>
      <c r="R313" t="s">
        <v>74</v>
      </c>
      <c r="S313" t="s">
        <v>74</v>
      </c>
      <c r="T313" t="s">
        <v>6214</v>
      </c>
      <c r="U313" t="s">
        <v>6215</v>
      </c>
      <c r="V313" t="s">
        <v>6216</v>
      </c>
      <c r="W313" t="s">
        <v>6217</v>
      </c>
      <c r="X313" t="s">
        <v>6218</v>
      </c>
      <c r="Y313" t="s">
        <v>6219</v>
      </c>
      <c r="Z313" t="s">
        <v>6220</v>
      </c>
      <c r="AA313" t="s">
        <v>6221</v>
      </c>
      <c r="AB313" t="s">
        <v>6222</v>
      </c>
      <c r="AC313" t="s">
        <v>6223</v>
      </c>
      <c r="AD313" t="s">
        <v>6224</v>
      </c>
      <c r="AE313" t="s">
        <v>6225</v>
      </c>
      <c r="AF313" t="s">
        <v>74</v>
      </c>
      <c r="AG313">
        <v>51</v>
      </c>
      <c r="AH313">
        <v>13</v>
      </c>
      <c r="AI313">
        <v>15</v>
      </c>
      <c r="AJ313">
        <v>2</v>
      </c>
      <c r="AK313">
        <v>17</v>
      </c>
      <c r="AL313" t="s">
        <v>1895</v>
      </c>
      <c r="AM313" t="s">
        <v>1411</v>
      </c>
      <c r="AN313" t="s">
        <v>1896</v>
      </c>
      <c r="AO313" t="s">
        <v>1897</v>
      </c>
      <c r="AP313" t="s">
        <v>1898</v>
      </c>
      <c r="AQ313" t="s">
        <v>74</v>
      </c>
      <c r="AR313" t="s">
        <v>1899</v>
      </c>
      <c r="AS313" t="s">
        <v>1900</v>
      </c>
      <c r="AT313" t="s">
        <v>200</v>
      </c>
      <c r="AU313">
        <v>2015</v>
      </c>
      <c r="AV313">
        <v>200</v>
      </c>
      <c r="AW313">
        <v>1</v>
      </c>
      <c r="AX313" t="s">
        <v>74</v>
      </c>
      <c r="AY313" t="s">
        <v>74</v>
      </c>
      <c r="AZ313" t="s">
        <v>74</v>
      </c>
      <c r="BA313" t="s">
        <v>74</v>
      </c>
      <c r="BB313">
        <v>503</v>
      </c>
      <c r="BC313">
        <v>518</v>
      </c>
      <c r="BD313" t="s">
        <v>74</v>
      </c>
      <c r="BE313" t="s">
        <v>6226</v>
      </c>
      <c r="BF313" t="str">
        <f>HYPERLINK("http://dx.doi.org/10.1093/gji/ggu402","http://dx.doi.org/10.1093/gji/ggu402")</f>
        <v>http://dx.doi.org/10.1093/gji/ggu402</v>
      </c>
      <c r="BG313" t="s">
        <v>74</v>
      </c>
      <c r="BH313" t="s">
        <v>74</v>
      </c>
      <c r="BI313">
        <v>16</v>
      </c>
      <c r="BJ313" t="s">
        <v>1902</v>
      </c>
      <c r="BK313" t="s">
        <v>91</v>
      </c>
      <c r="BL313" t="s">
        <v>1902</v>
      </c>
      <c r="BM313" t="s">
        <v>1903</v>
      </c>
      <c r="BN313" t="s">
        <v>74</v>
      </c>
      <c r="BO313" t="s">
        <v>5076</v>
      </c>
      <c r="BP313" t="s">
        <v>74</v>
      </c>
      <c r="BQ313" t="s">
        <v>74</v>
      </c>
      <c r="BR313" t="s">
        <v>93</v>
      </c>
      <c r="BS313" t="s">
        <v>6227</v>
      </c>
      <c r="BT313" t="str">
        <f>HYPERLINK("https%3A%2F%2Fwww.webofscience.com%2Fwos%2Fwoscc%2Ffull-record%2FWOS:000350041600036","View Full Record in Web of Science")</f>
        <v>View Full Record in Web of Science</v>
      </c>
    </row>
    <row r="314" spans="1:72" x14ac:dyDescent="0.15">
      <c r="A314" t="s">
        <v>72</v>
      </c>
      <c r="B314" t="s">
        <v>6228</v>
      </c>
      <c r="C314" t="s">
        <v>74</v>
      </c>
      <c r="D314" t="s">
        <v>74</v>
      </c>
      <c r="E314" t="s">
        <v>74</v>
      </c>
      <c r="F314" t="s">
        <v>6229</v>
      </c>
      <c r="G314" t="s">
        <v>74</v>
      </c>
      <c r="H314" t="s">
        <v>74</v>
      </c>
      <c r="I314" t="s">
        <v>6230</v>
      </c>
      <c r="J314" t="s">
        <v>6231</v>
      </c>
      <c r="K314" t="s">
        <v>74</v>
      </c>
      <c r="L314" t="s">
        <v>74</v>
      </c>
      <c r="M314" t="s">
        <v>78</v>
      </c>
      <c r="N314" t="s">
        <v>99</v>
      </c>
      <c r="O314" t="s">
        <v>74</v>
      </c>
      <c r="P314" t="s">
        <v>74</v>
      </c>
      <c r="Q314" t="s">
        <v>74</v>
      </c>
      <c r="R314" t="s">
        <v>74</v>
      </c>
      <c r="S314" t="s">
        <v>74</v>
      </c>
      <c r="T314" t="s">
        <v>74</v>
      </c>
      <c r="U314" t="s">
        <v>6232</v>
      </c>
      <c r="V314" t="s">
        <v>6233</v>
      </c>
      <c r="W314" t="s">
        <v>6234</v>
      </c>
      <c r="X314" t="s">
        <v>6235</v>
      </c>
      <c r="Y314" t="s">
        <v>6236</v>
      </c>
      <c r="Z314" t="s">
        <v>6237</v>
      </c>
      <c r="AA314" t="s">
        <v>6238</v>
      </c>
      <c r="AB314" t="s">
        <v>6239</v>
      </c>
      <c r="AC314" t="s">
        <v>6240</v>
      </c>
      <c r="AD314" t="s">
        <v>6241</v>
      </c>
      <c r="AE314" t="s">
        <v>6242</v>
      </c>
      <c r="AF314" t="s">
        <v>74</v>
      </c>
      <c r="AG314">
        <v>86</v>
      </c>
      <c r="AH314">
        <v>15</v>
      </c>
      <c r="AI314">
        <v>16</v>
      </c>
      <c r="AJ314">
        <v>1</v>
      </c>
      <c r="AK314">
        <v>16</v>
      </c>
      <c r="AL314" t="s">
        <v>244</v>
      </c>
      <c r="AM314" t="s">
        <v>245</v>
      </c>
      <c r="AN314" t="s">
        <v>246</v>
      </c>
      <c r="AO314" t="s">
        <v>6243</v>
      </c>
      <c r="AP314" t="s">
        <v>6244</v>
      </c>
      <c r="AQ314" t="s">
        <v>74</v>
      </c>
      <c r="AR314" t="s">
        <v>6245</v>
      </c>
      <c r="AS314" t="s">
        <v>6246</v>
      </c>
      <c r="AT314" t="s">
        <v>74</v>
      </c>
      <c r="AU314">
        <v>2015</v>
      </c>
      <c r="AV314">
        <v>8</v>
      </c>
      <c r="AW314">
        <v>5</v>
      </c>
      <c r="AX314" t="s">
        <v>74</v>
      </c>
      <c r="AY314" t="s">
        <v>74</v>
      </c>
      <c r="AZ314" t="s">
        <v>74</v>
      </c>
      <c r="BA314" t="s">
        <v>74</v>
      </c>
      <c r="BB314">
        <v>1473</v>
      </c>
      <c r="BC314">
        <v>1492</v>
      </c>
      <c r="BD314" t="s">
        <v>74</v>
      </c>
      <c r="BE314" t="s">
        <v>6247</v>
      </c>
      <c r="BF314" t="str">
        <f>HYPERLINK("http://dx.doi.org/10.5194/gmd-8-1473-2015","http://dx.doi.org/10.5194/gmd-8-1473-2015")</f>
        <v>http://dx.doi.org/10.5194/gmd-8-1473-2015</v>
      </c>
      <c r="BG314" t="s">
        <v>74</v>
      </c>
      <c r="BH314" t="s">
        <v>74</v>
      </c>
      <c r="BI314">
        <v>20</v>
      </c>
      <c r="BJ314" t="s">
        <v>1953</v>
      </c>
      <c r="BK314" t="s">
        <v>91</v>
      </c>
      <c r="BL314" t="s">
        <v>1954</v>
      </c>
      <c r="BM314" t="s">
        <v>6248</v>
      </c>
      <c r="BN314" t="s">
        <v>74</v>
      </c>
      <c r="BO314" t="s">
        <v>1557</v>
      </c>
      <c r="BP314" t="s">
        <v>74</v>
      </c>
      <c r="BQ314" t="s">
        <v>74</v>
      </c>
      <c r="BR314" t="s">
        <v>93</v>
      </c>
      <c r="BS314" t="s">
        <v>6249</v>
      </c>
      <c r="BT314" t="str">
        <f>HYPERLINK("https%3A%2F%2Fwww.webofscience.com%2Fwos%2Fwoscc%2Ffull-record%2FWOS:000355289000013","View Full Record in Web of Science")</f>
        <v>View Full Record in Web of Science</v>
      </c>
    </row>
    <row r="315" spans="1:72" x14ac:dyDescent="0.15">
      <c r="A315" t="s">
        <v>72</v>
      </c>
      <c r="B315" t="s">
        <v>6250</v>
      </c>
      <c r="C315" t="s">
        <v>74</v>
      </c>
      <c r="D315" t="s">
        <v>74</v>
      </c>
      <c r="E315" t="s">
        <v>74</v>
      </c>
      <c r="F315" t="s">
        <v>6251</v>
      </c>
      <c r="G315" t="s">
        <v>74</v>
      </c>
      <c r="H315" t="s">
        <v>74</v>
      </c>
      <c r="I315" t="s">
        <v>6252</v>
      </c>
      <c r="J315" t="s">
        <v>6231</v>
      </c>
      <c r="K315" t="s">
        <v>74</v>
      </c>
      <c r="L315" t="s">
        <v>74</v>
      </c>
      <c r="M315" t="s">
        <v>78</v>
      </c>
      <c r="N315" t="s">
        <v>99</v>
      </c>
      <c r="O315" t="s">
        <v>74</v>
      </c>
      <c r="P315" t="s">
        <v>74</v>
      </c>
      <c r="Q315" t="s">
        <v>74</v>
      </c>
      <c r="R315" t="s">
        <v>74</v>
      </c>
      <c r="S315" t="s">
        <v>74</v>
      </c>
      <c r="T315" t="s">
        <v>74</v>
      </c>
      <c r="U315" t="s">
        <v>6253</v>
      </c>
      <c r="V315" t="s">
        <v>6254</v>
      </c>
      <c r="W315" t="s">
        <v>6255</v>
      </c>
      <c r="X315" t="s">
        <v>6256</v>
      </c>
      <c r="Y315" t="s">
        <v>6257</v>
      </c>
      <c r="Z315" t="s">
        <v>6258</v>
      </c>
      <c r="AA315" t="s">
        <v>6259</v>
      </c>
      <c r="AB315" t="s">
        <v>6260</v>
      </c>
      <c r="AC315" t="s">
        <v>6261</v>
      </c>
      <c r="AD315" t="s">
        <v>6262</v>
      </c>
      <c r="AE315" t="s">
        <v>6263</v>
      </c>
      <c r="AF315" t="s">
        <v>74</v>
      </c>
      <c r="AG315">
        <v>33</v>
      </c>
      <c r="AH315">
        <v>60</v>
      </c>
      <c r="AI315">
        <v>62</v>
      </c>
      <c r="AJ315">
        <v>1</v>
      </c>
      <c r="AK315">
        <v>20</v>
      </c>
      <c r="AL315" t="s">
        <v>244</v>
      </c>
      <c r="AM315" t="s">
        <v>245</v>
      </c>
      <c r="AN315" t="s">
        <v>246</v>
      </c>
      <c r="AO315" t="s">
        <v>6243</v>
      </c>
      <c r="AP315" t="s">
        <v>6244</v>
      </c>
      <c r="AQ315" t="s">
        <v>74</v>
      </c>
      <c r="AR315" t="s">
        <v>6245</v>
      </c>
      <c r="AS315" t="s">
        <v>6246</v>
      </c>
      <c r="AT315" t="s">
        <v>74</v>
      </c>
      <c r="AU315">
        <v>2015</v>
      </c>
      <c r="AV315">
        <v>8</v>
      </c>
      <c r="AW315">
        <v>5</v>
      </c>
      <c r="AX315" t="s">
        <v>74</v>
      </c>
      <c r="AY315" t="s">
        <v>74</v>
      </c>
      <c r="AZ315" t="s">
        <v>74</v>
      </c>
      <c r="BA315" t="s">
        <v>74</v>
      </c>
      <c r="BB315">
        <v>1547</v>
      </c>
      <c r="BC315">
        <v>1562</v>
      </c>
      <c r="BD315" t="s">
        <v>74</v>
      </c>
      <c r="BE315" t="s">
        <v>6264</v>
      </c>
      <c r="BF315" t="str">
        <f>HYPERLINK("http://dx.doi.org/10.5194/gmd-8-1547-2015","http://dx.doi.org/10.5194/gmd-8-1547-2015")</f>
        <v>http://dx.doi.org/10.5194/gmd-8-1547-2015</v>
      </c>
      <c r="BG315" t="s">
        <v>74</v>
      </c>
      <c r="BH315" t="s">
        <v>74</v>
      </c>
      <c r="BI315">
        <v>16</v>
      </c>
      <c r="BJ315" t="s">
        <v>1953</v>
      </c>
      <c r="BK315" t="s">
        <v>91</v>
      </c>
      <c r="BL315" t="s">
        <v>1954</v>
      </c>
      <c r="BM315" t="s">
        <v>6248</v>
      </c>
      <c r="BN315" t="s">
        <v>74</v>
      </c>
      <c r="BO315" t="s">
        <v>805</v>
      </c>
      <c r="BP315" t="s">
        <v>74</v>
      </c>
      <c r="BQ315" t="s">
        <v>74</v>
      </c>
      <c r="BR315" t="s">
        <v>93</v>
      </c>
      <c r="BS315" t="s">
        <v>6265</v>
      </c>
      <c r="BT315" t="str">
        <f>HYPERLINK("https%3A%2F%2Fwww.webofscience.com%2Fwos%2Fwoscc%2Ffull-record%2FWOS:000355289000017","View Full Record in Web of Science")</f>
        <v>View Full Record in Web of Science</v>
      </c>
    </row>
    <row r="316" spans="1:72" x14ac:dyDescent="0.15">
      <c r="A316" t="s">
        <v>72</v>
      </c>
      <c r="B316" t="s">
        <v>6266</v>
      </c>
      <c r="C316" t="s">
        <v>74</v>
      </c>
      <c r="D316" t="s">
        <v>74</v>
      </c>
      <c r="E316" t="s">
        <v>74</v>
      </c>
      <c r="F316" t="s">
        <v>6267</v>
      </c>
      <c r="G316" t="s">
        <v>74</v>
      </c>
      <c r="H316" t="s">
        <v>74</v>
      </c>
      <c r="I316" t="s">
        <v>6268</v>
      </c>
      <c r="J316" t="s">
        <v>6231</v>
      </c>
      <c r="K316" t="s">
        <v>74</v>
      </c>
      <c r="L316" t="s">
        <v>74</v>
      </c>
      <c r="M316" t="s">
        <v>78</v>
      </c>
      <c r="N316" t="s">
        <v>99</v>
      </c>
      <c r="O316" t="s">
        <v>74</v>
      </c>
      <c r="P316" t="s">
        <v>74</v>
      </c>
      <c r="Q316" t="s">
        <v>74</v>
      </c>
      <c r="R316" t="s">
        <v>74</v>
      </c>
      <c r="S316" t="s">
        <v>74</v>
      </c>
      <c r="T316" t="s">
        <v>74</v>
      </c>
      <c r="U316" t="s">
        <v>6269</v>
      </c>
      <c r="V316" t="s">
        <v>6270</v>
      </c>
      <c r="W316" t="s">
        <v>6271</v>
      </c>
      <c r="X316" t="s">
        <v>6272</v>
      </c>
      <c r="Y316" t="s">
        <v>6273</v>
      </c>
      <c r="Z316" t="s">
        <v>6274</v>
      </c>
      <c r="AA316" t="s">
        <v>74</v>
      </c>
      <c r="AB316" t="s">
        <v>6275</v>
      </c>
      <c r="AC316" t="s">
        <v>6276</v>
      </c>
      <c r="AD316" t="s">
        <v>6277</v>
      </c>
      <c r="AE316" t="s">
        <v>6278</v>
      </c>
      <c r="AF316" t="s">
        <v>74</v>
      </c>
      <c r="AG316">
        <v>35</v>
      </c>
      <c r="AH316">
        <v>79</v>
      </c>
      <c r="AI316">
        <v>79</v>
      </c>
      <c r="AJ316">
        <v>0</v>
      </c>
      <c r="AK316">
        <v>18</v>
      </c>
      <c r="AL316" t="s">
        <v>244</v>
      </c>
      <c r="AM316" t="s">
        <v>245</v>
      </c>
      <c r="AN316" t="s">
        <v>246</v>
      </c>
      <c r="AO316" t="s">
        <v>6243</v>
      </c>
      <c r="AP316" t="s">
        <v>6244</v>
      </c>
      <c r="AQ316" t="s">
        <v>74</v>
      </c>
      <c r="AR316" t="s">
        <v>6245</v>
      </c>
      <c r="AS316" t="s">
        <v>6246</v>
      </c>
      <c r="AT316" t="s">
        <v>74</v>
      </c>
      <c r="AU316">
        <v>2015</v>
      </c>
      <c r="AV316">
        <v>8</v>
      </c>
      <c r="AW316">
        <v>7</v>
      </c>
      <c r="AX316" t="s">
        <v>74</v>
      </c>
      <c r="AY316" t="s">
        <v>74</v>
      </c>
      <c r="AZ316" t="s">
        <v>74</v>
      </c>
      <c r="BA316" t="s">
        <v>74</v>
      </c>
      <c r="BB316">
        <v>2221</v>
      </c>
      <c r="BC316">
        <v>2230</v>
      </c>
      <c r="BD316" t="s">
        <v>74</v>
      </c>
      <c r="BE316" t="s">
        <v>6279</v>
      </c>
      <c r="BF316" t="str">
        <f>HYPERLINK("http://dx.doi.org/10.5194/gmd-8-2221-2015","http://dx.doi.org/10.5194/gmd-8-2221-2015")</f>
        <v>http://dx.doi.org/10.5194/gmd-8-2221-2015</v>
      </c>
      <c r="BG316" t="s">
        <v>74</v>
      </c>
      <c r="BH316" t="s">
        <v>74</v>
      </c>
      <c r="BI316">
        <v>10</v>
      </c>
      <c r="BJ316" t="s">
        <v>1953</v>
      </c>
      <c r="BK316" t="s">
        <v>91</v>
      </c>
      <c r="BL316" t="s">
        <v>1954</v>
      </c>
      <c r="BM316" t="s">
        <v>6280</v>
      </c>
      <c r="BN316" t="s">
        <v>74</v>
      </c>
      <c r="BO316" t="s">
        <v>1136</v>
      </c>
      <c r="BP316" t="s">
        <v>74</v>
      </c>
      <c r="BQ316" t="s">
        <v>74</v>
      </c>
      <c r="BR316" t="s">
        <v>93</v>
      </c>
      <c r="BS316" t="s">
        <v>6281</v>
      </c>
      <c r="BT316" t="str">
        <f>HYPERLINK("https%3A%2F%2Fwww.webofscience.com%2Fwos%2Fwoscc%2Ffull-record%2FWOS:000358917100018","View Full Record in Web of Science")</f>
        <v>View Full Record in Web of Science</v>
      </c>
    </row>
    <row r="317" spans="1:72" x14ac:dyDescent="0.15">
      <c r="A317" t="s">
        <v>72</v>
      </c>
      <c r="B317" t="s">
        <v>6282</v>
      </c>
      <c r="C317" t="s">
        <v>74</v>
      </c>
      <c r="D317" t="s">
        <v>74</v>
      </c>
      <c r="E317" t="s">
        <v>74</v>
      </c>
      <c r="F317" t="s">
        <v>6283</v>
      </c>
      <c r="G317" t="s">
        <v>74</v>
      </c>
      <c r="H317" t="s">
        <v>74</v>
      </c>
      <c r="I317" t="s">
        <v>6284</v>
      </c>
      <c r="J317" t="s">
        <v>6231</v>
      </c>
      <c r="K317" t="s">
        <v>74</v>
      </c>
      <c r="L317" t="s">
        <v>74</v>
      </c>
      <c r="M317" t="s">
        <v>78</v>
      </c>
      <c r="N317" t="s">
        <v>99</v>
      </c>
      <c r="O317" t="s">
        <v>74</v>
      </c>
      <c r="P317" t="s">
        <v>74</v>
      </c>
      <c r="Q317" t="s">
        <v>74</v>
      </c>
      <c r="R317" t="s">
        <v>74</v>
      </c>
      <c r="S317" t="s">
        <v>74</v>
      </c>
      <c r="T317" t="s">
        <v>74</v>
      </c>
      <c r="U317" t="s">
        <v>6285</v>
      </c>
      <c r="V317" t="s">
        <v>6286</v>
      </c>
      <c r="W317" t="s">
        <v>6287</v>
      </c>
      <c r="X317" t="s">
        <v>6288</v>
      </c>
      <c r="Y317" t="s">
        <v>6289</v>
      </c>
      <c r="Z317" t="s">
        <v>6290</v>
      </c>
      <c r="AA317" t="s">
        <v>6291</v>
      </c>
      <c r="AB317" t="s">
        <v>6292</v>
      </c>
      <c r="AC317" t="s">
        <v>6293</v>
      </c>
      <c r="AD317" t="s">
        <v>6294</v>
      </c>
      <c r="AE317" t="s">
        <v>6295</v>
      </c>
      <c r="AF317" t="s">
        <v>74</v>
      </c>
      <c r="AG317">
        <v>93</v>
      </c>
      <c r="AH317">
        <v>158</v>
      </c>
      <c r="AI317">
        <v>162</v>
      </c>
      <c r="AJ317">
        <v>1</v>
      </c>
      <c r="AK317">
        <v>21</v>
      </c>
      <c r="AL317" t="s">
        <v>244</v>
      </c>
      <c r="AM317" t="s">
        <v>245</v>
      </c>
      <c r="AN317" t="s">
        <v>246</v>
      </c>
      <c r="AO317" t="s">
        <v>6243</v>
      </c>
      <c r="AP317" t="s">
        <v>6244</v>
      </c>
      <c r="AQ317" t="s">
        <v>74</v>
      </c>
      <c r="AR317" t="s">
        <v>6245</v>
      </c>
      <c r="AS317" t="s">
        <v>6246</v>
      </c>
      <c r="AT317" t="s">
        <v>74</v>
      </c>
      <c r="AU317">
        <v>2015</v>
      </c>
      <c r="AV317">
        <v>8</v>
      </c>
      <c r="AW317">
        <v>10</v>
      </c>
      <c r="AX317" t="s">
        <v>74</v>
      </c>
      <c r="AY317" t="s">
        <v>74</v>
      </c>
      <c r="AZ317" t="s">
        <v>74</v>
      </c>
      <c r="BA317" t="s">
        <v>74</v>
      </c>
      <c r="BB317">
        <v>2991</v>
      </c>
      <c r="BC317">
        <v>3005</v>
      </c>
      <c r="BD317" t="s">
        <v>74</v>
      </c>
      <c r="BE317" t="s">
        <v>6296</v>
      </c>
      <c r="BF317" t="str">
        <f>HYPERLINK("http://dx.doi.org/10.5194/gmd-8-2991-2015","http://dx.doi.org/10.5194/gmd-8-2991-2015")</f>
        <v>http://dx.doi.org/10.5194/gmd-8-2991-2015</v>
      </c>
      <c r="BG317" t="s">
        <v>74</v>
      </c>
      <c r="BH317" t="s">
        <v>74</v>
      </c>
      <c r="BI317">
        <v>15</v>
      </c>
      <c r="BJ317" t="s">
        <v>1953</v>
      </c>
      <c r="BK317" t="s">
        <v>91</v>
      </c>
      <c r="BL317" t="s">
        <v>1954</v>
      </c>
      <c r="BM317" t="s">
        <v>6297</v>
      </c>
      <c r="BN317" t="s">
        <v>74</v>
      </c>
      <c r="BO317" t="s">
        <v>6298</v>
      </c>
      <c r="BP317" t="s">
        <v>74</v>
      </c>
      <c r="BQ317" t="s">
        <v>74</v>
      </c>
      <c r="BR317" t="s">
        <v>93</v>
      </c>
      <c r="BS317" t="s">
        <v>6299</v>
      </c>
      <c r="BT317" t="str">
        <f>HYPERLINK("https%3A%2F%2Fwww.webofscience.com%2Fwos%2Fwoscc%2Ffull-record%2FWOS:000364326200001","View Full Record in Web of Science")</f>
        <v>View Full Record in Web of Science</v>
      </c>
    </row>
    <row r="318" spans="1:72" x14ac:dyDescent="0.15">
      <c r="A318" t="s">
        <v>72</v>
      </c>
      <c r="B318" t="s">
        <v>6300</v>
      </c>
      <c r="C318" t="s">
        <v>74</v>
      </c>
      <c r="D318" t="s">
        <v>74</v>
      </c>
      <c r="E318" t="s">
        <v>74</v>
      </c>
      <c r="F318" t="s">
        <v>6301</v>
      </c>
      <c r="G318" t="s">
        <v>74</v>
      </c>
      <c r="H318" t="s">
        <v>74</v>
      </c>
      <c r="I318" t="s">
        <v>6302</v>
      </c>
      <c r="J318" t="s">
        <v>6303</v>
      </c>
      <c r="K318" t="s">
        <v>74</v>
      </c>
      <c r="L318" t="s">
        <v>74</v>
      </c>
      <c r="M318" t="s">
        <v>78</v>
      </c>
      <c r="N318" t="s">
        <v>99</v>
      </c>
      <c r="O318" t="s">
        <v>74</v>
      </c>
      <c r="P318" t="s">
        <v>74</v>
      </c>
      <c r="Q318" t="s">
        <v>74</v>
      </c>
      <c r="R318" t="s">
        <v>74</v>
      </c>
      <c r="S318" t="s">
        <v>74</v>
      </c>
      <c r="T318" t="s">
        <v>74</v>
      </c>
      <c r="U318" t="s">
        <v>6304</v>
      </c>
      <c r="V318" t="s">
        <v>6305</v>
      </c>
      <c r="W318" t="s">
        <v>6306</v>
      </c>
      <c r="X318" t="s">
        <v>6307</v>
      </c>
      <c r="Y318" t="s">
        <v>6308</v>
      </c>
      <c r="Z318" t="s">
        <v>6309</v>
      </c>
      <c r="AA318" t="s">
        <v>6310</v>
      </c>
      <c r="AB318" t="s">
        <v>6311</v>
      </c>
      <c r="AC318" t="s">
        <v>6312</v>
      </c>
      <c r="AD318" t="s">
        <v>6313</v>
      </c>
      <c r="AE318" t="s">
        <v>6314</v>
      </c>
      <c r="AF318" t="s">
        <v>74</v>
      </c>
      <c r="AG318">
        <v>37</v>
      </c>
      <c r="AH318">
        <v>28</v>
      </c>
      <c r="AI318">
        <v>29</v>
      </c>
      <c r="AJ318">
        <v>3</v>
      </c>
      <c r="AK318">
        <v>15</v>
      </c>
      <c r="AL318" t="s">
        <v>244</v>
      </c>
      <c r="AM318" t="s">
        <v>245</v>
      </c>
      <c r="AN318" t="s">
        <v>246</v>
      </c>
      <c r="AO318" t="s">
        <v>6243</v>
      </c>
      <c r="AP318" t="s">
        <v>6244</v>
      </c>
      <c r="AQ318" t="s">
        <v>74</v>
      </c>
      <c r="AR318" t="s">
        <v>6245</v>
      </c>
      <c r="AS318" t="s">
        <v>6246</v>
      </c>
      <c r="AT318" t="s">
        <v>74</v>
      </c>
      <c r="AU318">
        <v>2015</v>
      </c>
      <c r="AV318">
        <v>8</v>
      </c>
      <c r="AW318">
        <v>10</v>
      </c>
      <c r="AX318" t="s">
        <v>74</v>
      </c>
      <c r="AY318" t="s">
        <v>74</v>
      </c>
      <c r="AZ318" t="s">
        <v>74</v>
      </c>
      <c r="BA318" t="s">
        <v>74</v>
      </c>
      <c r="BB318">
        <v>3119</v>
      </c>
      <c r="BC318">
        <v>3130</v>
      </c>
      <c r="BD318" t="s">
        <v>74</v>
      </c>
      <c r="BE318" t="s">
        <v>6315</v>
      </c>
      <c r="BF318" t="str">
        <f>HYPERLINK("http://dx.doi.org/10.5194/gmd-8-3119-2015","http://dx.doi.org/10.5194/gmd-8-3119-2015")</f>
        <v>http://dx.doi.org/10.5194/gmd-8-3119-2015</v>
      </c>
      <c r="BG318" t="s">
        <v>74</v>
      </c>
      <c r="BH318" t="s">
        <v>74</v>
      </c>
      <c r="BI318">
        <v>12</v>
      </c>
      <c r="BJ318" t="s">
        <v>1953</v>
      </c>
      <c r="BK318" t="s">
        <v>91</v>
      </c>
      <c r="BL318" t="s">
        <v>1954</v>
      </c>
      <c r="BM318" t="s">
        <v>6297</v>
      </c>
      <c r="BN318" t="s">
        <v>74</v>
      </c>
      <c r="BO318" t="s">
        <v>1458</v>
      </c>
      <c r="BP318" t="s">
        <v>74</v>
      </c>
      <c r="BQ318" t="s">
        <v>74</v>
      </c>
      <c r="BR318" t="s">
        <v>93</v>
      </c>
      <c r="BS318" t="s">
        <v>6316</v>
      </c>
      <c r="BT318" t="str">
        <f>HYPERLINK("https%3A%2F%2Fwww.webofscience.com%2Fwos%2Fwoscc%2Ffull-record%2FWOS:000364326200008","View Full Record in Web of Science")</f>
        <v>View Full Record in Web of Science</v>
      </c>
    </row>
    <row r="319" spans="1:72" x14ac:dyDescent="0.15">
      <c r="A319" t="s">
        <v>72</v>
      </c>
      <c r="B319" t="s">
        <v>6317</v>
      </c>
      <c r="C319" t="s">
        <v>74</v>
      </c>
      <c r="D319" t="s">
        <v>74</v>
      </c>
      <c r="E319" t="s">
        <v>74</v>
      </c>
      <c r="F319" t="s">
        <v>6318</v>
      </c>
      <c r="G319" t="s">
        <v>74</v>
      </c>
      <c r="H319" t="s">
        <v>74</v>
      </c>
      <c r="I319" t="s">
        <v>6319</v>
      </c>
      <c r="J319" t="s">
        <v>6320</v>
      </c>
      <c r="K319" t="s">
        <v>74</v>
      </c>
      <c r="L319" t="s">
        <v>74</v>
      </c>
      <c r="M319" t="s">
        <v>78</v>
      </c>
      <c r="N319" t="s">
        <v>99</v>
      </c>
      <c r="O319" t="s">
        <v>74</v>
      </c>
      <c r="P319" t="s">
        <v>74</v>
      </c>
      <c r="Q319" t="s">
        <v>74</v>
      </c>
      <c r="R319" t="s">
        <v>74</v>
      </c>
      <c r="S319" t="s">
        <v>74</v>
      </c>
      <c r="T319" t="s">
        <v>6321</v>
      </c>
      <c r="U319" t="s">
        <v>6322</v>
      </c>
      <c r="V319" t="s">
        <v>6323</v>
      </c>
      <c r="W319" t="s">
        <v>6324</v>
      </c>
      <c r="X319" t="s">
        <v>6325</v>
      </c>
      <c r="Y319" t="s">
        <v>6326</v>
      </c>
      <c r="Z319" t="s">
        <v>6327</v>
      </c>
      <c r="AA319" t="s">
        <v>6328</v>
      </c>
      <c r="AB319" t="s">
        <v>6329</v>
      </c>
      <c r="AC319" t="s">
        <v>6330</v>
      </c>
      <c r="AD319" t="s">
        <v>6331</v>
      </c>
      <c r="AE319" t="s">
        <v>6332</v>
      </c>
      <c r="AF319" t="s">
        <v>74</v>
      </c>
      <c r="AG319">
        <v>103</v>
      </c>
      <c r="AH319">
        <v>23</v>
      </c>
      <c r="AI319">
        <v>26</v>
      </c>
      <c r="AJ319">
        <v>0</v>
      </c>
      <c r="AK319">
        <v>13</v>
      </c>
      <c r="AL319" t="s">
        <v>2640</v>
      </c>
      <c r="AM319" t="s">
        <v>1176</v>
      </c>
      <c r="AN319" t="s">
        <v>2641</v>
      </c>
      <c r="AO319" t="s">
        <v>6333</v>
      </c>
      <c r="AP319" t="s">
        <v>6334</v>
      </c>
      <c r="AQ319" t="s">
        <v>74</v>
      </c>
      <c r="AR319" t="s">
        <v>6335</v>
      </c>
      <c r="AS319" t="s">
        <v>6336</v>
      </c>
      <c r="AT319" t="s">
        <v>200</v>
      </c>
      <c r="AU319">
        <v>2015</v>
      </c>
      <c r="AV319">
        <v>27</v>
      </c>
      <c r="AW319">
        <v>1</v>
      </c>
      <c r="AX319" t="s">
        <v>74</v>
      </c>
      <c r="AY319" t="s">
        <v>74</v>
      </c>
      <c r="AZ319" t="s">
        <v>74</v>
      </c>
      <c r="BA319" t="s">
        <v>74</v>
      </c>
      <c r="BB319">
        <v>377</v>
      </c>
      <c r="BC319">
        <v>391</v>
      </c>
      <c r="BD319" t="s">
        <v>74</v>
      </c>
      <c r="BE319" t="s">
        <v>6337</v>
      </c>
      <c r="BF319" t="str">
        <f>HYPERLINK("http://dx.doi.org/10.1016/j.gr.2013.10.006","http://dx.doi.org/10.1016/j.gr.2013.10.006")</f>
        <v>http://dx.doi.org/10.1016/j.gr.2013.10.006</v>
      </c>
      <c r="BG319" t="s">
        <v>74</v>
      </c>
      <c r="BH319" t="s">
        <v>74</v>
      </c>
      <c r="BI319">
        <v>15</v>
      </c>
      <c r="BJ319" t="s">
        <v>1953</v>
      </c>
      <c r="BK319" t="s">
        <v>91</v>
      </c>
      <c r="BL319" t="s">
        <v>1954</v>
      </c>
      <c r="BM319" t="s">
        <v>6338</v>
      </c>
      <c r="BN319" t="s">
        <v>74</v>
      </c>
      <c r="BO319" t="s">
        <v>74</v>
      </c>
      <c r="BP319" t="s">
        <v>74</v>
      </c>
      <c r="BQ319" t="s">
        <v>74</v>
      </c>
      <c r="BR319" t="s">
        <v>93</v>
      </c>
      <c r="BS319" t="s">
        <v>6339</v>
      </c>
      <c r="BT319" t="str">
        <f>HYPERLINK("https%3A%2F%2Fwww.webofscience.com%2Fwos%2Fwoscc%2Ffull-record%2FWOS:000345805800018","View Full Record in Web of Science")</f>
        <v>View Full Record in Web of Science</v>
      </c>
    </row>
    <row r="320" spans="1:72" x14ac:dyDescent="0.15">
      <c r="A320" t="s">
        <v>1395</v>
      </c>
      <c r="B320" t="s">
        <v>6340</v>
      </c>
      <c r="C320" t="s">
        <v>74</v>
      </c>
      <c r="D320" t="s">
        <v>6341</v>
      </c>
      <c r="E320" t="s">
        <v>74</v>
      </c>
      <c r="F320" t="s">
        <v>6342</v>
      </c>
      <c r="G320" t="s">
        <v>74</v>
      </c>
      <c r="H320" t="s">
        <v>74</v>
      </c>
      <c r="I320" t="s">
        <v>6343</v>
      </c>
      <c r="J320" t="s">
        <v>6344</v>
      </c>
      <c r="K320" t="s">
        <v>74</v>
      </c>
      <c r="L320" t="s">
        <v>74</v>
      </c>
      <c r="M320" t="s">
        <v>78</v>
      </c>
      <c r="N320" t="s">
        <v>918</v>
      </c>
      <c r="O320" t="s">
        <v>74</v>
      </c>
      <c r="P320" t="s">
        <v>74</v>
      </c>
      <c r="Q320" t="s">
        <v>74</v>
      </c>
      <c r="R320" t="s">
        <v>74</v>
      </c>
      <c r="S320" t="s">
        <v>74</v>
      </c>
      <c r="T320" t="s">
        <v>74</v>
      </c>
      <c r="U320" t="s">
        <v>6345</v>
      </c>
      <c r="V320" t="s">
        <v>74</v>
      </c>
      <c r="W320" t="s">
        <v>6346</v>
      </c>
      <c r="X320" t="s">
        <v>6347</v>
      </c>
      <c r="Y320" t="s">
        <v>6348</v>
      </c>
      <c r="Z320" t="s">
        <v>6349</v>
      </c>
      <c r="AA320" t="s">
        <v>74</v>
      </c>
      <c r="AB320" t="s">
        <v>6350</v>
      </c>
      <c r="AC320" t="s">
        <v>74</v>
      </c>
      <c r="AD320" t="s">
        <v>74</v>
      </c>
      <c r="AE320" t="s">
        <v>74</v>
      </c>
      <c r="AF320" t="s">
        <v>74</v>
      </c>
      <c r="AG320">
        <v>140</v>
      </c>
      <c r="AH320">
        <v>12</v>
      </c>
      <c r="AI320">
        <v>13</v>
      </c>
      <c r="AJ320">
        <v>0</v>
      </c>
      <c r="AK320">
        <v>1</v>
      </c>
      <c r="AL320" t="s">
        <v>6351</v>
      </c>
      <c r="AM320" t="s">
        <v>6352</v>
      </c>
      <c r="AN320" t="s">
        <v>6353</v>
      </c>
      <c r="AO320" t="s">
        <v>74</v>
      </c>
      <c r="AP320" t="s">
        <v>74</v>
      </c>
      <c r="AQ320" t="s">
        <v>6354</v>
      </c>
      <c r="AR320" t="s">
        <v>74</v>
      </c>
      <c r="AS320" t="s">
        <v>74</v>
      </c>
      <c r="AT320" t="s">
        <v>74</v>
      </c>
      <c r="AU320">
        <v>2015</v>
      </c>
      <c r="AV320" t="s">
        <v>74</v>
      </c>
      <c r="AW320" t="s">
        <v>74</v>
      </c>
      <c r="AX320" t="s">
        <v>74</v>
      </c>
      <c r="AY320" t="s">
        <v>74</v>
      </c>
      <c r="AZ320" t="s">
        <v>74</v>
      </c>
      <c r="BA320" t="s">
        <v>74</v>
      </c>
      <c r="BB320">
        <v>104</v>
      </c>
      <c r="BC320">
        <v>124</v>
      </c>
      <c r="BD320" t="s">
        <v>74</v>
      </c>
      <c r="BE320" t="s">
        <v>74</v>
      </c>
      <c r="BF320" t="s">
        <v>74</v>
      </c>
      <c r="BG320" t="s">
        <v>6355</v>
      </c>
      <c r="BH320" t="s">
        <v>74</v>
      </c>
      <c r="BI320">
        <v>21</v>
      </c>
      <c r="BJ320" t="s">
        <v>6356</v>
      </c>
      <c r="BK320" t="s">
        <v>936</v>
      </c>
      <c r="BL320" t="s">
        <v>6357</v>
      </c>
      <c r="BM320" t="s">
        <v>6358</v>
      </c>
      <c r="BN320" t="s">
        <v>74</v>
      </c>
      <c r="BO320" t="s">
        <v>74</v>
      </c>
      <c r="BP320" t="s">
        <v>74</v>
      </c>
      <c r="BQ320" t="s">
        <v>74</v>
      </c>
      <c r="BR320" t="s">
        <v>93</v>
      </c>
      <c r="BS320" t="s">
        <v>6359</v>
      </c>
      <c r="BT320" t="str">
        <f>HYPERLINK("https%3A%2F%2Fwww.webofscience.com%2Fwos%2Fwoscc%2Ffull-record%2FWOS:000473288300008","View Full Record in Web of Science")</f>
        <v>View Full Record in Web of Science</v>
      </c>
    </row>
    <row r="321" spans="1:72" x14ac:dyDescent="0.15">
      <c r="A321" t="s">
        <v>72</v>
      </c>
      <c r="B321" t="s">
        <v>6360</v>
      </c>
      <c r="C321" t="s">
        <v>74</v>
      </c>
      <c r="D321" t="s">
        <v>74</v>
      </c>
      <c r="E321" t="s">
        <v>74</v>
      </c>
      <c r="F321" t="s">
        <v>6361</v>
      </c>
      <c r="G321" t="s">
        <v>74</v>
      </c>
      <c r="H321" t="s">
        <v>74</v>
      </c>
      <c r="I321" t="s">
        <v>6362</v>
      </c>
      <c r="J321" t="s">
        <v>6363</v>
      </c>
      <c r="K321" t="s">
        <v>74</v>
      </c>
      <c r="L321" t="s">
        <v>74</v>
      </c>
      <c r="M321" t="s">
        <v>78</v>
      </c>
      <c r="N321" t="s">
        <v>99</v>
      </c>
      <c r="O321" t="s">
        <v>74</v>
      </c>
      <c r="P321" t="s">
        <v>74</v>
      </c>
      <c r="Q321" t="s">
        <v>74</v>
      </c>
      <c r="R321" t="s">
        <v>74</v>
      </c>
      <c r="S321" t="s">
        <v>74</v>
      </c>
      <c r="T321" t="s">
        <v>74</v>
      </c>
      <c r="U321" t="s">
        <v>6364</v>
      </c>
      <c r="V321" t="s">
        <v>6365</v>
      </c>
      <c r="W321" t="s">
        <v>6366</v>
      </c>
      <c r="X321" t="s">
        <v>6367</v>
      </c>
      <c r="Y321" t="s">
        <v>6368</v>
      </c>
      <c r="Z321" t="s">
        <v>6369</v>
      </c>
      <c r="AA321" t="s">
        <v>6370</v>
      </c>
      <c r="AB321" t="s">
        <v>6371</v>
      </c>
      <c r="AC321" t="s">
        <v>6372</v>
      </c>
      <c r="AD321" t="s">
        <v>6373</v>
      </c>
      <c r="AE321" t="s">
        <v>6374</v>
      </c>
      <c r="AF321" t="s">
        <v>74</v>
      </c>
      <c r="AG321">
        <v>56</v>
      </c>
      <c r="AH321">
        <v>41</v>
      </c>
      <c r="AI321">
        <v>47</v>
      </c>
      <c r="AJ321">
        <v>2</v>
      </c>
      <c r="AK321">
        <v>202</v>
      </c>
      <c r="AL321" t="s">
        <v>6375</v>
      </c>
      <c r="AM321" t="s">
        <v>219</v>
      </c>
      <c r="AN321" t="s">
        <v>6376</v>
      </c>
      <c r="AO321" t="s">
        <v>6377</v>
      </c>
      <c r="AP321" t="s">
        <v>6378</v>
      </c>
      <c r="AQ321" t="s">
        <v>74</v>
      </c>
      <c r="AR321" t="s">
        <v>6363</v>
      </c>
      <c r="AS321" t="s">
        <v>6379</v>
      </c>
      <c r="AT321" t="s">
        <v>200</v>
      </c>
      <c r="AU321">
        <v>2015</v>
      </c>
      <c r="AV321">
        <v>114</v>
      </c>
      <c r="AW321">
        <v>1</v>
      </c>
      <c r="AX321" t="s">
        <v>74</v>
      </c>
      <c r="AY321" t="s">
        <v>74</v>
      </c>
      <c r="AZ321" t="s">
        <v>74</v>
      </c>
      <c r="BA321" t="s">
        <v>74</v>
      </c>
      <c r="BB321">
        <v>48</v>
      </c>
      <c r="BC321">
        <v>55</v>
      </c>
      <c r="BD321" t="s">
        <v>74</v>
      </c>
      <c r="BE321" t="s">
        <v>6380</v>
      </c>
      <c r="BF321" t="str">
        <f>HYPERLINK("http://dx.doi.org/10.1038/hdy.2014.67","http://dx.doi.org/10.1038/hdy.2014.67")</f>
        <v>http://dx.doi.org/10.1038/hdy.2014.67</v>
      </c>
      <c r="BG321" t="s">
        <v>74</v>
      </c>
      <c r="BH321" t="s">
        <v>74</v>
      </c>
      <c r="BI321">
        <v>8</v>
      </c>
      <c r="BJ321" t="s">
        <v>6381</v>
      </c>
      <c r="BK321" t="s">
        <v>91</v>
      </c>
      <c r="BL321" t="s">
        <v>6382</v>
      </c>
      <c r="BM321" t="s">
        <v>6383</v>
      </c>
      <c r="BN321">
        <v>25052415</v>
      </c>
      <c r="BO321" t="s">
        <v>6384</v>
      </c>
      <c r="BP321" t="s">
        <v>74</v>
      </c>
      <c r="BQ321" t="s">
        <v>74</v>
      </c>
      <c r="BR321" t="s">
        <v>93</v>
      </c>
      <c r="BS321" t="s">
        <v>6385</v>
      </c>
      <c r="BT321" t="str">
        <f>HYPERLINK("https%3A%2F%2Fwww.webofscience.com%2Fwos%2Fwoscc%2Ffull-record%2FWOS:000346150000006","View Full Record in Web of Science")</f>
        <v>View Full Record in Web of Science</v>
      </c>
    </row>
    <row r="322" spans="1:72" x14ac:dyDescent="0.15">
      <c r="A322" t="s">
        <v>72</v>
      </c>
      <c r="B322" t="s">
        <v>6386</v>
      </c>
      <c r="C322" t="s">
        <v>74</v>
      </c>
      <c r="D322" t="s">
        <v>74</v>
      </c>
      <c r="E322" t="s">
        <v>74</v>
      </c>
      <c r="F322" t="s">
        <v>6387</v>
      </c>
      <c r="G322" t="s">
        <v>74</v>
      </c>
      <c r="H322" t="s">
        <v>74</v>
      </c>
      <c r="I322" t="s">
        <v>6388</v>
      </c>
      <c r="J322" t="s">
        <v>1423</v>
      </c>
      <c r="K322" t="s">
        <v>74</v>
      </c>
      <c r="L322" t="s">
        <v>74</v>
      </c>
      <c r="M322" t="s">
        <v>78</v>
      </c>
      <c r="N322" t="s">
        <v>99</v>
      </c>
      <c r="O322" t="s">
        <v>74</v>
      </c>
      <c r="P322" t="s">
        <v>74</v>
      </c>
      <c r="Q322" t="s">
        <v>74</v>
      </c>
      <c r="R322" t="s">
        <v>74</v>
      </c>
      <c r="S322" t="s">
        <v>74</v>
      </c>
      <c r="T322" t="s">
        <v>6389</v>
      </c>
      <c r="U322" t="s">
        <v>74</v>
      </c>
      <c r="V322" t="s">
        <v>6390</v>
      </c>
      <c r="W322" t="s">
        <v>6391</v>
      </c>
      <c r="X322" t="s">
        <v>6392</v>
      </c>
      <c r="Y322" t="s">
        <v>6393</v>
      </c>
      <c r="Z322" t="s">
        <v>6394</v>
      </c>
      <c r="AA322" t="s">
        <v>74</v>
      </c>
      <c r="AB322" t="s">
        <v>74</v>
      </c>
      <c r="AC322" t="s">
        <v>74</v>
      </c>
      <c r="AD322" t="s">
        <v>74</v>
      </c>
      <c r="AE322" t="s">
        <v>74</v>
      </c>
      <c r="AF322" t="s">
        <v>74</v>
      </c>
      <c r="AG322">
        <v>34</v>
      </c>
      <c r="AH322">
        <v>1</v>
      </c>
      <c r="AI322">
        <v>1</v>
      </c>
      <c r="AJ322">
        <v>0</v>
      </c>
      <c r="AK322">
        <v>21</v>
      </c>
      <c r="AL322" t="s">
        <v>1431</v>
      </c>
      <c r="AM322" t="s">
        <v>1432</v>
      </c>
      <c r="AN322" t="s">
        <v>1433</v>
      </c>
      <c r="AO322" t="s">
        <v>1434</v>
      </c>
      <c r="AP322" t="s">
        <v>74</v>
      </c>
      <c r="AQ322" t="s">
        <v>74</v>
      </c>
      <c r="AR322" t="s">
        <v>1435</v>
      </c>
      <c r="AS322" t="s">
        <v>1436</v>
      </c>
      <c r="AT322" t="s">
        <v>74</v>
      </c>
      <c r="AU322">
        <v>2015</v>
      </c>
      <c r="AV322">
        <v>40</v>
      </c>
      <c r="AW322">
        <v>1</v>
      </c>
      <c r="AX322" t="s">
        <v>74</v>
      </c>
      <c r="AY322" t="s">
        <v>74</v>
      </c>
      <c r="AZ322" t="s">
        <v>1437</v>
      </c>
      <c r="BA322" t="s">
        <v>74</v>
      </c>
      <c r="BB322">
        <v>219</v>
      </c>
      <c r="BC322">
        <v>238</v>
      </c>
      <c r="BD322" t="s">
        <v>74</v>
      </c>
      <c r="BE322" t="s">
        <v>6395</v>
      </c>
      <c r="BF322" t="str">
        <f>HYPERLINK("http://dx.doi.org/10.12759/hsr.40.2015.1.219-238","http://dx.doi.org/10.12759/hsr.40.2015.1.219-238")</f>
        <v>http://dx.doi.org/10.12759/hsr.40.2015.1.219-238</v>
      </c>
      <c r="BG322" t="s">
        <v>74</v>
      </c>
      <c r="BH322" t="s">
        <v>74</v>
      </c>
      <c r="BI322">
        <v>20</v>
      </c>
      <c r="BJ322" t="s">
        <v>1438</v>
      </c>
      <c r="BK322" t="s">
        <v>891</v>
      </c>
      <c r="BL322" t="s">
        <v>1439</v>
      </c>
      <c r="BM322" t="s">
        <v>6396</v>
      </c>
      <c r="BN322" t="s">
        <v>74</v>
      </c>
      <c r="BO322" t="s">
        <v>74</v>
      </c>
      <c r="BP322" t="s">
        <v>74</v>
      </c>
      <c r="BQ322" t="s">
        <v>74</v>
      </c>
      <c r="BR322" t="s">
        <v>93</v>
      </c>
      <c r="BS322" t="s">
        <v>6397</v>
      </c>
      <c r="BT322" t="str">
        <f>HYPERLINK("https%3A%2F%2Fwww.webofscience.com%2Fwos%2Fwoscc%2Ffull-record%2FWOS:000349808800013","View Full Record in Web of Science")</f>
        <v>View Full Record in Web of Science</v>
      </c>
    </row>
    <row r="323" spans="1:72" x14ac:dyDescent="0.15">
      <c r="A323" t="s">
        <v>72</v>
      </c>
      <c r="B323" t="s">
        <v>6398</v>
      </c>
      <c r="C323" t="s">
        <v>74</v>
      </c>
      <c r="D323" t="s">
        <v>74</v>
      </c>
      <c r="E323" t="s">
        <v>74</v>
      </c>
      <c r="F323" t="s">
        <v>6399</v>
      </c>
      <c r="G323" t="s">
        <v>74</v>
      </c>
      <c r="H323" t="s">
        <v>74</v>
      </c>
      <c r="I323" t="s">
        <v>6400</v>
      </c>
      <c r="J323" t="s">
        <v>6401</v>
      </c>
      <c r="K323" t="s">
        <v>74</v>
      </c>
      <c r="L323" t="s">
        <v>74</v>
      </c>
      <c r="M323" t="s">
        <v>78</v>
      </c>
      <c r="N323" t="s">
        <v>99</v>
      </c>
      <c r="O323" t="s">
        <v>74</v>
      </c>
      <c r="P323" t="s">
        <v>74</v>
      </c>
      <c r="Q323" t="s">
        <v>74</v>
      </c>
      <c r="R323" t="s">
        <v>74</v>
      </c>
      <c r="S323" t="s">
        <v>74</v>
      </c>
      <c r="T323" t="s">
        <v>6402</v>
      </c>
      <c r="U323" t="s">
        <v>6403</v>
      </c>
      <c r="V323" t="s">
        <v>6404</v>
      </c>
      <c r="W323" t="s">
        <v>6405</v>
      </c>
      <c r="X323" t="s">
        <v>6406</v>
      </c>
      <c r="Y323" t="s">
        <v>6407</v>
      </c>
      <c r="Z323" t="s">
        <v>6408</v>
      </c>
      <c r="AA323" t="s">
        <v>6409</v>
      </c>
      <c r="AB323" t="s">
        <v>6410</v>
      </c>
      <c r="AC323" t="s">
        <v>6411</v>
      </c>
      <c r="AD323" t="s">
        <v>6412</v>
      </c>
      <c r="AE323" t="s">
        <v>6413</v>
      </c>
      <c r="AF323" t="s">
        <v>74</v>
      </c>
      <c r="AG323">
        <v>102</v>
      </c>
      <c r="AH323">
        <v>11</v>
      </c>
      <c r="AI323">
        <v>11</v>
      </c>
      <c r="AJ323">
        <v>1</v>
      </c>
      <c r="AK323">
        <v>14</v>
      </c>
      <c r="AL323" t="s">
        <v>2666</v>
      </c>
      <c r="AM323" t="s">
        <v>6414</v>
      </c>
      <c r="AN323" t="s">
        <v>6415</v>
      </c>
      <c r="AO323" t="s">
        <v>6416</v>
      </c>
      <c r="AP323" t="s">
        <v>6417</v>
      </c>
      <c r="AQ323" t="s">
        <v>74</v>
      </c>
      <c r="AR323" t="s">
        <v>6401</v>
      </c>
      <c r="AS323" t="s">
        <v>6418</v>
      </c>
      <c r="AT323" t="s">
        <v>200</v>
      </c>
      <c r="AU323">
        <v>2015</v>
      </c>
      <c r="AV323">
        <v>742</v>
      </c>
      <c r="AW323">
        <v>1</v>
      </c>
      <c r="AX323" t="s">
        <v>74</v>
      </c>
      <c r="AY323" t="s">
        <v>74</v>
      </c>
      <c r="AZ323" t="s">
        <v>74</v>
      </c>
      <c r="BA323" t="s">
        <v>74</v>
      </c>
      <c r="BB323">
        <v>279</v>
      </c>
      <c r="BC323">
        <v>294</v>
      </c>
      <c r="BD323" t="s">
        <v>74</v>
      </c>
      <c r="BE323" t="s">
        <v>6419</v>
      </c>
      <c r="BF323" t="str">
        <f>HYPERLINK("http://dx.doi.org/10.1007/s10750-014-1991-5","http://dx.doi.org/10.1007/s10750-014-1991-5")</f>
        <v>http://dx.doi.org/10.1007/s10750-014-1991-5</v>
      </c>
      <c r="BG323" t="s">
        <v>74</v>
      </c>
      <c r="BH323" t="s">
        <v>74</v>
      </c>
      <c r="BI323">
        <v>16</v>
      </c>
      <c r="BJ323" t="s">
        <v>1227</v>
      </c>
      <c r="BK323" t="s">
        <v>91</v>
      </c>
      <c r="BL323" t="s">
        <v>1227</v>
      </c>
      <c r="BM323" t="s">
        <v>6420</v>
      </c>
      <c r="BN323" t="s">
        <v>74</v>
      </c>
      <c r="BO323" t="s">
        <v>2544</v>
      </c>
      <c r="BP323" t="s">
        <v>74</v>
      </c>
      <c r="BQ323" t="s">
        <v>74</v>
      </c>
      <c r="BR323" t="s">
        <v>93</v>
      </c>
      <c r="BS323" t="s">
        <v>6421</v>
      </c>
      <c r="BT323" t="str">
        <f>HYPERLINK("https%3A%2F%2Fwww.webofscience.com%2Fwos%2Fwoscc%2Ffull-record%2FWOS:000344606400020","View Full Record in Web of Science")</f>
        <v>View Full Record in Web of Science</v>
      </c>
    </row>
    <row r="324" spans="1:72" x14ac:dyDescent="0.15">
      <c r="A324" t="s">
        <v>1395</v>
      </c>
      <c r="B324" t="s">
        <v>6422</v>
      </c>
      <c r="C324" t="s">
        <v>74</v>
      </c>
      <c r="D324" t="s">
        <v>74</v>
      </c>
      <c r="E324" t="s">
        <v>74</v>
      </c>
      <c r="F324" t="s">
        <v>6423</v>
      </c>
      <c r="G324" t="s">
        <v>74</v>
      </c>
      <c r="H324" t="s">
        <v>74</v>
      </c>
      <c r="I324" t="s">
        <v>6424</v>
      </c>
      <c r="J324" t="s">
        <v>6425</v>
      </c>
      <c r="K324" t="s">
        <v>74</v>
      </c>
      <c r="L324" t="s">
        <v>74</v>
      </c>
      <c r="M324" t="s">
        <v>78</v>
      </c>
      <c r="N324" t="s">
        <v>6426</v>
      </c>
      <c r="O324" t="s">
        <v>74</v>
      </c>
      <c r="P324" t="s">
        <v>74</v>
      </c>
      <c r="Q324" t="s">
        <v>74</v>
      </c>
      <c r="R324" t="s">
        <v>74</v>
      </c>
      <c r="S324" t="s">
        <v>74</v>
      </c>
      <c r="T324" t="s">
        <v>74</v>
      </c>
      <c r="U324" t="s">
        <v>6427</v>
      </c>
      <c r="V324" t="s">
        <v>74</v>
      </c>
      <c r="W324" t="s">
        <v>74</v>
      </c>
      <c r="X324" t="s">
        <v>74</v>
      </c>
      <c r="Y324" t="s">
        <v>74</v>
      </c>
      <c r="Z324" t="s">
        <v>74</v>
      </c>
      <c r="AA324" t="s">
        <v>6428</v>
      </c>
      <c r="AB324" t="s">
        <v>74</v>
      </c>
      <c r="AC324" t="s">
        <v>74</v>
      </c>
      <c r="AD324" t="s">
        <v>74</v>
      </c>
      <c r="AE324" t="s">
        <v>74</v>
      </c>
      <c r="AF324" t="s">
        <v>74</v>
      </c>
      <c r="AG324">
        <v>1056</v>
      </c>
      <c r="AH324">
        <v>33</v>
      </c>
      <c r="AI324">
        <v>35</v>
      </c>
      <c r="AJ324">
        <v>0</v>
      </c>
      <c r="AK324">
        <v>1</v>
      </c>
      <c r="AL324" t="s">
        <v>365</v>
      </c>
      <c r="AM324" t="s">
        <v>112</v>
      </c>
      <c r="AN324" t="s">
        <v>5563</v>
      </c>
      <c r="AO324" t="s">
        <v>74</v>
      </c>
      <c r="AP324" t="s">
        <v>74</v>
      </c>
      <c r="AQ324" t="s">
        <v>6429</v>
      </c>
      <c r="AR324" t="s">
        <v>74</v>
      </c>
      <c r="AS324" t="s">
        <v>74</v>
      </c>
      <c r="AT324" t="s">
        <v>74</v>
      </c>
      <c r="AU324">
        <v>2015</v>
      </c>
      <c r="AV324" t="s">
        <v>74</v>
      </c>
      <c r="AW324" t="s">
        <v>74</v>
      </c>
      <c r="AX324" t="s">
        <v>74</v>
      </c>
      <c r="AY324" t="s">
        <v>74</v>
      </c>
      <c r="AZ324" t="s">
        <v>74</v>
      </c>
      <c r="BA324" t="s">
        <v>74</v>
      </c>
      <c r="BB324">
        <v>1</v>
      </c>
      <c r="BC324">
        <v>423</v>
      </c>
      <c r="BD324" t="s">
        <v>74</v>
      </c>
      <c r="BE324" t="s">
        <v>74</v>
      </c>
      <c r="BF324" t="s">
        <v>74</v>
      </c>
      <c r="BG324" t="s">
        <v>74</v>
      </c>
      <c r="BH324" t="s">
        <v>74</v>
      </c>
      <c r="BI324">
        <v>423</v>
      </c>
      <c r="BJ324" t="s">
        <v>6430</v>
      </c>
      <c r="BK324" t="s">
        <v>936</v>
      </c>
      <c r="BL324" t="s">
        <v>6430</v>
      </c>
      <c r="BM324" t="s">
        <v>6431</v>
      </c>
      <c r="BN324" t="s">
        <v>74</v>
      </c>
      <c r="BO324" t="s">
        <v>74</v>
      </c>
      <c r="BP324" t="s">
        <v>74</v>
      </c>
      <c r="BQ324" t="s">
        <v>74</v>
      </c>
      <c r="BR324" t="s">
        <v>93</v>
      </c>
      <c r="BS324" t="s">
        <v>6432</v>
      </c>
      <c r="BT324" t="str">
        <f>HYPERLINK("https%3A%2F%2Fwww.webofscience.com%2Fwos%2Fwoscc%2Ffull-record%2FWOS:000361598300012","View Full Record in Web of Science")</f>
        <v>View Full Record in Web of Science</v>
      </c>
    </row>
    <row r="325" spans="1:72" x14ac:dyDescent="0.15">
      <c r="A325" t="s">
        <v>72</v>
      </c>
      <c r="B325" t="s">
        <v>6433</v>
      </c>
      <c r="C325" t="s">
        <v>74</v>
      </c>
      <c r="D325" t="s">
        <v>74</v>
      </c>
      <c r="E325" t="s">
        <v>74</v>
      </c>
      <c r="F325" t="s">
        <v>6434</v>
      </c>
      <c r="G325" t="s">
        <v>74</v>
      </c>
      <c r="H325" t="s">
        <v>74</v>
      </c>
      <c r="I325" t="s">
        <v>6435</v>
      </c>
      <c r="J325" t="s">
        <v>6436</v>
      </c>
      <c r="K325" t="s">
        <v>74</v>
      </c>
      <c r="L325" t="s">
        <v>74</v>
      </c>
      <c r="M325" t="s">
        <v>78</v>
      </c>
      <c r="N325" t="s">
        <v>99</v>
      </c>
      <c r="O325" t="s">
        <v>74</v>
      </c>
      <c r="P325" t="s">
        <v>74</v>
      </c>
      <c r="Q325" t="s">
        <v>74</v>
      </c>
      <c r="R325" t="s">
        <v>74</v>
      </c>
      <c r="S325" t="s">
        <v>74</v>
      </c>
      <c r="T325" t="s">
        <v>6437</v>
      </c>
      <c r="U325" t="s">
        <v>6438</v>
      </c>
      <c r="V325" t="s">
        <v>6439</v>
      </c>
      <c r="W325" t="s">
        <v>6440</v>
      </c>
      <c r="X325" t="s">
        <v>6441</v>
      </c>
      <c r="Y325" t="s">
        <v>6442</v>
      </c>
      <c r="Z325" t="s">
        <v>6443</v>
      </c>
      <c r="AA325" t="s">
        <v>74</v>
      </c>
      <c r="AB325" t="s">
        <v>6444</v>
      </c>
      <c r="AC325" t="s">
        <v>6445</v>
      </c>
      <c r="AD325" t="s">
        <v>6446</v>
      </c>
      <c r="AE325" t="s">
        <v>6447</v>
      </c>
      <c r="AF325" t="s">
        <v>74</v>
      </c>
      <c r="AG325">
        <v>18</v>
      </c>
      <c r="AH325">
        <v>9</v>
      </c>
      <c r="AI325">
        <v>11</v>
      </c>
      <c r="AJ325">
        <v>0</v>
      </c>
      <c r="AK325">
        <v>31</v>
      </c>
      <c r="AL325" t="s">
        <v>2006</v>
      </c>
      <c r="AM325" t="s">
        <v>2007</v>
      </c>
      <c r="AN325" t="s">
        <v>2008</v>
      </c>
      <c r="AO325" t="s">
        <v>6448</v>
      </c>
      <c r="AP325" t="s">
        <v>6449</v>
      </c>
      <c r="AQ325" t="s">
        <v>74</v>
      </c>
      <c r="AR325" t="s">
        <v>6436</v>
      </c>
      <c r="AS325" t="s">
        <v>6450</v>
      </c>
      <c r="AT325" t="s">
        <v>200</v>
      </c>
      <c r="AU325">
        <v>2015</v>
      </c>
      <c r="AV325">
        <v>157</v>
      </c>
      <c r="AW325">
        <v>1</v>
      </c>
      <c r="AX325" t="s">
        <v>74</v>
      </c>
      <c r="AY325" t="s">
        <v>74</v>
      </c>
      <c r="AZ325" t="s">
        <v>74</v>
      </c>
      <c r="BA325" t="s">
        <v>74</v>
      </c>
      <c r="BB325">
        <v>167</v>
      </c>
      <c r="BC325">
        <v>170</v>
      </c>
      <c r="BD325" t="s">
        <v>74</v>
      </c>
      <c r="BE325" t="s">
        <v>6451</v>
      </c>
      <c r="BF325" t="str">
        <f>HYPERLINK("http://dx.doi.org/10.1111/ibi.12206","http://dx.doi.org/10.1111/ibi.12206")</f>
        <v>http://dx.doi.org/10.1111/ibi.12206</v>
      </c>
      <c r="BG325" t="s">
        <v>74</v>
      </c>
      <c r="BH325" t="s">
        <v>74</v>
      </c>
      <c r="BI325">
        <v>4</v>
      </c>
      <c r="BJ325" t="s">
        <v>422</v>
      </c>
      <c r="BK325" t="s">
        <v>91</v>
      </c>
      <c r="BL325" t="s">
        <v>423</v>
      </c>
      <c r="BM325" t="s">
        <v>6452</v>
      </c>
      <c r="BN325" t="s">
        <v>74</v>
      </c>
      <c r="BO325" t="s">
        <v>74</v>
      </c>
      <c r="BP325" t="s">
        <v>74</v>
      </c>
      <c r="BQ325" t="s">
        <v>74</v>
      </c>
      <c r="BR325" t="s">
        <v>93</v>
      </c>
      <c r="BS325" t="s">
        <v>6453</v>
      </c>
      <c r="BT325" t="str">
        <f>HYPERLINK("https%3A%2F%2Fwww.webofscience.com%2Fwos%2Fwoscc%2Ffull-record%2FWOS:000346347700016","View Full Record in Web of Science")</f>
        <v>View Full Record in Web of Science</v>
      </c>
    </row>
    <row r="326" spans="1:72" x14ac:dyDescent="0.15">
      <c r="A326" t="s">
        <v>72</v>
      </c>
      <c r="B326" t="s">
        <v>6454</v>
      </c>
      <c r="C326" t="s">
        <v>74</v>
      </c>
      <c r="D326" t="s">
        <v>74</v>
      </c>
      <c r="E326" t="s">
        <v>74</v>
      </c>
      <c r="F326" t="s">
        <v>6455</v>
      </c>
      <c r="G326" t="s">
        <v>74</v>
      </c>
      <c r="H326" t="s">
        <v>74</v>
      </c>
      <c r="I326" t="s">
        <v>6456</v>
      </c>
      <c r="J326" t="s">
        <v>6457</v>
      </c>
      <c r="K326" t="s">
        <v>74</v>
      </c>
      <c r="L326" t="s">
        <v>74</v>
      </c>
      <c r="M326" t="s">
        <v>78</v>
      </c>
      <c r="N326" t="s">
        <v>99</v>
      </c>
      <c r="O326" t="s">
        <v>74</v>
      </c>
      <c r="P326" t="s">
        <v>74</v>
      </c>
      <c r="Q326" t="s">
        <v>74</v>
      </c>
      <c r="R326" t="s">
        <v>74</v>
      </c>
      <c r="S326" t="s">
        <v>74</v>
      </c>
      <c r="T326" t="s">
        <v>6458</v>
      </c>
      <c r="U326" t="s">
        <v>6459</v>
      </c>
      <c r="V326" t="s">
        <v>6460</v>
      </c>
      <c r="W326" t="s">
        <v>6461</v>
      </c>
      <c r="X326" t="s">
        <v>6462</v>
      </c>
      <c r="Y326" t="s">
        <v>6463</v>
      </c>
      <c r="Z326" t="s">
        <v>6464</v>
      </c>
      <c r="AA326" t="s">
        <v>6465</v>
      </c>
      <c r="AB326" t="s">
        <v>6466</v>
      </c>
      <c r="AC326" t="s">
        <v>6467</v>
      </c>
      <c r="AD326" t="s">
        <v>6468</v>
      </c>
      <c r="AE326" t="s">
        <v>6469</v>
      </c>
      <c r="AF326" t="s">
        <v>74</v>
      </c>
      <c r="AG326">
        <v>28</v>
      </c>
      <c r="AH326">
        <v>9</v>
      </c>
      <c r="AI326">
        <v>9</v>
      </c>
      <c r="AJ326">
        <v>0</v>
      </c>
      <c r="AK326">
        <v>11</v>
      </c>
      <c r="AL326" t="s">
        <v>6470</v>
      </c>
      <c r="AM326" t="s">
        <v>6471</v>
      </c>
      <c r="AN326" t="s">
        <v>6472</v>
      </c>
      <c r="AO326" t="s">
        <v>6473</v>
      </c>
      <c r="AP326" t="s">
        <v>6474</v>
      </c>
      <c r="AQ326" t="s">
        <v>74</v>
      </c>
      <c r="AR326" t="s">
        <v>6475</v>
      </c>
      <c r="AS326" t="s">
        <v>6476</v>
      </c>
      <c r="AT326" t="s">
        <v>200</v>
      </c>
      <c r="AU326">
        <v>2015</v>
      </c>
      <c r="AV326">
        <v>8</v>
      </c>
      <c r="AW326">
        <v>1</v>
      </c>
      <c r="AX326" t="s">
        <v>74</v>
      </c>
      <c r="AY326" t="s">
        <v>74</v>
      </c>
      <c r="AZ326" t="s">
        <v>74</v>
      </c>
      <c r="BA326" t="s">
        <v>74</v>
      </c>
      <c r="BB326">
        <v>418</v>
      </c>
      <c r="BC326">
        <v>424</v>
      </c>
      <c r="BD326" t="s">
        <v>74</v>
      </c>
      <c r="BE326" t="s">
        <v>6477</v>
      </c>
      <c r="BF326" t="str">
        <f>HYPERLINK("http://dx.doi.org/10.1109/JSTARS.2014.2344091","http://dx.doi.org/10.1109/JSTARS.2014.2344091")</f>
        <v>http://dx.doi.org/10.1109/JSTARS.2014.2344091</v>
      </c>
      <c r="BG326" t="s">
        <v>74</v>
      </c>
      <c r="BH326" t="s">
        <v>74</v>
      </c>
      <c r="BI326">
        <v>7</v>
      </c>
      <c r="BJ326" t="s">
        <v>6478</v>
      </c>
      <c r="BK326" t="s">
        <v>91</v>
      </c>
      <c r="BL326" t="s">
        <v>6479</v>
      </c>
      <c r="BM326" t="s">
        <v>6480</v>
      </c>
      <c r="BN326" t="s">
        <v>74</v>
      </c>
      <c r="BO326" t="s">
        <v>74</v>
      </c>
      <c r="BP326" t="s">
        <v>74</v>
      </c>
      <c r="BQ326" t="s">
        <v>74</v>
      </c>
      <c r="BR326" t="s">
        <v>93</v>
      </c>
      <c r="BS326" t="s">
        <v>6481</v>
      </c>
      <c r="BT326" t="str">
        <f>HYPERLINK("https%3A%2F%2Fwww.webofscience.com%2Fwos%2Fwoscc%2Ffull-record%2FWOS:000349550400039","View Full Record in Web of Science")</f>
        <v>View Full Record in Web of Science</v>
      </c>
    </row>
    <row r="327" spans="1:72" x14ac:dyDescent="0.15">
      <c r="A327" t="s">
        <v>840</v>
      </c>
      <c r="B327" t="s">
        <v>6482</v>
      </c>
      <c r="C327" t="s">
        <v>74</v>
      </c>
      <c r="D327" t="s">
        <v>6483</v>
      </c>
      <c r="E327" t="s">
        <v>74</v>
      </c>
      <c r="F327" t="s">
        <v>6484</v>
      </c>
      <c r="G327" t="s">
        <v>74</v>
      </c>
      <c r="H327" t="s">
        <v>74</v>
      </c>
      <c r="I327" t="s">
        <v>6485</v>
      </c>
      <c r="J327" t="s">
        <v>6486</v>
      </c>
      <c r="K327" t="s">
        <v>6487</v>
      </c>
      <c r="L327" t="s">
        <v>74</v>
      </c>
      <c r="M327" t="s">
        <v>78</v>
      </c>
      <c r="N327" t="s">
        <v>918</v>
      </c>
      <c r="O327" t="s">
        <v>74</v>
      </c>
      <c r="P327" t="s">
        <v>74</v>
      </c>
      <c r="Q327" t="s">
        <v>74</v>
      </c>
      <c r="R327" t="s">
        <v>74</v>
      </c>
      <c r="S327" t="s">
        <v>74</v>
      </c>
      <c r="T327" t="s">
        <v>6488</v>
      </c>
      <c r="U327" t="s">
        <v>6489</v>
      </c>
      <c r="V327" t="s">
        <v>6490</v>
      </c>
      <c r="W327" t="s">
        <v>6491</v>
      </c>
      <c r="X327" t="s">
        <v>6492</v>
      </c>
      <c r="Y327" t="s">
        <v>6493</v>
      </c>
      <c r="Z327" t="s">
        <v>74</v>
      </c>
      <c r="AA327" t="s">
        <v>6494</v>
      </c>
      <c r="AB327" t="s">
        <v>6495</v>
      </c>
      <c r="AC327" t="s">
        <v>74</v>
      </c>
      <c r="AD327" t="s">
        <v>74</v>
      </c>
      <c r="AE327" t="s">
        <v>74</v>
      </c>
      <c r="AF327" t="s">
        <v>74</v>
      </c>
      <c r="AG327">
        <v>23</v>
      </c>
      <c r="AH327">
        <v>7</v>
      </c>
      <c r="AI327">
        <v>7</v>
      </c>
      <c r="AJ327">
        <v>0</v>
      </c>
      <c r="AK327">
        <v>7</v>
      </c>
      <c r="AL327" t="s">
        <v>6496</v>
      </c>
      <c r="AM327" t="s">
        <v>6497</v>
      </c>
      <c r="AN327" t="s">
        <v>6498</v>
      </c>
      <c r="AO327" t="s">
        <v>6499</v>
      </c>
      <c r="AP327" t="s">
        <v>6500</v>
      </c>
      <c r="AQ327" t="s">
        <v>6501</v>
      </c>
      <c r="AR327" t="s">
        <v>6502</v>
      </c>
      <c r="AS327" t="s">
        <v>6503</v>
      </c>
      <c r="AT327" t="s">
        <v>74</v>
      </c>
      <c r="AU327">
        <v>2015</v>
      </c>
      <c r="AV327">
        <v>1258</v>
      </c>
      <c r="AW327" t="s">
        <v>74</v>
      </c>
      <c r="AX327" t="s">
        <v>74</v>
      </c>
      <c r="AY327" t="s">
        <v>74</v>
      </c>
      <c r="AZ327" t="s">
        <v>74</v>
      </c>
      <c r="BA327" t="s">
        <v>74</v>
      </c>
      <c r="BB327">
        <v>243</v>
      </c>
      <c r="BC327">
        <v>257</v>
      </c>
      <c r="BD327" t="s">
        <v>74</v>
      </c>
      <c r="BE327" t="s">
        <v>6504</v>
      </c>
      <c r="BF327" t="str">
        <f>HYPERLINK("http://dx.doi.org/10.1007/978-1-4939-2205-5_13","http://dx.doi.org/10.1007/978-1-4939-2205-5_13")</f>
        <v>http://dx.doi.org/10.1007/978-1-4939-2205-5_13</v>
      </c>
      <c r="BG327" t="s">
        <v>6505</v>
      </c>
      <c r="BH327" t="s">
        <v>74</v>
      </c>
      <c r="BI327">
        <v>15</v>
      </c>
      <c r="BJ327" t="s">
        <v>6506</v>
      </c>
      <c r="BK327" t="s">
        <v>936</v>
      </c>
      <c r="BL327" t="s">
        <v>6507</v>
      </c>
      <c r="BM327" t="s">
        <v>6508</v>
      </c>
      <c r="BN327">
        <v>25447868</v>
      </c>
      <c r="BO327" t="s">
        <v>74</v>
      </c>
      <c r="BP327" t="s">
        <v>74</v>
      </c>
      <c r="BQ327" t="s">
        <v>74</v>
      </c>
      <c r="BR327" t="s">
        <v>93</v>
      </c>
      <c r="BS327" t="s">
        <v>6509</v>
      </c>
      <c r="BT327" t="str">
        <f>HYPERLINK("https%3A%2F%2Fwww.webofscience.com%2Fwos%2Fwoscc%2Ffull-record%2FWOS:000350415600014","View Full Record in Web of Science")</f>
        <v>View Full Record in Web of Science</v>
      </c>
    </row>
    <row r="328" spans="1:72" x14ac:dyDescent="0.15">
      <c r="A328" t="s">
        <v>72</v>
      </c>
      <c r="B328" t="s">
        <v>6510</v>
      </c>
      <c r="C328" t="s">
        <v>74</v>
      </c>
      <c r="D328" t="s">
        <v>74</v>
      </c>
      <c r="E328" t="s">
        <v>74</v>
      </c>
      <c r="F328" t="s">
        <v>6511</v>
      </c>
      <c r="G328" t="s">
        <v>74</v>
      </c>
      <c r="H328" t="s">
        <v>74</v>
      </c>
      <c r="I328" t="s">
        <v>6512</v>
      </c>
      <c r="J328" t="s">
        <v>6513</v>
      </c>
      <c r="K328" t="s">
        <v>74</v>
      </c>
      <c r="L328" t="s">
        <v>74</v>
      </c>
      <c r="M328" t="s">
        <v>78</v>
      </c>
      <c r="N328" t="s">
        <v>454</v>
      </c>
      <c r="O328" t="s">
        <v>74</v>
      </c>
      <c r="P328" t="s">
        <v>74</v>
      </c>
      <c r="Q328" t="s">
        <v>74</v>
      </c>
      <c r="R328" t="s">
        <v>74</v>
      </c>
      <c r="S328" t="s">
        <v>74</v>
      </c>
      <c r="T328" t="s">
        <v>6514</v>
      </c>
      <c r="U328" t="s">
        <v>6515</v>
      </c>
      <c r="V328" t="s">
        <v>6516</v>
      </c>
      <c r="W328" t="s">
        <v>6517</v>
      </c>
      <c r="X328" t="s">
        <v>6518</v>
      </c>
      <c r="Y328" t="s">
        <v>6519</v>
      </c>
      <c r="Z328" t="s">
        <v>6520</v>
      </c>
      <c r="AA328" t="s">
        <v>6521</v>
      </c>
      <c r="AB328" t="s">
        <v>6522</v>
      </c>
      <c r="AC328" t="s">
        <v>6523</v>
      </c>
      <c r="AD328" t="s">
        <v>6523</v>
      </c>
      <c r="AE328" t="s">
        <v>6524</v>
      </c>
      <c r="AF328" t="s">
        <v>74</v>
      </c>
      <c r="AG328">
        <v>241</v>
      </c>
      <c r="AH328">
        <v>19</v>
      </c>
      <c r="AI328">
        <v>21</v>
      </c>
      <c r="AJ328">
        <v>0</v>
      </c>
      <c r="AK328">
        <v>16</v>
      </c>
      <c r="AL328" t="s">
        <v>6525</v>
      </c>
      <c r="AM328" t="s">
        <v>6526</v>
      </c>
      <c r="AN328" t="s">
        <v>6527</v>
      </c>
      <c r="AO328" t="s">
        <v>6528</v>
      </c>
      <c r="AP328" t="s">
        <v>6529</v>
      </c>
      <c r="AQ328" t="s">
        <v>74</v>
      </c>
      <c r="AR328" t="s">
        <v>6530</v>
      </c>
      <c r="AS328" t="s">
        <v>6531</v>
      </c>
      <c r="AT328" t="s">
        <v>74</v>
      </c>
      <c r="AU328">
        <v>2015</v>
      </c>
      <c r="AV328">
        <v>57</v>
      </c>
      <c r="AW328">
        <v>16</v>
      </c>
      <c r="AX328" t="s">
        <v>74</v>
      </c>
      <c r="AY328" t="s">
        <v>74</v>
      </c>
      <c r="AZ328" t="s">
        <v>74</v>
      </c>
      <c r="BA328" t="s">
        <v>74</v>
      </c>
      <c r="BB328">
        <v>1992</v>
      </c>
      <c r="BC328">
        <v>2027</v>
      </c>
      <c r="BD328" t="s">
        <v>74</v>
      </c>
      <c r="BE328" t="s">
        <v>6532</v>
      </c>
      <c r="BF328" t="str">
        <f>HYPERLINK("http://dx.doi.org/10.1080/00206814.2015.1048751","http://dx.doi.org/10.1080/00206814.2015.1048751")</f>
        <v>http://dx.doi.org/10.1080/00206814.2015.1048751</v>
      </c>
      <c r="BG328" t="s">
        <v>74</v>
      </c>
      <c r="BH328" t="s">
        <v>74</v>
      </c>
      <c r="BI328">
        <v>36</v>
      </c>
      <c r="BJ328" t="s">
        <v>1954</v>
      </c>
      <c r="BK328" t="s">
        <v>91</v>
      </c>
      <c r="BL328" t="s">
        <v>1954</v>
      </c>
      <c r="BM328" t="s">
        <v>6533</v>
      </c>
      <c r="BN328" t="s">
        <v>74</v>
      </c>
      <c r="BO328" t="s">
        <v>74</v>
      </c>
      <c r="BP328" t="s">
        <v>74</v>
      </c>
      <c r="BQ328" t="s">
        <v>74</v>
      </c>
      <c r="BR328" t="s">
        <v>93</v>
      </c>
      <c r="BS328" t="s">
        <v>6534</v>
      </c>
      <c r="BT328" t="str">
        <f>HYPERLINK("https%3A%2F%2Fwww.webofscience.com%2Fwos%2Fwoscc%2Ffull-record%2FWOS:000376608800002","View Full Record in Web of Science")</f>
        <v>View Full Record in Web of Science</v>
      </c>
    </row>
    <row r="329" spans="1:72" x14ac:dyDescent="0.15">
      <c r="A329" t="s">
        <v>72</v>
      </c>
      <c r="B329" t="s">
        <v>6535</v>
      </c>
      <c r="C329" t="s">
        <v>74</v>
      </c>
      <c r="D329" t="s">
        <v>74</v>
      </c>
      <c r="E329" t="s">
        <v>74</v>
      </c>
      <c r="F329" t="s">
        <v>6536</v>
      </c>
      <c r="G329" t="s">
        <v>74</v>
      </c>
      <c r="H329" t="s">
        <v>74</v>
      </c>
      <c r="I329" t="s">
        <v>6537</v>
      </c>
      <c r="J329" t="s">
        <v>6538</v>
      </c>
      <c r="K329" t="s">
        <v>74</v>
      </c>
      <c r="L329" t="s">
        <v>74</v>
      </c>
      <c r="M329" t="s">
        <v>78</v>
      </c>
      <c r="N329" t="s">
        <v>99</v>
      </c>
      <c r="O329" t="s">
        <v>74</v>
      </c>
      <c r="P329" t="s">
        <v>74</v>
      </c>
      <c r="Q329" t="s">
        <v>74</v>
      </c>
      <c r="R329" t="s">
        <v>74</v>
      </c>
      <c r="S329" t="s">
        <v>74</v>
      </c>
      <c r="T329" t="s">
        <v>74</v>
      </c>
      <c r="U329" t="s">
        <v>6539</v>
      </c>
      <c r="V329" t="s">
        <v>6540</v>
      </c>
      <c r="W329" t="s">
        <v>6541</v>
      </c>
      <c r="X329" t="s">
        <v>6542</v>
      </c>
      <c r="Y329" t="s">
        <v>6543</v>
      </c>
      <c r="Z329" t="s">
        <v>6544</v>
      </c>
      <c r="AA329" t="s">
        <v>74</v>
      </c>
      <c r="AB329" t="s">
        <v>6545</v>
      </c>
      <c r="AC329" t="s">
        <v>6546</v>
      </c>
      <c r="AD329" t="s">
        <v>6547</v>
      </c>
      <c r="AE329" t="s">
        <v>6548</v>
      </c>
      <c r="AF329" t="s">
        <v>74</v>
      </c>
      <c r="AG329">
        <v>23</v>
      </c>
      <c r="AH329">
        <v>11</v>
      </c>
      <c r="AI329">
        <v>11</v>
      </c>
      <c r="AJ329">
        <v>0</v>
      </c>
      <c r="AK329">
        <v>11</v>
      </c>
      <c r="AL329" t="s">
        <v>6549</v>
      </c>
      <c r="AM329" t="s">
        <v>219</v>
      </c>
      <c r="AN329" t="s">
        <v>6550</v>
      </c>
      <c r="AO329" t="s">
        <v>6551</v>
      </c>
      <c r="AP329" t="s">
        <v>6552</v>
      </c>
      <c r="AQ329" t="s">
        <v>74</v>
      </c>
      <c r="AR329" t="s">
        <v>6553</v>
      </c>
      <c r="AS329" t="s">
        <v>6554</v>
      </c>
      <c r="AT329" t="s">
        <v>200</v>
      </c>
      <c r="AU329">
        <v>2015</v>
      </c>
      <c r="AV329">
        <v>65</v>
      </c>
      <c r="AW329" t="s">
        <v>74</v>
      </c>
      <c r="AX329">
        <v>1</v>
      </c>
      <c r="AY329" t="s">
        <v>74</v>
      </c>
      <c r="AZ329" t="s">
        <v>74</v>
      </c>
      <c r="BA329" t="s">
        <v>74</v>
      </c>
      <c r="BB329">
        <v>183</v>
      </c>
      <c r="BC329">
        <v>188</v>
      </c>
      <c r="BD329" t="s">
        <v>74</v>
      </c>
      <c r="BE329" t="s">
        <v>6555</v>
      </c>
      <c r="BF329" t="str">
        <f>HYPERLINK("http://dx.doi.org/10.1099/ijs.0.069740-0","http://dx.doi.org/10.1099/ijs.0.069740-0")</f>
        <v>http://dx.doi.org/10.1099/ijs.0.069740-0</v>
      </c>
      <c r="BG329" t="s">
        <v>74</v>
      </c>
      <c r="BH329" t="s">
        <v>74</v>
      </c>
      <c r="BI329">
        <v>6</v>
      </c>
      <c r="BJ329" t="s">
        <v>5926</v>
      </c>
      <c r="BK329" t="s">
        <v>91</v>
      </c>
      <c r="BL329" t="s">
        <v>5926</v>
      </c>
      <c r="BM329" t="s">
        <v>6556</v>
      </c>
      <c r="BN329">
        <v>25316694</v>
      </c>
      <c r="BO329" t="s">
        <v>375</v>
      </c>
      <c r="BP329" t="s">
        <v>74</v>
      </c>
      <c r="BQ329" t="s">
        <v>74</v>
      </c>
      <c r="BR329" t="s">
        <v>93</v>
      </c>
      <c r="BS329" t="s">
        <v>6557</v>
      </c>
      <c r="BT329" t="str">
        <f>HYPERLINK("https%3A%2F%2Fwww.webofscience.com%2Fwos%2Fwoscc%2Ffull-record%2FWOS:000355360000029","View Full Record in Web of Science")</f>
        <v>View Full Record in Web of Science</v>
      </c>
    </row>
    <row r="330" spans="1:72" x14ac:dyDescent="0.15">
      <c r="A330" t="s">
        <v>72</v>
      </c>
      <c r="B330" t="s">
        <v>6558</v>
      </c>
      <c r="C330" t="s">
        <v>74</v>
      </c>
      <c r="D330" t="s">
        <v>74</v>
      </c>
      <c r="E330" t="s">
        <v>74</v>
      </c>
      <c r="F330" t="s">
        <v>6559</v>
      </c>
      <c r="G330" t="s">
        <v>74</v>
      </c>
      <c r="H330" t="s">
        <v>74</v>
      </c>
      <c r="I330" t="s">
        <v>6560</v>
      </c>
      <c r="J330" t="s">
        <v>6561</v>
      </c>
      <c r="K330" t="s">
        <v>74</v>
      </c>
      <c r="L330" t="s">
        <v>74</v>
      </c>
      <c r="M330" t="s">
        <v>78</v>
      </c>
      <c r="N330" t="s">
        <v>99</v>
      </c>
      <c r="O330" t="s">
        <v>74</v>
      </c>
      <c r="P330" t="s">
        <v>74</v>
      </c>
      <c r="Q330" t="s">
        <v>74</v>
      </c>
      <c r="R330" t="s">
        <v>74</v>
      </c>
      <c r="S330" t="s">
        <v>74</v>
      </c>
      <c r="T330" t="s">
        <v>6562</v>
      </c>
      <c r="U330" t="s">
        <v>6563</v>
      </c>
      <c r="V330" t="s">
        <v>6564</v>
      </c>
      <c r="W330" t="s">
        <v>6565</v>
      </c>
      <c r="X330" t="s">
        <v>6566</v>
      </c>
      <c r="Y330" t="s">
        <v>6567</v>
      </c>
      <c r="Z330" t="s">
        <v>6568</v>
      </c>
      <c r="AA330" t="s">
        <v>6569</v>
      </c>
      <c r="AB330" t="s">
        <v>6570</v>
      </c>
      <c r="AC330" t="s">
        <v>6571</v>
      </c>
      <c r="AD330" t="s">
        <v>6571</v>
      </c>
      <c r="AE330" t="s">
        <v>6572</v>
      </c>
      <c r="AF330" t="s">
        <v>74</v>
      </c>
      <c r="AG330">
        <v>83</v>
      </c>
      <c r="AH330">
        <v>10</v>
      </c>
      <c r="AI330">
        <v>11</v>
      </c>
      <c r="AJ330">
        <v>2</v>
      </c>
      <c r="AK330">
        <v>21</v>
      </c>
      <c r="AL330" t="s">
        <v>6573</v>
      </c>
      <c r="AM330" t="s">
        <v>6574</v>
      </c>
      <c r="AN330" t="s">
        <v>6575</v>
      </c>
      <c r="AO330" t="s">
        <v>6576</v>
      </c>
      <c r="AP330" t="s">
        <v>74</v>
      </c>
      <c r="AQ330" t="s">
        <v>74</v>
      </c>
      <c r="AR330" t="s">
        <v>6577</v>
      </c>
      <c r="AS330" t="s">
        <v>6578</v>
      </c>
      <c r="AT330" t="s">
        <v>74</v>
      </c>
      <c r="AU330">
        <v>2015</v>
      </c>
      <c r="AV330">
        <v>9</v>
      </c>
      <c r="AW330">
        <v>1</v>
      </c>
      <c r="AX330" t="s">
        <v>74</v>
      </c>
      <c r="AY330" t="s">
        <v>74</v>
      </c>
      <c r="AZ330" t="s">
        <v>74</v>
      </c>
      <c r="BA330" t="s">
        <v>74</v>
      </c>
      <c r="BB330">
        <v>440</v>
      </c>
      <c r="BC330">
        <v>465</v>
      </c>
      <c r="BD330" t="s">
        <v>74</v>
      </c>
      <c r="BE330" t="s">
        <v>74</v>
      </c>
      <c r="BF330" t="s">
        <v>74</v>
      </c>
      <c r="BG330" t="s">
        <v>74</v>
      </c>
      <c r="BH330" t="s">
        <v>74</v>
      </c>
      <c r="BI330">
        <v>26</v>
      </c>
      <c r="BJ330" t="s">
        <v>394</v>
      </c>
      <c r="BK330" t="s">
        <v>891</v>
      </c>
      <c r="BL330" t="s">
        <v>395</v>
      </c>
      <c r="BM330" t="s">
        <v>6579</v>
      </c>
      <c r="BN330" t="s">
        <v>74</v>
      </c>
      <c r="BO330" t="s">
        <v>74</v>
      </c>
      <c r="BP330" t="s">
        <v>74</v>
      </c>
      <c r="BQ330" t="s">
        <v>74</v>
      </c>
      <c r="BR330" t="s">
        <v>93</v>
      </c>
      <c r="BS330" t="s">
        <v>6580</v>
      </c>
      <c r="BT330" t="str">
        <f>HYPERLINK("https%3A%2F%2Fwww.webofscience.com%2Fwos%2Fwoscc%2Ffull-record%2FWOS:000351768000020","View Full Record in Web of Science")</f>
        <v>View Full Record in Web of Science</v>
      </c>
    </row>
    <row r="331" spans="1:72" x14ac:dyDescent="0.15">
      <c r="A331" t="s">
        <v>1395</v>
      </c>
      <c r="B331" t="s">
        <v>6581</v>
      </c>
      <c r="C331" t="s">
        <v>74</v>
      </c>
      <c r="D331" t="s">
        <v>6582</v>
      </c>
      <c r="E331" t="s">
        <v>74</v>
      </c>
      <c r="F331" t="s">
        <v>6583</v>
      </c>
      <c r="G331" t="s">
        <v>74</v>
      </c>
      <c r="H331" t="s">
        <v>74</v>
      </c>
      <c r="I331" t="s">
        <v>6584</v>
      </c>
      <c r="J331" t="s">
        <v>6585</v>
      </c>
      <c r="K331" t="s">
        <v>74</v>
      </c>
      <c r="L331" t="s">
        <v>74</v>
      </c>
      <c r="M331" t="s">
        <v>78</v>
      </c>
      <c r="N331" t="s">
        <v>918</v>
      </c>
      <c r="O331" t="s">
        <v>74</v>
      </c>
      <c r="P331" t="s">
        <v>74</v>
      </c>
      <c r="Q331" t="s">
        <v>74</v>
      </c>
      <c r="R331" t="s">
        <v>74</v>
      </c>
      <c r="S331" t="s">
        <v>74</v>
      </c>
      <c r="T331" t="s">
        <v>74</v>
      </c>
      <c r="U331" t="s">
        <v>74</v>
      </c>
      <c r="V331" t="s">
        <v>74</v>
      </c>
      <c r="W331" t="s">
        <v>6586</v>
      </c>
      <c r="X331" t="s">
        <v>383</v>
      </c>
      <c r="Y331" t="s">
        <v>6587</v>
      </c>
      <c r="Z331" t="s">
        <v>74</v>
      </c>
      <c r="AA331" t="s">
        <v>385</v>
      </c>
      <c r="AB331" t="s">
        <v>74</v>
      </c>
      <c r="AC331" t="s">
        <v>74</v>
      </c>
      <c r="AD331" t="s">
        <v>74</v>
      </c>
      <c r="AE331" t="s">
        <v>74</v>
      </c>
      <c r="AF331" t="s">
        <v>74</v>
      </c>
      <c r="AG331">
        <v>24</v>
      </c>
      <c r="AH331">
        <v>2</v>
      </c>
      <c r="AI331">
        <v>2</v>
      </c>
      <c r="AJ331">
        <v>0</v>
      </c>
      <c r="AK331">
        <v>0</v>
      </c>
      <c r="AL331" t="s">
        <v>6588</v>
      </c>
      <c r="AM331" t="s">
        <v>387</v>
      </c>
      <c r="AN331" t="s">
        <v>884</v>
      </c>
      <c r="AO331" t="s">
        <v>74</v>
      </c>
      <c r="AP331" t="s">
        <v>74</v>
      </c>
      <c r="AQ331" t="s">
        <v>6589</v>
      </c>
      <c r="AR331" t="s">
        <v>74</v>
      </c>
      <c r="AS331" t="s">
        <v>74</v>
      </c>
      <c r="AT331" t="s">
        <v>74</v>
      </c>
      <c r="AU331">
        <v>2015</v>
      </c>
      <c r="AV331" t="s">
        <v>74</v>
      </c>
      <c r="AW331" t="s">
        <v>74</v>
      </c>
      <c r="AX331" t="s">
        <v>74</v>
      </c>
      <c r="AY331" t="s">
        <v>74</v>
      </c>
      <c r="AZ331" t="s">
        <v>74</v>
      </c>
      <c r="BA331" t="s">
        <v>74</v>
      </c>
      <c r="BB331">
        <v>87</v>
      </c>
      <c r="BC331">
        <v>107</v>
      </c>
      <c r="BD331" t="s">
        <v>74</v>
      </c>
      <c r="BE331" t="s">
        <v>6590</v>
      </c>
      <c r="BF331" t="str">
        <f>HYPERLINK("http://dx.doi.org/10.1163/9789004284593_005","http://dx.doi.org/10.1163/9789004284593_005")</f>
        <v>http://dx.doi.org/10.1163/9789004284593_005</v>
      </c>
      <c r="BG331" t="s">
        <v>74</v>
      </c>
      <c r="BH331" t="s">
        <v>74</v>
      </c>
      <c r="BI331">
        <v>21</v>
      </c>
      <c r="BJ331" t="s">
        <v>6591</v>
      </c>
      <c r="BK331" t="s">
        <v>5833</v>
      </c>
      <c r="BL331" t="s">
        <v>6592</v>
      </c>
      <c r="BM331" t="s">
        <v>6593</v>
      </c>
      <c r="BN331" t="s">
        <v>74</v>
      </c>
      <c r="BO331" t="s">
        <v>74</v>
      </c>
      <c r="BP331" t="s">
        <v>74</v>
      </c>
      <c r="BQ331" t="s">
        <v>74</v>
      </c>
      <c r="BR331" t="s">
        <v>93</v>
      </c>
      <c r="BS331" t="s">
        <v>6594</v>
      </c>
      <c r="BT331" t="str">
        <f>HYPERLINK("https%3A%2F%2Fwww.webofscience.com%2Fwos%2Fwoscc%2Ffull-record%2FWOS:000559781100006","View Full Record in Web of Science")</f>
        <v>View Full Record in Web of Science</v>
      </c>
    </row>
    <row r="332" spans="1:72" x14ac:dyDescent="0.15">
      <c r="A332" t="s">
        <v>295</v>
      </c>
      <c r="B332" t="s">
        <v>5688</v>
      </c>
      <c r="C332" t="s">
        <v>74</v>
      </c>
      <c r="D332" t="s">
        <v>6595</v>
      </c>
      <c r="E332" t="s">
        <v>74</v>
      </c>
      <c r="F332" t="s">
        <v>5690</v>
      </c>
      <c r="G332" t="s">
        <v>74</v>
      </c>
      <c r="H332" t="s">
        <v>74</v>
      </c>
      <c r="I332" t="s">
        <v>6596</v>
      </c>
      <c r="J332" t="s">
        <v>6597</v>
      </c>
      <c r="K332" t="s">
        <v>74</v>
      </c>
      <c r="L332" t="s">
        <v>74</v>
      </c>
      <c r="M332" t="s">
        <v>5693</v>
      </c>
      <c r="N332" t="s">
        <v>301</v>
      </c>
      <c r="O332" t="s">
        <v>6598</v>
      </c>
      <c r="P332" t="s">
        <v>6599</v>
      </c>
      <c r="Q332" t="s">
        <v>6600</v>
      </c>
      <c r="R332" t="s">
        <v>74</v>
      </c>
      <c r="S332" t="s">
        <v>74</v>
      </c>
      <c r="T332" t="s">
        <v>6601</v>
      </c>
      <c r="U332" t="s">
        <v>74</v>
      </c>
      <c r="V332" t="s">
        <v>6602</v>
      </c>
      <c r="W332" t="s">
        <v>6603</v>
      </c>
      <c r="X332" t="s">
        <v>5701</v>
      </c>
      <c r="Y332" t="s">
        <v>6604</v>
      </c>
      <c r="Z332" t="s">
        <v>6605</v>
      </c>
      <c r="AA332" t="s">
        <v>74</v>
      </c>
      <c r="AB332" t="s">
        <v>74</v>
      </c>
      <c r="AC332" t="s">
        <v>74</v>
      </c>
      <c r="AD332" t="s">
        <v>74</v>
      </c>
      <c r="AE332" t="s">
        <v>74</v>
      </c>
      <c r="AF332" t="s">
        <v>74</v>
      </c>
      <c r="AG332">
        <v>3</v>
      </c>
      <c r="AH332">
        <v>0</v>
      </c>
      <c r="AI332">
        <v>0</v>
      </c>
      <c r="AJ332">
        <v>0</v>
      </c>
      <c r="AK332">
        <v>5</v>
      </c>
      <c r="AL332" t="s">
        <v>5704</v>
      </c>
      <c r="AM332" t="s">
        <v>5705</v>
      </c>
      <c r="AN332" t="s">
        <v>5706</v>
      </c>
      <c r="AO332" t="s">
        <v>74</v>
      </c>
      <c r="AP332" t="s">
        <v>74</v>
      </c>
      <c r="AQ332" t="s">
        <v>6606</v>
      </c>
      <c r="AR332" t="s">
        <v>74</v>
      </c>
      <c r="AS332" t="s">
        <v>74</v>
      </c>
      <c r="AT332" t="s">
        <v>74</v>
      </c>
      <c r="AU332">
        <v>2015</v>
      </c>
      <c r="AV332" t="s">
        <v>74</v>
      </c>
      <c r="AW332" t="s">
        <v>74</v>
      </c>
      <c r="AX332" t="s">
        <v>74</v>
      </c>
      <c r="AY332" t="s">
        <v>74</v>
      </c>
      <c r="AZ332" t="s">
        <v>74</v>
      </c>
      <c r="BA332" t="s">
        <v>74</v>
      </c>
      <c r="BB332">
        <v>316</v>
      </c>
      <c r="BC332">
        <v>326</v>
      </c>
      <c r="BD332" t="s">
        <v>74</v>
      </c>
      <c r="BE332" t="s">
        <v>74</v>
      </c>
      <c r="BF332" t="s">
        <v>74</v>
      </c>
      <c r="BG332" t="s">
        <v>74</v>
      </c>
      <c r="BH332" t="s">
        <v>74</v>
      </c>
      <c r="BI332">
        <v>11</v>
      </c>
      <c r="BJ332" t="s">
        <v>5708</v>
      </c>
      <c r="BK332" t="s">
        <v>5709</v>
      </c>
      <c r="BL332" t="s">
        <v>5708</v>
      </c>
      <c r="BM332" t="s">
        <v>6607</v>
      </c>
      <c r="BN332" t="s">
        <v>74</v>
      </c>
      <c r="BO332" t="s">
        <v>74</v>
      </c>
      <c r="BP332" t="s">
        <v>74</v>
      </c>
      <c r="BQ332" t="s">
        <v>74</v>
      </c>
      <c r="BR332" t="s">
        <v>93</v>
      </c>
      <c r="BS332" t="s">
        <v>6608</v>
      </c>
      <c r="BT332" t="str">
        <f>HYPERLINK("https%3A%2F%2Fwww.webofscience.com%2Fwos%2Fwoscc%2Ffull-record%2FWOS:000410788000036","View Full Record in Web of Science")</f>
        <v>View Full Record in Web of Science</v>
      </c>
    </row>
    <row r="333" spans="1:72" x14ac:dyDescent="0.15">
      <c r="A333" t="s">
        <v>72</v>
      </c>
      <c r="B333" t="s">
        <v>6609</v>
      </c>
      <c r="C333" t="s">
        <v>74</v>
      </c>
      <c r="D333" t="s">
        <v>74</v>
      </c>
      <c r="E333" t="s">
        <v>74</v>
      </c>
      <c r="F333" t="s">
        <v>6610</v>
      </c>
      <c r="G333" t="s">
        <v>74</v>
      </c>
      <c r="H333" t="s">
        <v>74</v>
      </c>
      <c r="I333" t="s">
        <v>6611</v>
      </c>
      <c r="J333" t="s">
        <v>6612</v>
      </c>
      <c r="K333" t="s">
        <v>74</v>
      </c>
      <c r="L333" t="s">
        <v>74</v>
      </c>
      <c r="M333" t="s">
        <v>78</v>
      </c>
      <c r="N333" t="s">
        <v>99</v>
      </c>
      <c r="O333" t="s">
        <v>74</v>
      </c>
      <c r="P333" t="s">
        <v>74</v>
      </c>
      <c r="Q333" t="s">
        <v>74</v>
      </c>
      <c r="R333" t="s">
        <v>74</v>
      </c>
      <c r="S333" t="s">
        <v>74</v>
      </c>
      <c r="T333" t="s">
        <v>6613</v>
      </c>
      <c r="U333" t="s">
        <v>6614</v>
      </c>
      <c r="V333" t="s">
        <v>6615</v>
      </c>
      <c r="W333" t="s">
        <v>6616</v>
      </c>
      <c r="X333" t="s">
        <v>6617</v>
      </c>
      <c r="Y333" t="s">
        <v>6618</v>
      </c>
      <c r="Z333" t="s">
        <v>6619</v>
      </c>
      <c r="AA333" t="s">
        <v>6620</v>
      </c>
      <c r="AB333" t="s">
        <v>6621</v>
      </c>
      <c r="AC333" t="s">
        <v>6622</v>
      </c>
      <c r="AD333" t="s">
        <v>6623</v>
      </c>
      <c r="AE333" t="s">
        <v>6624</v>
      </c>
      <c r="AF333" t="s">
        <v>74</v>
      </c>
      <c r="AG333">
        <v>71</v>
      </c>
      <c r="AH333">
        <v>33</v>
      </c>
      <c r="AI333">
        <v>33</v>
      </c>
      <c r="AJ333">
        <v>3</v>
      </c>
      <c r="AK333">
        <v>35</v>
      </c>
      <c r="AL333" t="s">
        <v>1061</v>
      </c>
      <c r="AM333" t="s">
        <v>1062</v>
      </c>
      <c r="AN333" t="s">
        <v>1063</v>
      </c>
      <c r="AO333" t="s">
        <v>6625</v>
      </c>
      <c r="AP333" t="s">
        <v>6626</v>
      </c>
      <c r="AQ333" t="s">
        <v>74</v>
      </c>
      <c r="AR333" t="s">
        <v>6627</v>
      </c>
      <c r="AS333" t="s">
        <v>6628</v>
      </c>
      <c r="AT333" t="s">
        <v>74</v>
      </c>
      <c r="AU333">
        <v>2015</v>
      </c>
      <c r="AV333">
        <v>29</v>
      </c>
      <c r="AW333">
        <v>6</v>
      </c>
      <c r="AX333" t="s">
        <v>74</v>
      </c>
      <c r="AY333" t="s">
        <v>74</v>
      </c>
      <c r="AZ333" t="s">
        <v>74</v>
      </c>
      <c r="BA333" t="s">
        <v>74</v>
      </c>
      <c r="BB333">
        <v>578</v>
      </c>
      <c r="BC333">
        <v>590</v>
      </c>
      <c r="BD333" t="s">
        <v>74</v>
      </c>
      <c r="BE333" t="s">
        <v>6629</v>
      </c>
      <c r="BF333" t="str">
        <f>HYPERLINK("http://dx.doi.org/10.1071/IS14019","http://dx.doi.org/10.1071/IS14019")</f>
        <v>http://dx.doi.org/10.1071/IS14019</v>
      </c>
      <c r="BG333" t="s">
        <v>74</v>
      </c>
      <c r="BH333" t="s">
        <v>74</v>
      </c>
      <c r="BI333">
        <v>13</v>
      </c>
      <c r="BJ333" t="s">
        <v>6630</v>
      </c>
      <c r="BK333" t="s">
        <v>91</v>
      </c>
      <c r="BL333" t="s">
        <v>6630</v>
      </c>
      <c r="BM333" t="s">
        <v>6631</v>
      </c>
      <c r="BN333" t="s">
        <v>74</v>
      </c>
      <c r="BO333" t="s">
        <v>4631</v>
      </c>
      <c r="BP333" t="s">
        <v>74</v>
      </c>
      <c r="BQ333" t="s">
        <v>74</v>
      </c>
      <c r="BR333" t="s">
        <v>93</v>
      </c>
      <c r="BS333" t="s">
        <v>6632</v>
      </c>
      <c r="BT333" t="str">
        <f>HYPERLINK("https%3A%2F%2Fwww.webofscience.com%2Fwos%2Fwoscc%2Ffull-record%2FWOS:000367448900003","View Full Record in Web of Science")</f>
        <v>View Full Record in Web of Science</v>
      </c>
    </row>
    <row r="334" spans="1:72" x14ac:dyDescent="0.15">
      <c r="A334" t="s">
        <v>72</v>
      </c>
      <c r="B334" t="s">
        <v>6633</v>
      </c>
      <c r="C334" t="s">
        <v>74</v>
      </c>
      <c r="D334" t="s">
        <v>74</v>
      </c>
      <c r="E334" t="s">
        <v>74</v>
      </c>
      <c r="F334" t="s">
        <v>6634</v>
      </c>
      <c r="G334" t="s">
        <v>74</v>
      </c>
      <c r="H334" t="s">
        <v>74</v>
      </c>
      <c r="I334" t="s">
        <v>6635</v>
      </c>
      <c r="J334" t="s">
        <v>6636</v>
      </c>
      <c r="K334" t="s">
        <v>74</v>
      </c>
      <c r="L334" t="s">
        <v>74</v>
      </c>
      <c r="M334" t="s">
        <v>78</v>
      </c>
      <c r="N334" t="s">
        <v>99</v>
      </c>
      <c r="O334" t="s">
        <v>74</v>
      </c>
      <c r="P334" t="s">
        <v>74</v>
      </c>
      <c r="Q334" t="s">
        <v>74</v>
      </c>
      <c r="R334" t="s">
        <v>74</v>
      </c>
      <c r="S334" t="s">
        <v>74</v>
      </c>
      <c r="T334" t="s">
        <v>74</v>
      </c>
      <c r="U334" t="s">
        <v>6637</v>
      </c>
      <c r="V334" t="s">
        <v>6638</v>
      </c>
      <c r="W334" t="s">
        <v>6639</v>
      </c>
      <c r="X334" t="s">
        <v>6640</v>
      </c>
      <c r="Y334" t="s">
        <v>6641</v>
      </c>
      <c r="Z334" t="s">
        <v>6642</v>
      </c>
      <c r="AA334" t="s">
        <v>6643</v>
      </c>
      <c r="AB334" t="s">
        <v>6644</v>
      </c>
      <c r="AC334" t="s">
        <v>6645</v>
      </c>
      <c r="AD334" t="s">
        <v>6646</v>
      </c>
      <c r="AE334" t="s">
        <v>6647</v>
      </c>
      <c r="AF334" t="s">
        <v>74</v>
      </c>
      <c r="AG334">
        <v>42</v>
      </c>
      <c r="AH334">
        <v>34</v>
      </c>
      <c r="AI334">
        <v>34</v>
      </c>
      <c r="AJ334">
        <v>6</v>
      </c>
      <c r="AK334">
        <v>83</v>
      </c>
      <c r="AL334" t="s">
        <v>111</v>
      </c>
      <c r="AM334" t="s">
        <v>112</v>
      </c>
      <c r="AN334" t="s">
        <v>113</v>
      </c>
      <c r="AO334" t="s">
        <v>6648</v>
      </c>
      <c r="AP334" t="s">
        <v>6649</v>
      </c>
      <c r="AQ334" t="s">
        <v>74</v>
      </c>
      <c r="AR334" t="s">
        <v>6650</v>
      </c>
      <c r="AS334" t="s">
        <v>6651</v>
      </c>
      <c r="AT334" t="s">
        <v>74</v>
      </c>
      <c r="AU334">
        <v>2015</v>
      </c>
      <c r="AV334">
        <v>30</v>
      </c>
      <c r="AW334">
        <v>1</v>
      </c>
      <c r="AX334" t="s">
        <v>74</v>
      </c>
      <c r="AY334" t="s">
        <v>74</v>
      </c>
      <c r="AZ334" t="s">
        <v>74</v>
      </c>
      <c r="BA334" t="s">
        <v>74</v>
      </c>
      <c r="BB334">
        <v>260</v>
      </c>
      <c r="BC334">
        <v>266</v>
      </c>
      <c r="BD334" t="s">
        <v>74</v>
      </c>
      <c r="BE334" t="s">
        <v>6652</v>
      </c>
      <c r="BF334" t="str">
        <f>HYPERLINK("http://dx.doi.org/10.1039/c4ja00264d","http://dx.doi.org/10.1039/c4ja00264d")</f>
        <v>http://dx.doi.org/10.1039/c4ja00264d</v>
      </c>
      <c r="BG334" t="s">
        <v>74</v>
      </c>
      <c r="BH334" t="s">
        <v>74</v>
      </c>
      <c r="BI334">
        <v>7</v>
      </c>
      <c r="BJ334" t="s">
        <v>6653</v>
      </c>
      <c r="BK334" t="s">
        <v>91</v>
      </c>
      <c r="BL334" t="s">
        <v>6654</v>
      </c>
      <c r="BM334" t="s">
        <v>6655</v>
      </c>
      <c r="BN334" t="s">
        <v>74</v>
      </c>
      <c r="BO334" t="s">
        <v>74</v>
      </c>
      <c r="BP334" t="s">
        <v>74</v>
      </c>
      <c r="BQ334" t="s">
        <v>74</v>
      </c>
      <c r="BR334" t="s">
        <v>93</v>
      </c>
      <c r="BS334" t="s">
        <v>6656</v>
      </c>
      <c r="BT334" t="str">
        <f>HYPERLINK("https%3A%2F%2Fwww.webofscience.com%2Fwos%2Fwoscc%2Ffull-record%2FWOS:000346251800021","View Full Record in Web of Science")</f>
        <v>View Full Record in Web of Science</v>
      </c>
    </row>
    <row r="335" spans="1:72" x14ac:dyDescent="0.15">
      <c r="A335" t="s">
        <v>72</v>
      </c>
      <c r="B335" t="s">
        <v>6657</v>
      </c>
      <c r="C335" t="s">
        <v>74</v>
      </c>
      <c r="D335" t="s">
        <v>74</v>
      </c>
      <c r="E335" t="s">
        <v>74</v>
      </c>
      <c r="F335" t="s">
        <v>6658</v>
      </c>
      <c r="G335" t="s">
        <v>74</v>
      </c>
      <c r="H335" t="s">
        <v>74</v>
      </c>
      <c r="I335" t="s">
        <v>6659</v>
      </c>
      <c r="J335" t="s">
        <v>6636</v>
      </c>
      <c r="K335" t="s">
        <v>74</v>
      </c>
      <c r="L335" t="s">
        <v>74</v>
      </c>
      <c r="M335" t="s">
        <v>78</v>
      </c>
      <c r="N335" t="s">
        <v>99</v>
      </c>
      <c r="O335" t="s">
        <v>74</v>
      </c>
      <c r="P335" t="s">
        <v>74</v>
      </c>
      <c r="Q335" t="s">
        <v>74</v>
      </c>
      <c r="R335" t="s">
        <v>74</v>
      </c>
      <c r="S335" t="s">
        <v>74</v>
      </c>
      <c r="T335" t="s">
        <v>74</v>
      </c>
      <c r="U335" t="s">
        <v>6660</v>
      </c>
      <c r="V335" t="s">
        <v>6661</v>
      </c>
      <c r="W335" t="s">
        <v>6662</v>
      </c>
      <c r="X335" t="s">
        <v>6663</v>
      </c>
      <c r="Y335" t="s">
        <v>6664</v>
      </c>
      <c r="Z335" t="s">
        <v>6665</v>
      </c>
      <c r="AA335" t="s">
        <v>6666</v>
      </c>
      <c r="AB335" t="s">
        <v>6667</v>
      </c>
      <c r="AC335" t="s">
        <v>6668</v>
      </c>
      <c r="AD335" t="s">
        <v>5778</v>
      </c>
      <c r="AE335" t="s">
        <v>6669</v>
      </c>
      <c r="AF335" t="s">
        <v>74</v>
      </c>
      <c r="AG335">
        <v>35</v>
      </c>
      <c r="AH335">
        <v>22</v>
      </c>
      <c r="AI335">
        <v>23</v>
      </c>
      <c r="AJ335">
        <v>0</v>
      </c>
      <c r="AK335">
        <v>29</v>
      </c>
      <c r="AL335" t="s">
        <v>111</v>
      </c>
      <c r="AM335" t="s">
        <v>112</v>
      </c>
      <c r="AN335" t="s">
        <v>113</v>
      </c>
      <c r="AO335" t="s">
        <v>6648</v>
      </c>
      <c r="AP335" t="s">
        <v>6649</v>
      </c>
      <c r="AQ335" t="s">
        <v>74</v>
      </c>
      <c r="AR335" t="s">
        <v>6650</v>
      </c>
      <c r="AS335" t="s">
        <v>6651</v>
      </c>
      <c r="AT335" t="s">
        <v>74</v>
      </c>
      <c r="AU335">
        <v>2015</v>
      </c>
      <c r="AV335">
        <v>30</v>
      </c>
      <c r="AW335">
        <v>6</v>
      </c>
      <c r="AX335" t="s">
        <v>74</v>
      </c>
      <c r="AY335" t="s">
        <v>74</v>
      </c>
      <c r="AZ335" t="s">
        <v>74</v>
      </c>
      <c r="BA335" t="s">
        <v>74</v>
      </c>
      <c r="BB335">
        <v>1322</v>
      </c>
      <c r="BC335">
        <v>1328</v>
      </c>
      <c r="BD335" t="s">
        <v>74</v>
      </c>
      <c r="BE335" t="s">
        <v>6670</v>
      </c>
      <c r="BF335" t="str">
        <f>HYPERLINK("http://dx.doi.org/10.1039/c4ja00484a","http://dx.doi.org/10.1039/c4ja00484a")</f>
        <v>http://dx.doi.org/10.1039/c4ja00484a</v>
      </c>
      <c r="BG335" t="s">
        <v>74</v>
      </c>
      <c r="BH335" t="s">
        <v>74</v>
      </c>
      <c r="BI335">
        <v>7</v>
      </c>
      <c r="BJ335" t="s">
        <v>6653</v>
      </c>
      <c r="BK335" t="s">
        <v>91</v>
      </c>
      <c r="BL335" t="s">
        <v>6654</v>
      </c>
      <c r="BM335" t="s">
        <v>6671</v>
      </c>
      <c r="BN335" t="s">
        <v>74</v>
      </c>
      <c r="BO335" t="s">
        <v>2744</v>
      </c>
      <c r="BP335" t="s">
        <v>74</v>
      </c>
      <c r="BQ335" t="s">
        <v>74</v>
      </c>
      <c r="BR335" t="s">
        <v>93</v>
      </c>
      <c r="BS335" t="s">
        <v>6672</v>
      </c>
      <c r="BT335" t="str">
        <f>HYPERLINK("https%3A%2F%2Fwww.webofscience.com%2Fwos%2Fwoscc%2Ffull-record%2FWOS:000355559500010","View Full Record in Web of Science")</f>
        <v>View Full Record in Web of Science</v>
      </c>
    </row>
    <row r="336" spans="1:72" x14ac:dyDescent="0.15">
      <c r="A336" t="s">
        <v>72</v>
      </c>
      <c r="B336" t="s">
        <v>6673</v>
      </c>
      <c r="C336" t="s">
        <v>74</v>
      </c>
      <c r="D336" t="s">
        <v>74</v>
      </c>
      <c r="E336" t="s">
        <v>74</v>
      </c>
      <c r="F336" t="s">
        <v>6674</v>
      </c>
      <c r="G336" t="s">
        <v>74</v>
      </c>
      <c r="H336" t="s">
        <v>74</v>
      </c>
      <c r="I336" t="s">
        <v>6675</v>
      </c>
      <c r="J336" t="s">
        <v>6676</v>
      </c>
      <c r="K336" t="s">
        <v>74</v>
      </c>
      <c r="L336" t="s">
        <v>74</v>
      </c>
      <c r="M336" t="s">
        <v>78</v>
      </c>
      <c r="N336" t="s">
        <v>5947</v>
      </c>
      <c r="O336" t="s">
        <v>74</v>
      </c>
      <c r="P336" t="s">
        <v>74</v>
      </c>
      <c r="Q336" t="s">
        <v>74</v>
      </c>
      <c r="R336" t="s">
        <v>74</v>
      </c>
      <c r="S336" t="s">
        <v>74</v>
      </c>
      <c r="T336" t="s">
        <v>6677</v>
      </c>
      <c r="U336" t="s">
        <v>6678</v>
      </c>
      <c r="V336" t="s">
        <v>6679</v>
      </c>
      <c r="W336" t="s">
        <v>6680</v>
      </c>
      <c r="X336" t="s">
        <v>6681</v>
      </c>
      <c r="Y336" t="s">
        <v>6682</v>
      </c>
      <c r="Z336" t="s">
        <v>6683</v>
      </c>
      <c r="AA336" t="s">
        <v>74</v>
      </c>
      <c r="AB336" t="s">
        <v>6684</v>
      </c>
      <c r="AC336" t="s">
        <v>6685</v>
      </c>
      <c r="AD336" t="s">
        <v>6686</v>
      </c>
      <c r="AE336" t="s">
        <v>74</v>
      </c>
      <c r="AF336" t="s">
        <v>74</v>
      </c>
      <c r="AG336">
        <v>53</v>
      </c>
      <c r="AH336">
        <v>32</v>
      </c>
      <c r="AI336">
        <v>34</v>
      </c>
      <c r="AJ336">
        <v>1</v>
      </c>
      <c r="AK336">
        <v>77</v>
      </c>
      <c r="AL336" t="s">
        <v>4624</v>
      </c>
      <c r="AM336" t="s">
        <v>2007</v>
      </c>
      <c r="AN336" t="s">
        <v>2008</v>
      </c>
      <c r="AO336" t="s">
        <v>6687</v>
      </c>
      <c r="AP336" t="s">
        <v>6688</v>
      </c>
      <c r="AQ336" t="s">
        <v>74</v>
      </c>
      <c r="AR336" t="s">
        <v>6689</v>
      </c>
      <c r="AS336" t="s">
        <v>6690</v>
      </c>
      <c r="AT336" t="s">
        <v>200</v>
      </c>
      <c r="AU336">
        <v>2015</v>
      </c>
      <c r="AV336">
        <v>42</v>
      </c>
      <c r="AW336">
        <v>1</v>
      </c>
      <c r="AX336" t="s">
        <v>74</v>
      </c>
      <c r="AY336" t="s">
        <v>74</v>
      </c>
      <c r="AZ336" t="s">
        <v>74</v>
      </c>
      <c r="BA336" t="s">
        <v>74</v>
      </c>
      <c r="BB336">
        <v>1</v>
      </c>
      <c r="BC336">
        <v>7</v>
      </c>
      <c r="BD336" t="s">
        <v>74</v>
      </c>
      <c r="BE336" t="s">
        <v>6691</v>
      </c>
      <c r="BF336" t="str">
        <f>HYPERLINK("http://dx.doi.org/10.1111/jbi.12414","http://dx.doi.org/10.1111/jbi.12414")</f>
        <v>http://dx.doi.org/10.1111/jbi.12414</v>
      </c>
      <c r="BG336" t="s">
        <v>74</v>
      </c>
      <c r="BH336" t="s">
        <v>74</v>
      </c>
      <c r="BI336">
        <v>7</v>
      </c>
      <c r="BJ336" t="s">
        <v>6692</v>
      </c>
      <c r="BK336" t="s">
        <v>91</v>
      </c>
      <c r="BL336" t="s">
        <v>6693</v>
      </c>
      <c r="BM336" t="s">
        <v>6694</v>
      </c>
      <c r="BN336" t="s">
        <v>74</v>
      </c>
      <c r="BO336" t="s">
        <v>74</v>
      </c>
      <c r="BP336" t="s">
        <v>74</v>
      </c>
      <c r="BQ336" t="s">
        <v>74</v>
      </c>
      <c r="BR336" t="s">
        <v>93</v>
      </c>
      <c r="BS336" t="s">
        <v>6695</v>
      </c>
      <c r="BT336" t="str">
        <f>HYPERLINK("https%3A%2F%2Fwww.webofscience.com%2Fwos%2Fwoscc%2Ffull-record%2FWOS:000346069700001","View Full Record in Web of Science")</f>
        <v>View Full Record in Web of Science</v>
      </c>
    </row>
    <row r="337" spans="1:72" x14ac:dyDescent="0.15">
      <c r="A337" t="s">
        <v>72</v>
      </c>
      <c r="B337" t="s">
        <v>6696</v>
      </c>
      <c r="C337" t="s">
        <v>74</v>
      </c>
      <c r="D337" t="s">
        <v>74</v>
      </c>
      <c r="E337" t="s">
        <v>74</v>
      </c>
      <c r="F337" t="s">
        <v>6697</v>
      </c>
      <c r="G337" t="s">
        <v>74</v>
      </c>
      <c r="H337" t="s">
        <v>74</v>
      </c>
      <c r="I337" t="s">
        <v>6698</v>
      </c>
      <c r="J337" t="s">
        <v>6699</v>
      </c>
      <c r="K337" t="s">
        <v>74</v>
      </c>
      <c r="L337" t="s">
        <v>74</v>
      </c>
      <c r="M337" t="s">
        <v>78</v>
      </c>
      <c r="N337" t="s">
        <v>99</v>
      </c>
      <c r="O337" t="s">
        <v>74</v>
      </c>
      <c r="P337" t="s">
        <v>74</v>
      </c>
      <c r="Q337" t="s">
        <v>74</v>
      </c>
      <c r="R337" t="s">
        <v>74</v>
      </c>
      <c r="S337" t="s">
        <v>74</v>
      </c>
      <c r="T337" t="s">
        <v>6700</v>
      </c>
      <c r="U337" t="s">
        <v>6701</v>
      </c>
      <c r="V337" t="s">
        <v>6702</v>
      </c>
      <c r="W337" t="s">
        <v>6703</v>
      </c>
      <c r="X337" t="s">
        <v>6704</v>
      </c>
      <c r="Y337" t="s">
        <v>6705</v>
      </c>
      <c r="Z337" t="s">
        <v>6706</v>
      </c>
      <c r="AA337" t="s">
        <v>6707</v>
      </c>
      <c r="AB337" t="s">
        <v>6708</v>
      </c>
      <c r="AC337" t="s">
        <v>6709</v>
      </c>
      <c r="AD337" t="s">
        <v>6710</v>
      </c>
      <c r="AE337" t="s">
        <v>6711</v>
      </c>
      <c r="AF337" t="s">
        <v>74</v>
      </c>
      <c r="AG337">
        <v>36</v>
      </c>
      <c r="AH337">
        <v>17</v>
      </c>
      <c r="AI337">
        <v>22</v>
      </c>
      <c r="AJ337">
        <v>1</v>
      </c>
      <c r="AK337">
        <v>74</v>
      </c>
      <c r="AL337" t="s">
        <v>2486</v>
      </c>
      <c r="AM337" t="s">
        <v>2487</v>
      </c>
      <c r="AN337" t="s">
        <v>2488</v>
      </c>
      <c r="AO337" t="s">
        <v>6712</v>
      </c>
      <c r="AP337" t="s">
        <v>6713</v>
      </c>
      <c r="AQ337" t="s">
        <v>74</v>
      </c>
      <c r="AR337" t="s">
        <v>6714</v>
      </c>
      <c r="AS337" t="s">
        <v>6715</v>
      </c>
      <c r="AT337" t="s">
        <v>200</v>
      </c>
      <c r="AU337">
        <v>2015</v>
      </c>
      <c r="AV337">
        <v>185</v>
      </c>
      <c r="AW337">
        <v>1</v>
      </c>
      <c r="AX337" t="s">
        <v>74</v>
      </c>
      <c r="AY337" t="s">
        <v>74</v>
      </c>
      <c r="AZ337" t="s">
        <v>74</v>
      </c>
      <c r="BA337" t="s">
        <v>74</v>
      </c>
      <c r="BB337">
        <v>143</v>
      </c>
      <c r="BC337">
        <v>152</v>
      </c>
      <c r="BD337" t="s">
        <v>74</v>
      </c>
      <c r="BE337" t="s">
        <v>6716</v>
      </c>
      <c r="BF337" t="str">
        <f>HYPERLINK("http://dx.doi.org/10.1007/s00360-014-0868-2","http://dx.doi.org/10.1007/s00360-014-0868-2")</f>
        <v>http://dx.doi.org/10.1007/s00360-014-0868-2</v>
      </c>
      <c r="BG337" t="s">
        <v>74</v>
      </c>
      <c r="BH337" t="s">
        <v>74</v>
      </c>
      <c r="BI337">
        <v>10</v>
      </c>
      <c r="BJ337" t="s">
        <v>6717</v>
      </c>
      <c r="BK337" t="s">
        <v>91</v>
      </c>
      <c r="BL337" t="s">
        <v>6717</v>
      </c>
      <c r="BM337" t="s">
        <v>6718</v>
      </c>
      <c r="BN337">
        <v>25378218</v>
      </c>
      <c r="BO337" t="s">
        <v>74</v>
      </c>
      <c r="BP337" t="s">
        <v>74</v>
      </c>
      <c r="BQ337" t="s">
        <v>74</v>
      </c>
      <c r="BR337" t="s">
        <v>93</v>
      </c>
      <c r="BS337" t="s">
        <v>6719</v>
      </c>
      <c r="BT337" t="str">
        <f>HYPERLINK("https%3A%2F%2Fwww.webofscience.com%2Fwos%2Fwoscc%2Ffull-record%2FWOS:000347249200013","View Full Record in Web of Science")</f>
        <v>View Full Record in Web of Science</v>
      </c>
    </row>
    <row r="338" spans="1:72" x14ac:dyDescent="0.15">
      <c r="A338" t="s">
        <v>72</v>
      </c>
      <c r="B338" t="s">
        <v>6720</v>
      </c>
      <c r="C338" t="s">
        <v>74</v>
      </c>
      <c r="D338" t="s">
        <v>74</v>
      </c>
      <c r="E338" t="s">
        <v>74</v>
      </c>
      <c r="F338" t="s">
        <v>6721</v>
      </c>
      <c r="G338" t="s">
        <v>74</v>
      </c>
      <c r="H338" t="s">
        <v>74</v>
      </c>
      <c r="I338" t="s">
        <v>6722</v>
      </c>
      <c r="J338" t="s">
        <v>6723</v>
      </c>
      <c r="K338" t="s">
        <v>74</v>
      </c>
      <c r="L338" t="s">
        <v>74</v>
      </c>
      <c r="M338" t="s">
        <v>78</v>
      </c>
      <c r="N338" t="s">
        <v>99</v>
      </c>
      <c r="O338" t="s">
        <v>74</v>
      </c>
      <c r="P338" t="s">
        <v>74</v>
      </c>
      <c r="Q338" t="s">
        <v>74</v>
      </c>
      <c r="R338" t="s">
        <v>74</v>
      </c>
      <c r="S338" t="s">
        <v>74</v>
      </c>
      <c r="T338" t="s">
        <v>6724</v>
      </c>
      <c r="U338" t="s">
        <v>6725</v>
      </c>
      <c r="V338" t="s">
        <v>6726</v>
      </c>
      <c r="W338" t="s">
        <v>6727</v>
      </c>
      <c r="X338" t="s">
        <v>6728</v>
      </c>
      <c r="Y338" t="s">
        <v>6729</v>
      </c>
      <c r="Z338" t="s">
        <v>6730</v>
      </c>
      <c r="AA338" t="s">
        <v>6731</v>
      </c>
      <c r="AB338" t="s">
        <v>6732</v>
      </c>
      <c r="AC338" t="s">
        <v>6733</v>
      </c>
      <c r="AD338" t="s">
        <v>6734</v>
      </c>
      <c r="AE338" t="s">
        <v>6735</v>
      </c>
      <c r="AF338" t="s">
        <v>74</v>
      </c>
      <c r="AG338">
        <v>79</v>
      </c>
      <c r="AH338">
        <v>38</v>
      </c>
      <c r="AI338">
        <v>39</v>
      </c>
      <c r="AJ338">
        <v>0</v>
      </c>
      <c r="AK338">
        <v>68</v>
      </c>
      <c r="AL338" t="s">
        <v>1175</v>
      </c>
      <c r="AM338" t="s">
        <v>1176</v>
      </c>
      <c r="AN338" t="s">
        <v>2938</v>
      </c>
      <c r="AO338" t="s">
        <v>6736</v>
      </c>
      <c r="AP338" t="s">
        <v>6737</v>
      </c>
      <c r="AQ338" t="s">
        <v>74</v>
      </c>
      <c r="AR338" t="s">
        <v>6738</v>
      </c>
      <c r="AS338" t="s">
        <v>6739</v>
      </c>
      <c r="AT338" t="s">
        <v>200</v>
      </c>
      <c r="AU338">
        <v>2015</v>
      </c>
      <c r="AV338">
        <v>462</v>
      </c>
      <c r="AW338" t="s">
        <v>74</v>
      </c>
      <c r="AX338" t="s">
        <v>74</v>
      </c>
      <c r="AY338" t="s">
        <v>74</v>
      </c>
      <c r="AZ338" t="s">
        <v>74</v>
      </c>
      <c r="BA338" t="s">
        <v>74</v>
      </c>
      <c r="BB338">
        <v>29</v>
      </c>
      <c r="BC338">
        <v>35</v>
      </c>
      <c r="BD338" t="s">
        <v>74</v>
      </c>
      <c r="BE338" t="s">
        <v>6740</v>
      </c>
      <c r="BF338" t="str">
        <f>HYPERLINK("http://dx.doi.org/10.1016/j.jembe.2014.10.013","http://dx.doi.org/10.1016/j.jembe.2014.10.013")</f>
        <v>http://dx.doi.org/10.1016/j.jembe.2014.10.013</v>
      </c>
      <c r="BG338" t="s">
        <v>74</v>
      </c>
      <c r="BH338" t="s">
        <v>74</v>
      </c>
      <c r="BI338">
        <v>7</v>
      </c>
      <c r="BJ338" t="s">
        <v>3613</v>
      </c>
      <c r="BK338" t="s">
        <v>91</v>
      </c>
      <c r="BL338" t="s">
        <v>2674</v>
      </c>
      <c r="BM338" t="s">
        <v>6741</v>
      </c>
      <c r="BN338" t="s">
        <v>74</v>
      </c>
      <c r="BO338" t="s">
        <v>4631</v>
      </c>
      <c r="BP338" t="s">
        <v>74</v>
      </c>
      <c r="BQ338" t="s">
        <v>74</v>
      </c>
      <c r="BR338" t="s">
        <v>93</v>
      </c>
      <c r="BS338" t="s">
        <v>6742</v>
      </c>
      <c r="BT338" t="str">
        <f>HYPERLINK("https%3A%2F%2Fwww.webofscience.com%2Fwos%2Fwoscc%2Ffull-record%2FWOS:000346943800005","View Full Record in Web of Science")</f>
        <v>View Full Record in Web of Science</v>
      </c>
    </row>
    <row r="339" spans="1:72" x14ac:dyDescent="0.15">
      <c r="A339" t="s">
        <v>72</v>
      </c>
      <c r="B339" t="s">
        <v>6743</v>
      </c>
      <c r="C339" t="s">
        <v>74</v>
      </c>
      <c r="D339" t="s">
        <v>74</v>
      </c>
      <c r="E339" t="s">
        <v>74</v>
      </c>
      <c r="F339" t="s">
        <v>6744</v>
      </c>
      <c r="G339" t="s">
        <v>74</v>
      </c>
      <c r="H339" t="s">
        <v>74</v>
      </c>
      <c r="I339" t="s">
        <v>6745</v>
      </c>
      <c r="J339" t="s">
        <v>2036</v>
      </c>
      <c r="K339" t="s">
        <v>74</v>
      </c>
      <c r="L339" t="s">
        <v>74</v>
      </c>
      <c r="M339" t="s">
        <v>78</v>
      </c>
      <c r="N339" t="s">
        <v>99</v>
      </c>
      <c r="O339" t="s">
        <v>74</v>
      </c>
      <c r="P339" t="s">
        <v>74</v>
      </c>
      <c r="Q339" t="s">
        <v>74</v>
      </c>
      <c r="R339" t="s">
        <v>74</v>
      </c>
      <c r="S339" t="s">
        <v>74</v>
      </c>
      <c r="T339" t="s">
        <v>6746</v>
      </c>
      <c r="U339" t="s">
        <v>6747</v>
      </c>
      <c r="V339" t="s">
        <v>6748</v>
      </c>
      <c r="W339" t="s">
        <v>6749</v>
      </c>
      <c r="X339" t="s">
        <v>6750</v>
      </c>
      <c r="Y339" t="s">
        <v>6751</v>
      </c>
      <c r="Z339" t="s">
        <v>6752</v>
      </c>
      <c r="AA339" t="s">
        <v>6753</v>
      </c>
      <c r="AB339" t="s">
        <v>6754</v>
      </c>
      <c r="AC339" t="s">
        <v>6755</v>
      </c>
      <c r="AD339" t="s">
        <v>4423</v>
      </c>
      <c r="AE339" t="s">
        <v>6756</v>
      </c>
      <c r="AF339" t="s">
        <v>74</v>
      </c>
      <c r="AG339">
        <v>42</v>
      </c>
      <c r="AH339">
        <v>16</v>
      </c>
      <c r="AI339">
        <v>18</v>
      </c>
      <c r="AJ339">
        <v>1</v>
      </c>
      <c r="AK339">
        <v>12</v>
      </c>
      <c r="AL339" t="s">
        <v>1945</v>
      </c>
      <c r="AM339" t="s">
        <v>1946</v>
      </c>
      <c r="AN339" t="s">
        <v>1947</v>
      </c>
      <c r="AO339" t="s">
        <v>2049</v>
      </c>
      <c r="AP339" t="s">
        <v>2050</v>
      </c>
      <c r="AQ339" t="s">
        <v>74</v>
      </c>
      <c r="AR339" t="s">
        <v>2051</v>
      </c>
      <c r="AS339" t="s">
        <v>2052</v>
      </c>
      <c r="AT339" t="s">
        <v>200</v>
      </c>
      <c r="AU339">
        <v>2015</v>
      </c>
      <c r="AV339">
        <v>120</v>
      </c>
      <c r="AW339">
        <v>1</v>
      </c>
      <c r="AX339" t="s">
        <v>74</v>
      </c>
      <c r="AY339" t="s">
        <v>74</v>
      </c>
      <c r="AZ339" t="s">
        <v>74</v>
      </c>
      <c r="BA339" t="s">
        <v>74</v>
      </c>
      <c r="BB339">
        <v>113</v>
      </c>
      <c r="BC339">
        <v>130</v>
      </c>
      <c r="BD339" t="s">
        <v>74</v>
      </c>
      <c r="BE339" t="s">
        <v>6757</v>
      </c>
      <c r="BF339" t="str">
        <f>HYPERLINK("http://dx.doi.org/10.1002/2014JC010315","http://dx.doi.org/10.1002/2014JC010315")</f>
        <v>http://dx.doi.org/10.1002/2014JC010315</v>
      </c>
      <c r="BG339" t="s">
        <v>74</v>
      </c>
      <c r="BH339" t="s">
        <v>74</v>
      </c>
      <c r="BI339">
        <v>18</v>
      </c>
      <c r="BJ339" t="s">
        <v>2054</v>
      </c>
      <c r="BK339" t="s">
        <v>91</v>
      </c>
      <c r="BL339" t="s">
        <v>2054</v>
      </c>
      <c r="BM339" t="s">
        <v>2055</v>
      </c>
      <c r="BN339" t="s">
        <v>74</v>
      </c>
      <c r="BO339" t="s">
        <v>6758</v>
      </c>
      <c r="BP339" t="s">
        <v>74</v>
      </c>
      <c r="BQ339" t="s">
        <v>74</v>
      </c>
      <c r="BR339" t="s">
        <v>93</v>
      </c>
      <c r="BS339" t="s">
        <v>6759</v>
      </c>
      <c r="BT339" t="str">
        <f>HYPERLINK("https%3A%2F%2Fwww.webofscience.com%2Fwos%2Fwoscc%2Ffull-record%2FWOS:000349890000008","View Full Record in Web of Science")</f>
        <v>View Full Record in Web of Science</v>
      </c>
    </row>
    <row r="340" spans="1:72" x14ac:dyDescent="0.15">
      <c r="A340" t="s">
        <v>72</v>
      </c>
      <c r="B340" t="s">
        <v>6760</v>
      </c>
      <c r="C340" t="s">
        <v>74</v>
      </c>
      <c r="D340" t="s">
        <v>74</v>
      </c>
      <c r="E340" t="s">
        <v>74</v>
      </c>
      <c r="F340" t="s">
        <v>6761</v>
      </c>
      <c r="G340" t="s">
        <v>74</v>
      </c>
      <c r="H340" t="s">
        <v>74</v>
      </c>
      <c r="I340" t="s">
        <v>6762</v>
      </c>
      <c r="J340" t="s">
        <v>2036</v>
      </c>
      <c r="K340" t="s">
        <v>74</v>
      </c>
      <c r="L340" t="s">
        <v>74</v>
      </c>
      <c r="M340" t="s">
        <v>78</v>
      </c>
      <c r="N340" t="s">
        <v>99</v>
      </c>
      <c r="O340" t="s">
        <v>74</v>
      </c>
      <c r="P340" t="s">
        <v>74</v>
      </c>
      <c r="Q340" t="s">
        <v>74</v>
      </c>
      <c r="R340" t="s">
        <v>74</v>
      </c>
      <c r="S340" t="s">
        <v>74</v>
      </c>
      <c r="T340" t="s">
        <v>6763</v>
      </c>
      <c r="U340" t="s">
        <v>6764</v>
      </c>
      <c r="V340" t="s">
        <v>6765</v>
      </c>
      <c r="W340" t="s">
        <v>6766</v>
      </c>
      <c r="X340" t="s">
        <v>6767</v>
      </c>
      <c r="Y340" t="s">
        <v>6768</v>
      </c>
      <c r="Z340" t="s">
        <v>6769</v>
      </c>
      <c r="AA340" t="s">
        <v>6770</v>
      </c>
      <c r="AB340" t="s">
        <v>6771</v>
      </c>
      <c r="AC340" t="s">
        <v>6772</v>
      </c>
      <c r="AD340" t="s">
        <v>6773</v>
      </c>
      <c r="AE340" t="s">
        <v>6774</v>
      </c>
      <c r="AF340" t="s">
        <v>74</v>
      </c>
      <c r="AG340">
        <v>42</v>
      </c>
      <c r="AH340">
        <v>108</v>
      </c>
      <c r="AI340">
        <v>121</v>
      </c>
      <c r="AJ340">
        <v>2</v>
      </c>
      <c r="AK340">
        <v>61</v>
      </c>
      <c r="AL340" t="s">
        <v>1945</v>
      </c>
      <c r="AM340" t="s">
        <v>1946</v>
      </c>
      <c r="AN340" t="s">
        <v>1947</v>
      </c>
      <c r="AO340" t="s">
        <v>2049</v>
      </c>
      <c r="AP340" t="s">
        <v>2050</v>
      </c>
      <c r="AQ340" t="s">
        <v>74</v>
      </c>
      <c r="AR340" t="s">
        <v>2051</v>
      </c>
      <c r="AS340" t="s">
        <v>2052</v>
      </c>
      <c r="AT340" t="s">
        <v>200</v>
      </c>
      <c r="AU340">
        <v>2015</v>
      </c>
      <c r="AV340">
        <v>120</v>
      </c>
      <c r="AW340">
        <v>1</v>
      </c>
      <c r="AX340" t="s">
        <v>74</v>
      </c>
      <c r="AY340" t="s">
        <v>74</v>
      </c>
      <c r="AZ340" t="s">
        <v>74</v>
      </c>
      <c r="BA340" t="s">
        <v>74</v>
      </c>
      <c r="BB340">
        <v>257</v>
      </c>
      <c r="BC340">
        <v>267</v>
      </c>
      <c r="BD340" t="s">
        <v>74</v>
      </c>
      <c r="BE340" t="s">
        <v>6775</v>
      </c>
      <c r="BF340" t="str">
        <f>HYPERLINK("http://dx.doi.org/10.1002/2014JC010470","http://dx.doi.org/10.1002/2014JC010470")</f>
        <v>http://dx.doi.org/10.1002/2014JC010470</v>
      </c>
      <c r="BG340" t="s">
        <v>74</v>
      </c>
      <c r="BH340" t="s">
        <v>74</v>
      </c>
      <c r="BI340">
        <v>11</v>
      </c>
      <c r="BJ340" t="s">
        <v>2054</v>
      </c>
      <c r="BK340" t="s">
        <v>91</v>
      </c>
      <c r="BL340" t="s">
        <v>2054</v>
      </c>
      <c r="BM340" t="s">
        <v>2055</v>
      </c>
      <c r="BN340" t="s">
        <v>74</v>
      </c>
      <c r="BO340" t="s">
        <v>6776</v>
      </c>
      <c r="BP340" t="s">
        <v>74</v>
      </c>
      <c r="BQ340" t="s">
        <v>74</v>
      </c>
      <c r="BR340" t="s">
        <v>93</v>
      </c>
      <c r="BS340" t="s">
        <v>6777</v>
      </c>
      <c r="BT340" t="str">
        <f>HYPERLINK("https%3A%2F%2Fwww.webofscience.com%2Fwos%2Fwoscc%2Ffull-record%2FWOS:000349890000016","View Full Record in Web of Science")</f>
        <v>View Full Record in Web of Science</v>
      </c>
    </row>
    <row r="341" spans="1:72" x14ac:dyDescent="0.15">
      <c r="A341" t="s">
        <v>72</v>
      </c>
      <c r="B341" t="s">
        <v>6778</v>
      </c>
      <c r="C341" t="s">
        <v>74</v>
      </c>
      <c r="D341" t="s">
        <v>74</v>
      </c>
      <c r="E341" t="s">
        <v>74</v>
      </c>
      <c r="F341" t="s">
        <v>6779</v>
      </c>
      <c r="G341" t="s">
        <v>74</v>
      </c>
      <c r="H341" t="s">
        <v>74</v>
      </c>
      <c r="I341" t="s">
        <v>6780</v>
      </c>
      <c r="J341" t="s">
        <v>2036</v>
      </c>
      <c r="K341" t="s">
        <v>74</v>
      </c>
      <c r="L341" t="s">
        <v>74</v>
      </c>
      <c r="M341" t="s">
        <v>78</v>
      </c>
      <c r="N341" t="s">
        <v>99</v>
      </c>
      <c r="O341" t="s">
        <v>74</v>
      </c>
      <c r="P341" t="s">
        <v>74</v>
      </c>
      <c r="Q341" t="s">
        <v>74</v>
      </c>
      <c r="R341" t="s">
        <v>74</v>
      </c>
      <c r="S341" t="s">
        <v>74</v>
      </c>
      <c r="T341" t="s">
        <v>6781</v>
      </c>
      <c r="U341" t="s">
        <v>6782</v>
      </c>
      <c r="V341" t="s">
        <v>6783</v>
      </c>
      <c r="W341" t="s">
        <v>6784</v>
      </c>
      <c r="X341" t="s">
        <v>6785</v>
      </c>
      <c r="Y341" t="s">
        <v>6786</v>
      </c>
      <c r="Z341" t="s">
        <v>6787</v>
      </c>
      <c r="AA341" t="s">
        <v>6788</v>
      </c>
      <c r="AB341" t="s">
        <v>6789</v>
      </c>
      <c r="AC341" t="s">
        <v>6790</v>
      </c>
      <c r="AD341" t="s">
        <v>4423</v>
      </c>
      <c r="AE341" t="s">
        <v>6791</v>
      </c>
      <c r="AF341" t="s">
        <v>74</v>
      </c>
      <c r="AG341">
        <v>41</v>
      </c>
      <c r="AH341">
        <v>22</v>
      </c>
      <c r="AI341">
        <v>25</v>
      </c>
      <c r="AJ341">
        <v>1</v>
      </c>
      <c r="AK341">
        <v>26</v>
      </c>
      <c r="AL341" t="s">
        <v>1945</v>
      </c>
      <c r="AM341" t="s">
        <v>1946</v>
      </c>
      <c r="AN341" t="s">
        <v>1947</v>
      </c>
      <c r="AO341" t="s">
        <v>2049</v>
      </c>
      <c r="AP341" t="s">
        <v>2050</v>
      </c>
      <c r="AQ341" t="s">
        <v>74</v>
      </c>
      <c r="AR341" t="s">
        <v>2051</v>
      </c>
      <c r="AS341" t="s">
        <v>2052</v>
      </c>
      <c r="AT341" t="s">
        <v>200</v>
      </c>
      <c r="AU341">
        <v>2015</v>
      </c>
      <c r="AV341">
        <v>120</v>
      </c>
      <c r="AW341">
        <v>1</v>
      </c>
      <c r="AX341" t="s">
        <v>74</v>
      </c>
      <c r="AY341" t="s">
        <v>74</v>
      </c>
      <c r="AZ341" t="s">
        <v>74</v>
      </c>
      <c r="BA341" t="s">
        <v>74</v>
      </c>
      <c r="BB341">
        <v>547</v>
      </c>
      <c r="BC341">
        <v>562</v>
      </c>
      <c r="BD341" t="s">
        <v>74</v>
      </c>
      <c r="BE341" t="s">
        <v>6792</v>
      </c>
      <c r="BF341" t="str">
        <f>HYPERLINK("http://dx.doi.org/10.1002/2014JC010462","http://dx.doi.org/10.1002/2014JC010462")</f>
        <v>http://dx.doi.org/10.1002/2014JC010462</v>
      </c>
      <c r="BG341" t="s">
        <v>74</v>
      </c>
      <c r="BH341" t="s">
        <v>74</v>
      </c>
      <c r="BI341">
        <v>16</v>
      </c>
      <c r="BJ341" t="s">
        <v>2054</v>
      </c>
      <c r="BK341" t="s">
        <v>91</v>
      </c>
      <c r="BL341" t="s">
        <v>2054</v>
      </c>
      <c r="BM341" t="s">
        <v>2055</v>
      </c>
      <c r="BN341" t="s">
        <v>74</v>
      </c>
      <c r="BO341" t="s">
        <v>6793</v>
      </c>
      <c r="BP341" t="s">
        <v>74</v>
      </c>
      <c r="BQ341" t="s">
        <v>74</v>
      </c>
      <c r="BR341" t="s">
        <v>93</v>
      </c>
      <c r="BS341" t="s">
        <v>6794</v>
      </c>
      <c r="BT341" t="str">
        <f>HYPERLINK("https%3A%2F%2Fwww.webofscience.com%2Fwos%2Fwoscc%2Ffull-record%2FWOS:000349890000032","View Full Record in Web of Science")</f>
        <v>View Full Record in Web of Science</v>
      </c>
    </row>
    <row r="342" spans="1:72" x14ac:dyDescent="0.15">
      <c r="A342" t="s">
        <v>72</v>
      </c>
      <c r="B342" t="s">
        <v>6795</v>
      </c>
      <c r="C342" t="s">
        <v>74</v>
      </c>
      <c r="D342" t="s">
        <v>74</v>
      </c>
      <c r="E342" t="s">
        <v>74</v>
      </c>
      <c r="F342" t="s">
        <v>6796</v>
      </c>
      <c r="G342" t="s">
        <v>74</v>
      </c>
      <c r="H342" t="s">
        <v>74</v>
      </c>
      <c r="I342" t="s">
        <v>6797</v>
      </c>
      <c r="J342" t="s">
        <v>6798</v>
      </c>
      <c r="K342" t="s">
        <v>74</v>
      </c>
      <c r="L342" t="s">
        <v>74</v>
      </c>
      <c r="M342" t="s">
        <v>78</v>
      </c>
      <c r="N342" t="s">
        <v>99</v>
      </c>
      <c r="O342" t="s">
        <v>74</v>
      </c>
      <c r="P342" t="s">
        <v>74</v>
      </c>
      <c r="Q342" t="s">
        <v>74</v>
      </c>
      <c r="R342" t="s">
        <v>74</v>
      </c>
      <c r="S342" t="s">
        <v>74</v>
      </c>
      <c r="T342" t="s">
        <v>6799</v>
      </c>
      <c r="U342" t="s">
        <v>6800</v>
      </c>
      <c r="V342" t="s">
        <v>6801</v>
      </c>
      <c r="W342" t="s">
        <v>6802</v>
      </c>
      <c r="X342" t="s">
        <v>6803</v>
      </c>
      <c r="Y342" t="s">
        <v>6804</v>
      </c>
      <c r="Z342" t="s">
        <v>6805</v>
      </c>
      <c r="AA342" t="s">
        <v>6806</v>
      </c>
      <c r="AB342" t="s">
        <v>6807</v>
      </c>
      <c r="AC342" t="s">
        <v>6808</v>
      </c>
      <c r="AD342" t="s">
        <v>6809</v>
      </c>
      <c r="AE342" t="s">
        <v>6810</v>
      </c>
      <c r="AF342" t="s">
        <v>74</v>
      </c>
      <c r="AG342">
        <v>124</v>
      </c>
      <c r="AH342">
        <v>171</v>
      </c>
      <c r="AI342">
        <v>194</v>
      </c>
      <c r="AJ342">
        <v>4</v>
      </c>
      <c r="AK342">
        <v>38</v>
      </c>
      <c r="AL342" t="s">
        <v>1945</v>
      </c>
      <c r="AM342" t="s">
        <v>1946</v>
      </c>
      <c r="AN342" t="s">
        <v>1947</v>
      </c>
      <c r="AO342" t="s">
        <v>6811</v>
      </c>
      <c r="AP342" t="s">
        <v>6812</v>
      </c>
      <c r="AQ342" t="s">
        <v>74</v>
      </c>
      <c r="AR342" t="s">
        <v>6813</v>
      </c>
      <c r="AS342" t="s">
        <v>6814</v>
      </c>
      <c r="AT342" t="s">
        <v>200</v>
      </c>
      <c r="AU342">
        <v>2015</v>
      </c>
      <c r="AV342">
        <v>120</v>
      </c>
      <c r="AW342">
        <v>1</v>
      </c>
      <c r="AX342" t="s">
        <v>74</v>
      </c>
      <c r="AY342" t="s">
        <v>74</v>
      </c>
      <c r="AZ342" t="s">
        <v>74</v>
      </c>
      <c r="BA342" t="s">
        <v>74</v>
      </c>
      <c r="BB342">
        <v>359</v>
      </c>
      <c r="BC342">
        <v>383</v>
      </c>
      <c r="BD342" t="s">
        <v>74</v>
      </c>
      <c r="BE342" t="s">
        <v>6815</v>
      </c>
      <c r="BF342" t="str">
        <f>HYPERLINK("http://dx.doi.org/10.1002/2014JB011332","http://dx.doi.org/10.1002/2014JB011332")</f>
        <v>http://dx.doi.org/10.1002/2014JB011332</v>
      </c>
      <c r="BG342" t="s">
        <v>74</v>
      </c>
      <c r="BH342" t="s">
        <v>74</v>
      </c>
      <c r="BI342">
        <v>25</v>
      </c>
      <c r="BJ342" t="s">
        <v>1902</v>
      </c>
      <c r="BK342" t="s">
        <v>91</v>
      </c>
      <c r="BL342" t="s">
        <v>1902</v>
      </c>
      <c r="BM342" t="s">
        <v>6816</v>
      </c>
      <c r="BN342" t="s">
        <v>74</v>
      </c>
      <c r="BO342" t="s">
        <v>1904</v>
      </c>
      <c r="BP342" t="s">
        <v>74</v>
      </c>
      <c r="BQ342" t="s">
        <v>74</v>
      </c>
      <c r="BR342" t="s">
        <v>93</v>
      </c>
      <c r="BS342" t="s">
        <v>6817</v>
      </c>
      <c r="BT342" t="str">
        <f>HYPERLINK("https%3A%2F%2Fwww.webofscience.com%2Fwos%2Fwoscc%2Ffull-record%2FWOS:000350152000021","View Full Record in Web of Science")</f>
        <v>View Full Record in Web of Science</v>
      </c>
    </row>
    <row r="343" spans="1:72" x14ac:dyDescent="0.15">
      <c r="A343" t="s">
        <v>72</v>
      </c>
      <c r="B343" t="s">
        <v>6818</v>
      </c>
      <c r="C343" t="s">
        <v>74</v>
      </c>
      <c r="D343" t="s">
        <v>74</v>
      </c>
      <c r="E343" t="s">
        <v>74</v>
      </c>
      <c r="F343" t="s">
        <v>6819</v>
      </c>
      <c r="G343" t="s">
        <v>74</v>
      </c>
      <c r="H343" t="s">
        <v>74</v>
      </c>
      <c r="I343" t="s">
        <v>6820</v>
      </c>
      <c r="J343" t="s">
        <v>6798</v>
      </c>
      <c r="K343" t="s">
        <v>74</v>
      </c>
      <c r="L343" t="s">
        <v>74</v>
      </c>
      <c r="M343" t="s">
        <v>78</v>
      </c>
      <c r="N343" t="s">
        <v>99</v>
      </c>
      <c r="O343" t="s">
        <v>74</v>
      </c>
      <c r="P343" t="s">
        <v>74</v>
      </c>
      <c r="Q343" t="s">
        <v>74</v>
      </c>
      <c r="R343" t="s">
        <v>74</v>
      </c>
      <c r="S343" t="s">
        <v>74</v>
      </c>
      <c r="T343" t="s">
        <v>6821</v>
      </c>
      <c r="U343" t="s">
        <v>6822</v>
      </c>
      <c r="V343" t="s">
        <v>6823</v>
      </c>
      <c r="W343" t="s">
        <v>6824</v>
      </c>
      <c r="X343" t="s">
        <v>6825</v>
      </c>
      <c r="Y343" t="s">
        <v>6826</v>
      </c>
      <c r="Z343" t="s">
        <v>6827</v>
      </c>
      <c r="AA343" t="s">
        <v>6828</v>
      </c>
      <c r="AB343" t="s">
        <v>74</v>
      </c>
      <c r="AC343" t="s">
        <v>6829</v>
      </c>
      <c r="AD343" t="s">
        <v>6830</v>
      </c>
      <c r="AE343" t="s">
        <v>6831</v>
      </c>
      <c r="AF343" t="s">
        <v>74</v>
      </c>
      <c r="AG343">
        <v>107</v>
      </c>
      <c r="AH343">
        <v>842</v>
      </c>
      <c r="AI343">
        <v>914</v>
      </c>
      <c r="AJ343">
        <v>11</v>
      </c>
      <c r="AK343">
        <v>138</v>
      </c>
      <c r="AL343" t="s">
        <v>1945</v>
      </c>
      <c r="AM343" t="s">
        <v>1946</v>
      </c>
      <c r="AN343" t="s">
        <v>1947</v>
      </c>
      <c r="AO343" t="s">
        <v>6811</v>
      </c>
      <c r="AP343" t="s">
        <v>6812</v>
      </c>
      <c r="AQ343" t="s">
        <v>74</v>
      </c>
      <c r="AR343" t="s">
        <v>6813</v>
      </c>
      <c r="AS343" t="s">
        <v>6814</v>
      </c>
      <c r="AT343" t="s">
        <v>200</v>
      </c>
      <c r="AU343">
        <v>2015</v>
      </c>
      <c r="AV343">
        <v>120</v>
      </c>
      <c r="AW343">
        <v>1</v>
      </c>
      <c r="AX343" t="s">
        <v>74</v>
      </c>
      <c r="AY343" t="s">
        <v>74</v>
      </c>
      <c r="AZ343" t="s">
        <v>74</v>
      </c>
      <c r="BA343" t="s">
        <v>74</v>
      </c>
      <c r="BB343">
        <v>450</v>
      </c>
      <c r="BC343">
        <v>487</v>
      </c>
      <c r="BD343" t="s">
        <v>74</v>
      </c>
      <c r="BE343" t="s">
        <v>6832</v>
      </c>
      <c r="BF343" t="str">
        <f>HYPERLINK("http://dx.doi.org/10.1002/2014JB011176","http://dx.doi.org/10.1002/2014JB011176")</f>
        <v>http://dx.doi.org/10.1002/2014JB011176</v>
      </c>
      <c r="BG343" t="s">
        <v>74</v>
      </c>
      <c r="BH343" t="s">
        <v>74</v>
      </c>
      <c r="BI343">
        <v>38</v>
      </c>
      <c r="BJ343" t="s">
        <v>1902</v>
      </c>
      <c r="BK343" t="s">
        <v>91</v>
      </c>
      <c r="BL343" t="s">
        <v>1902</v>
      </c>
      <c r="BM343" t="s">
        <v>6816</v>
      </c>
      <c r="BN343" t="s">
        <v>74</v>
      </c>
      <c r="BO343" t="s">
        <v>991</v>
      </c>
      <c r="BP343" t="s">
        <v>5654</v>
      </c>
      <c r="BQ343" t="s">
        <v>5655</v>
      </c>
      <c r="BR343" t="s">
        <v>93</v>
      </c>
      <c r="BS343" t="s">
        <v>6833</v>
      </c>
      <c r="BT343" t="str">
        <f>HYPERLINK("https%3A%2F%2Fwww.webofscience.com%2Fwos%2Fwoscc%2Ffull-record%2FWOS:000350152000025","View Full Record in Web of Science")</f>
        <v>View Full Record in Web of Science</v>
      </c>
    </row>
    <row r="344" spans="1:72" x14ac:dyDescent="0.15">
      <c r="A344" t="s">
        <v>72</v>
      </c>
      <c r="B344" t="s">
        <v>6834</v>
      </c>
      <c r="C344" t="s">
        <v>74</v>
      </c>
      <c r="D344" t="s">
        <v>74</v>
      </c>
      <c r="E344" t="s">
        <v>74</v>
      </c>
      <c r="F344" t="s">
        <v>6835</v>
      </c>
      <c r="G344" t="s">
        <v>74</v>
      </c>
      <c r="H344" t="s">
        <v>74</v>
      </c>
      <c r="I344" t="s">
        <v>6836</v>
      </c>
      <c r="J344" t="s">
        <v>353</v>
      </c>
      <c r="K344" t="s">
        <v>74</v>
      </c>
      <c r="L344" t="s">
        <v>74</v>
      </c>
      <c r="M344" t="s">
        <v>78</v>
      </c>
      <c r="N344" t="s">
        <v>99</v>
      </c>
      <c r="O344" t="s">
        <v>74</v>
      </c>
      <c r="P344" t="s">
        <v>74</v>
      </c>
      <c r="Q344" t="s">
        <v>74</v>
      </c>
      <c r="R344" t="s">
        <v>74</v>
      </c>
      <c r="S344" t="s">
        <v>74</v>
      </c>
      <c r="T344" t="s">
        <v>6837</v>
      </c>
      <c r="U344" t="s">
        <v>6838</v>
      </c>
      <c r="V344" t="s">
        <v>6839</v>
      </c>
      <c r="W344" t="s">
        <v>6840</v>
      </c>
      <c r="X344" t="s">
        <v>6841</v>
      </c>
      <c r="Y344" t="s">
        <v>6842</v>
      </c>
      <c r="Z344" t="s">
        <v>6843</v>
      </c>
      <c r="AA344" t="s">
        <v>6844</v>
      </c>
      <c r="AB344" t="s">
        <v>6845</v>
      </c>
      <c r="AC344" t="s">
        <v>6846</v>
      </c>
      <c r="AD344" t="s">
        <v>6847</v>
      </c>
      <c r="AE344" t="s">
        <v>6848</v>
      </c>
      <c r="AF344" t="s">
        <v>74</v>
      </c>
      <c r="AG344">
        <v>53</v>
      </c>
      <c r="AH344">
        <v>18</v>
      </c>
      <c r="AI344">
        <v>21</v>
      </c>
      <c r="AJ344">
        <v>0</v>
      </c>
      <c r="AK344">
        <v>29</v>
      </c>
      <c r="AL344" t="s">
        <v>365</v>
      </c>
      <c r="AM344" t="s">
        <v>112</v>
      </c>
      <c r="AN344" t="s">
        <v>366</v>
      </c>
      <c r="AO344" t="s">
        <v>367</v>
      </c>
      <c r="AP344" t="s">
        <v>368</v>
      </c>
      <c r="AQ344" t="s">
        <v>74</v>
      </c>
      <c r="AR344" t="s">
        <v>369</v>
      </c>
      <c r="AS344" t="s">
        <v>370</v>
      </c>
      <c r="AT344" t="s">
        <v>74</v>
      </c>
      <c r="AU344">
        <v>2015</v>
      </c>
      <c r="AV344">
        <v>61</v>
      </c>
      <c r="AW344">
        <v>225</v>
      </c>
      <c r="AX344" t="s">
        <v>74</v>
      </c>
      <c r="AY344" t="s">
        <v>74</v>
      </c>
      <c r="AZ344" t="s">
        <v>74</v>
      </c>
      <c r="BA344" t="s">
        <v>74</v>
      </c>
      <c r="BB344">
        <v>17</v>
      </c>
      <c r="BC344">
        <v>28</v>
      </c>
      <c r="BD344" t="s">
        <v>74</v>
      </c>
      <c r="BE344" t="s">
        <v>6849</v>
      </c>
      <c r="BF344" t="str">
        <f>HYPERLINK("http://dx.doi.org/10.3189/2015JoG14J048","http://dx.doi.org/10.3189/2015JoG14J048")</f>
        <v>http://dx.doi.org/10.3189/2015JoG14J048</v>
      </c>
      <c r="BG344" t="s">
        <v>74</v>
      </c>
      <c r="BH344" t="s">
        <v>74</v>
      </c>
      <c r="BI344">
        <v>12</v>
      </c>
      <c r="BJ344" t="s">
        <v>372</v>
      </c>
      <c r="BK344" t="s">
        <v>91</v>
      </c>
      <c r="BL344" t="s">
        <v>373</v>
      </c>
      <c r="BM344" t="s">
        <v>6850</v>
      </c>
      <c r="BN344" t="s">
        <v>74</v>
      </c>
      <c r="BO344" t="s">
        <v>1904</v>
      </c>
      <c r="BP344" t="s">
        <v>74</v>
      </c>
      <c r="BQ344" t="s">
        <v>74</v>
      </c>
      <c r="BR344" t="s">
        <v>93</v>
      </c>
      <c r="BS344" t="s">
        <v>6851</v>
      </c>
      <c r="BT344" t="str">
        <f>HYPERLINK("https%3A%2F%2Fwww.webofscience.com%2Fwos%2Fwoscc%2Ffull-record%2FWOS:000353100100003","View Full Record in Web of Science")</f>
        <v>View Full Record in Web of Science</v>
      </c>
    </row>
    <row r="345" spans="1:72" x14ac:dyDescent="0.15">
      <c r="A345" t="s">
        <v>72</v>
      </c>
      <c r="B345" t="s">
        <v>6852</v>
      </c>
      <c r="C345" t="s">
        <v>74</v>
      </c>
      <c r="D345" t="s">
        <v>74</v>
      </c>
      <c r="E345" t="s">
        <v>74</v>
      </c>
      <c r="F345" t="s">
        <v>6853</v>
      </c>
      <c r="G345" t="s">
        <v>74</v>
      </c>
      <c r="H345" t="s">
        <v>74</v>
      </c>
      <c r="I345" t="s">
        <v>6854</v>
      </c>
      <c r="J345" t="s">
        <v>353</v>
      </c>
      <c r="K345" t="s">
        <v>74</v>
      </c>
      <c r="L345" t="s">
        <v>74</v>
      </c>
      <c r="M345" t="s">
        <v>78</v>
      </c>
      <c r="N345" t="s">
        <v>99</v>
      </c>
      <c r="O345" t="s">
        <v>74</v>
      </c>
      <c r="P345" t="s">
        <v>74</v>
      </c>
      <c r="Q345" t="s">
        <v>74</v>
      </c>
      <c r="R345" t="s">
        <v>74</v>
      </c>
      <c r="S345" t="s">
        <v>74</v>
      </c>
      <c r="T345" t="s">
        <v>6855</v>
      </c>
      <c r="U345" t="s">
        <v>6856</v>
      </c>
      <c r="V345" t="s">
        <v>6857</v>
      </c>
      <c r="W345" t="s">
        <v>6858</v>
      </c>
      <c r="X345" t="s">
        <v>6859</v>
      </c>
      <c r="Y345" t="s">
        <v>6860</v>
      </c>
      <c r="Z345" t="s">
        <v>6861</v>
      </c>
      <c r="AA345" t="s">
        <v>74</v>
      </c>
      <c r="AB345" t="s">
        <v>6862</v>
      </c>
      <c r="AC345" t="s">
        <v>6863</v>
      </c>
      <c r="AD345" t="s">
        <v>6864</v>
      </c>
      <c r="AE345" t="s">
        <v>6865</v>
      </c>
      <c r="AF345" t="s">
        <v>74</v>
      </c>
      <c r="AG345">
        <v>38</v>
      </c>
      <c r="AH345">
        <v>38</v>
      </c>
      <c r="AI345">
        <v>43</v>
      </c>
      <c r="AJ345">
        <v>0</v>
      </c>
      <c r="AK345">
        <v>16</v>
      </c>
      <c r="AL345" t="s">
        <v>365</v>
      </c>
      <c r="AM345" t="s">
        <v>112</v>
      </c>
      <c r="AN345" t="s">
        <v>366</v>
      </c>
      <c r="AO345" t="s">
        <v>367</v>
      </c>
      <c r="AP345" t="s">
        <v>368</v>
      </c>
      <c r="AQ345" t="s">
        <v>74</v>
      </c>
      <c r="AR345" t="s">
        <v>369</v>
      </c>
      <c r="AS345" t="s">
        <v>370</v>
      </c>
      <c r="AT345" t="s">
        <v>74</v>
      </c>
      <c r="AU345">
        <v>2015</v>
      </c>
      <c r="AV345">
        <v>61</v>
      </c>
      <c r="AW345">
        <v>225</v>
      </c>
      <c r="AX345" t="s">
        <v>74</v>
      </c>
      <c r="AY345" t="s">
        <v>74</v>
      </c>
      <c r="AZ345" t="s">
        <v>74</v>
      </c>
      <c r="BA345" t="s">
        <v>74</v>
      </c>
      <c r="BB345">
        <v>185</v>
      </c>
      <c r="BC345">
        <v>199</v>
      </c>
      <c r="BD345" t="s">
        <v>74</v>
      </c>
      <c r="BE345" t="s">
        <v>6866</v>
      </c>
      <c r="BF345" t="str">
        <f>HYPERLINK("http://dx.doi.org/10.3189/2015JoG14J158","http://dx.doi.org/10.3189/2015JoG14J158")</f>
        <v>http://dx.doi.org/10.3189/2015JoG14J158</v>
      </c>
      <c r="BG345" t="s">
        <v>74</v>
      </c>
      <c r="BH345" t="s">
        <v>74</v>
      </c>
      <c r="BI345">
        <v>15</v>
      </c>
      <c r="BJ345" t="s">
        <v>372</v>
      </c>
      <c r="BK345" t="s">
        <v>91</v>
      </c>
      <c r="BL345" t="s">
        <v>373</v>
      </c>
      <c r="BM345" t="s">
        <v>6850</v>
      </c>
      <c r="BN345" t="s">
        <v>74</v>
      </c>
      <c r="BO345" t="s">
        <v>6867</v>
      </c>
      <c r="BP345" t="s">
        <v>74</v>
      </c>
      <c r="BQ345" t="s">
        <v>74</v>
      </c>
      <c r="BR345" t="s">
        <v>93</v>
      </c>
      <c r="BS345" t="s">
        <v>6868</v>
      </c>
      <c r="BT345" t="str">
        <f>HYPERLINK("https%3A%2F%2Fwww.webofscience.com%2Fwos%2Fwoscc%2Ffull-record%2FWOS:000353100100017","View Full Record in Web of Science")</f>
        <v>View Full Record in Web of Science</v>
      </c>
    </row>
    <row r="346" spans="1:72" x14ac:dyDescent="0.15">
      <c r="A346" t="s">
        <v>72</v>
      </c>
      <c r="B346" t="s">
        <v>6869</v>
      </c>
      <c r="C346" t="s">
        <v>74</v>
      </c>
      <c r="D346" t="s">
        <v>74</v>
      </c>
      <c r="E346" t="s">
        <v>74</v>
      </c>
      <c r="F346" t="s">
        <v>6870</v>
      </c>
      <c r="G346" t="s">
        <v>74</v>
      </c>
      <c r="H346" t="s">
        <v>74</v>
      </c>
      <c r="I346" t="s">
        <v>6871</v>
      </c>
      <c r="J346" t="s">
        <v>353</v>
      </c>
      <c r="K346" t="s">
        <v>74</v>
      </c>
      <c r="L346" t="s">
        <v>74</v>
      </c>
      <c r="M346" t="s">
        <v>78</v>
      </c>
      <c r="N346" t="s">
        <v>99</v>
      </c>
      <c r="O346" t="s">
        <v>74</v>
      </c>
      <c r="P346" t="s">
        <v>74</v>
      </c>
      <c r="Q346" t="s">
        <v>74</v>
      </c>
      <c r="R346" t="s">
        <v>74</v>
      </c>
      <c r="S346" t="s">
        <v>74</v>
      </c>
      <c r="T346" t="s">
        <v>6872</v>
      </c>
      <c r="U346" t="s">
        <v>6873</v>
      </c>
      <c r="V346" t="s">
        <v>6874</v>
      </c>
      <c r="W346" t="s">
        <v>6875</v>
      </c>
      <c r="X346" t="s">
        <v>6876</v>
      </c>
      <c r="Y346" t="s">
        <v>6877</v>
      </c>
      <c r="Z346" t="s">
        <v>6878</v>
      </c>
      <c r="AA346" t="s">
        <v>6879</v>
      </c>
      <c r="AB346" t="s">
        <v>6880</v>
      </c>
      <c r="AC346" t="s">
        <v>6881</v>
      </c>
      <c r="AD346" t="s">
        <v>6882</v>
      </c>
      <c r="AE346" t="s">
        <v>6883</v>
      </c>
      <c r="AF346" t="s">
        <v>74</v>
      </c>
      <c r="AG346">
        <v>38</v>
      </c>
      <c r="AH346">
        <v>108</v>
      </c>
      <c r="AI346">
        <v>117</v>
      </c>
      <c r="AJ346">
        <v>0</v>
      </c>
      <c r="AK346">
        <v>17</v>
      </c>
      <c r="AL346" t="s">
        <v>954</v>
      </c>
      <c r="AM346" t="s">
        <v>112</v>
      </c>
      <c r="AN346" t="s">
        <v>955</v>
      </c>
      <c r="AO346" t="s">
        <v>367</v>
      </c>
      <c r="AP346" t="s">
        <v>368</v>
      </c>
      <c r="AQ346" t="s">
        <v>74</v>
      </c>
      <c r="AR346" t="s">
        <v>369</v>
      </c>
      <c r="AS346" t="s">
        <v>370</v>
      </c>
      <c r="AT346" t="s">
        <v>74</v>
      </c>
      <c r="AU346">
        <v>2015</v>
      </c>
      <c r="AV346">
        <v>61</v>
      </c>
      <c r="AW346">
        <v>226</v>
      </c>
      <c r="AX346" t="s">
        <v>74</v>
      </c>
      <c r="AY346" t="s">
        <v>74</v>
      </c>
      <c r="AZ346" t="s">
        <v>74</v>
      </c>
      <c r="BA346" t="s">
        <v>74</v>
      </c>
      <c r="BB346">
        <v>205</v>
      </c>
      <c r="BC346">
        <v>215</v>
      </c>
      <c r="BD346" t="s">
        <v>74</v>
      </c>
      <c r="BE346" t="s">
        <v>6884</v>
      </c>
      <c r="BF346" t="str">
        <f>HYPERLINK("http://dx.doi.org/10.3189/2015JoG14J221","http://dx.doi.org/10.3189/2015JoG14J221")</f>
        <v>http://dx.doi.org/10.3189/2015JoG14J221</v>
      </c>
      <c r="BG346" t="s">
        <v>74</v>
      </c>
      <c r="BH346" t="s">
        <v>74</v>
      </c>
      <c r="BI346">
        <v>11</v>
      </c>
      <c r="BJ346" t="s">
        <v>372</v>
      </c>
      <c r="BK346" t="s">
        <v>91</v>
      </c>
      <c r="BL346" t="s">
        <v>373</v>
      </c>
      <c r="BM346" t="s">
        <v>957</v>
      </c>
      <c r="BN346" t="s">
        <v>74</v>
      </c>
      <c r="BO346" t="s">
        <v>5030</v>
      </c>
      <c r="BP346" t="s">
        <v>74</v>
      </c>
      <c r="BQ346" t="s">
        <v>74</v>
      </c>
      <c r="BR346" t="s">
        <v>93</v>
      </c>
      <c r="BS346" t="s">
        <v>6885</v>
      </c>
      <c r="BT346" t="str">
        <f>HYPERLINK("https%3A%2F%2Fwww.webofscience.com%2Fwos%2Fwoscc%2Ffull-record%2FWOS:000355778000001","View Full Record in Web of Science")</f>
        <v>View Full Record in Web of Science</v>
      </c>
    </row>
    <row r="347" spans="1:72" x14ac:dyDescent="0.15">
      <c r="A347" t="s">
        <v>72</v>
      </c>
      <c r="B347" t="s">
        <v>6886</v>
      </c>
      <c r="C347" t="s">
        <v>74</v>
      </c>
      <c r="D347" t="s">
        <v>74</v>
      </c>
      <c r="E347" t="s">
        <v>74</v>
      </c>
      <c r="F347" t="s">
        <v>6887</v>
      </c>
      <c r="G347" t="s">
        <v>74</v>
      </c>
      <c r="H347" t="s">
        <v>74</v>
      </c>
      <c r="I347" t="s">
        <v>6888</v>
      </c>
      <c r="J347" t="s">
        <v>353</v>
      </c>
      <c r="K347" t="s">
        <v>74</v>
      </c>
      <c r="L347" t="s">
        <v>74</v>
      </c>
      <c r="M347" t="s">
        <v>78</v>
      </c>
      <c r="N347" t="s">
        <v>99</v>
      </c>
      <c r="O347" t="s">
        <v>74</v>
      </c>
      <c r="P347" t="s">
        <v>74</v>
      </c>
      <c r="Q347" t="s">
        <v>74</v>
      </c>
      <c r="R347" t="s">
        <v>74</v>
      </c>
      <c r="S347" t="s">
        <v>74</v>
      </c>
      <c r="T347" t="s">
        <v>6889</v>
      </c>
      <c r="U347" t="s">
        <v>6890</v>
      </c>
      <c r="V347" t="s">
        <v>6891</v>
      </c>
      <c r="W347" t="s">
        <v>6892</v>
      </c>
      <c r="X347" t="s">
        <v>6893</v>
      </c>
      <c r="Y347" t="s">
        <v>6877</v>
      </c>
      <c r="Z347" t="s">
        <v>6878</v>
      </c>
      <c r="AA347" t="s">
        <v>6894</v>
      </c>
      <c r="AB347" t="s">
        <v>6895</v>
      </c>
      <c r="AC347" t="s">
        <v>6896</v>
      </c>
      <c r="AD347" t="s">
        <v>6897</v>
      </c>
      <c r="AE347" t="s">
        <v>6898</v>
      </c>
      <c r="AF347" t="s">
        <v>74</v>
      </c>
      <c r="AG347">
        <v>30</v>
      </c>
      <c r="AH347">
        <v>25</v>
      </c>
      <c r="AI347">
        <v>27</v>
      </c>
      <c r="AJ347">
        <v>0</v>
      </c>
      <c r="AK347">
        <v>15</v>
      </c>
      <c r="AL347" t="s">
        <v>365</v>
      </c>
      <c r="AM347" t="s">
        <v>112</v>
      </c>
      <c r="AN347" t="s">
        <v>366</v>
      </c>
      <c r="AO347" t="s">
        <v>367</v>
      </c>
      <c r="AP347" t="s">
        <v>368</v>
      </c>
      <c r="AQ347" t="s">
        <v>74</v>
      </c>
      <c r="AR347" t="s">
        <v>369</v>
      </c>
      <c r="AS347" t="s">
        <v>370</v>
      </c>
      <c r="AT347" t="s">
        <v>74</v>
      </c>
      <c r="AU347">
        <v>2015</v>
      </c>
      <c r="AV347">
        <v>61</v>
      </c>
      <c r="AW347">
        <v>226</v>
      </c>
      <c r="AX347" t="s">
        <v>74</v>
      </c>
      <c r="AY347" t="s">
        <v>74</v>
      </c>
      <c r="AZ347" t="s">
        <v>74</v>
      </c>
      <c r="BA347" t="s">
        <v>74</v>
      </c>
      <c r="BB347">
        <v>216</v>
      </c>
      <c r="BC347">
        <v>222</v>
      </c>
      <c r="BD347" t="s">
        <v>74</v>
      </c>
      <c r="BE347" t="s">
        <v>6899</v>
      </c>
      <c r="BF347" t="str">
        <f>HYPERLINK("http://dx.doi.org/10.3189/2015JoG14J152","http://dx.doi.org/10.3189/2015JoG14J152")</f>
        <v>http://dx.doi.org/10.3189/2015JoG14J152</v>
      </c>
      <c r="BG347" t="s">
        <v>74</v>
      </c>
      <c r="BH347" t="s">
        <v>74</v>
      </c>
      <c r="BI347">
        <v>7</v>
      </c>
      <c r="BJ347" t="s">
        <v>372</v>
      </c>
      <c r="BK347" t="s">
        <v>91</v>
      </c>
      <c r="BL347" t="s">
        <v>373</v>
      </c>
      <c r="BM347" t="s">
        <v>957</v>
      </c>
      <c r="BN347" t="s">
        <v>74</v>
      </c>
      <c r="BO347" t="s">
        <v>6900</v>
      </c>
      <c r="BP347" t="s">
        <v>74</v>
      </c>
      <c r="BQ347" t="s">
        <v>74</v>
      </c>
      <c r="BR347" t="s">
        <v>93</v>
      </c>
      <c r="BS347" t="s">
        <v>6901</v>
      </c>
      <c r="BT347" t="str">
        <f>HYPERLINK("https%3A%2F%2Fwww.webofscience.com%2Fwos%2Fwoscc%2Ffull-record%2FWOS:000355778000002","View Full Record in Web of Science")</f>
        <v>View Full Record in Web of Science</v>
      </c>
    </row>
    <row r="348" spans="1:72" x14ac:dyDescent="0.15">
      <c r="A348" t="s">
        <v>72</v>
      </c>
      <c r="B348" t="s">
        <v>6902</v>
      </c>
      <c r="C348" t="s">
        <v>74</v>
      </c>
      <c r="D348" t="s">
        <v>74</v>
      </c>
      <c r="E348" t="s">
        <v>74</v>
      </c>
      <c r="F348" t="s">
        <v>6903</v>
      </c>
      <c r="G348" t="s">
        <v>74</v>
      </c>
      <c r="H348" t="s">
        <v>74</v>
      </c>
      <c r="I348" t="s">
        <v>6904</v>
      </c>
      <c r="J348" t="s">
        <v>353</v>
      </c>
      <c r="K348" t="s">
        <v>74</v>
      </c>
      <c r="L348" t="s">
        <v>74</v>
      </c>
      <c r="M348" t="s">
        <v>78</v>
      </c>
      <c r="N348" t="s">
        <v>99</v>
      </c>
      <c r="O348" t="s">
        <v>74</v>
      </c>
      <c r="P348" t="s">
        <v>74</v>
      </c>
      <c r="Q348" t="s">
        <v>74</v>
      </c>
      <c r="R348" t="s">
        <v>74</v>
      </c>
      <c r="S348" t="s">
        <v>74</v>
      </c>
      <c r="T348" t="s">
        <v>6905</v>
      </c>
      <c r="U348" t="s">
        <v>6906</v>
      </c>
      <c r="V348" t="s">
        <v>6907</v>
      </c>
      <c r="W348" t="s">
        <v>6908</v>
      </c>
      <c r="X348" t="s">
        <v>6909</v>
      </c>
      <c r="Y348" t="s">
        <v>6910</v>
      </c>
      <c r="Z348" t="s">
        <v>6911</v>
      </c>
      <c r="AA348" t="s">
        <v>74</v>
      </c>
      <c r="AB348" t="s">
        <v>6912</v>
      </c>
      <c r="AC348" t="s">
        <v>6913</v>
      </c>
      <c r="AD348" t="s">
        <v>6914</v>
      </c>
      <c r="AE348" t="s">
        <v>6915</v>
      </c>
      <c r="AF348" t="s">
        <v>74</v>
      </c>
      <c r="AG348">
        <v>33</v>
      </c>
      <c r="AH348">
        <v>27</v>
      </c>
      <c r="AI348">
        <v>30</v>
      </c>
      <c r="AJ348">
        <v>1</v>
      </c>
      <c r="AK348">
        <v>6</v>
      </c>
      <c r="AL348" t="s">
        <v>365</v>
      </c>
      <c r="AM348" t="s">
        <v>112</v>
      </c>
      <c r="AN348" t="s">
        <v>366</v>
      </c>
      <c r="AO348" t="s">
        <v>367</v>
      </c>
      <c r="AP348" t="s">
        <v>368</v>
      </c>
      <c r="AQ348" t="s">
        <v>74</v>
      </c>
      <c r="AR348" t="s">
        <v>369</v>
      </c>
      <c r="AS348" t="s">
        <v>370</v>
      </c>
      <c r="AT348" t="s">
        <v>74</v>
      </c>
      <c r="AU348">
        <v>2015</v>
      </c>
      <c r="AV348">
        <v>61</v>
      </c>
      <c r="AW348">
        <v>227</v>
      </c>
      <c r="AX348" t="s">
        <v>74</v>
      </c>
      <c r="AY348" t="s">
        <v>74</v>
      </c>
      <c r="AZ348" t="s">
        <v>74</v>
      </c>
      <c r="BA348" t="s">
        <v>74</v>
      </c>
      <c r="BB348">
        <v>438</v>
      </c>
      <c r="BC348">
        <v>446</v>
      </c>
      <c r="BD348" t="s">
        <v>74</v>
      </c>
      <c r="BE348" t="s">
        <v>6916</v>
      </c>
      <c r="BF348" t="str">
        <f>HYPERLINK("http://dx.doi.org/10.3189/2015JoG14J214","http://dx.doi.org/10.3189/2015JoG14J214")</f>
        <v>http://dx.doi.org/10.3189/2015JoG14J214</v>
      </c>
      <c r="BG348" t="s">
        <v>74</v>
      </c>
      <c r="BH348" t="s">
        <v>74</v>
      </c>
      <c r="BI348">
        <v>9</v>
      </c>
      <c r="BJ348" t="s">
        <v>372</v>
      </c>
      <c r="BK348" t="s">
        <v>91</v>
      </c>
      <c r="BL348" t="s">
        <v>373</v>
      </c>
      <c r="BM348" t="s">
        <v>374</v>
      </c>
      <c r="BN348" t="s">
        <v>74</v>
      </c>
      <c r="BO348" t="s">
        <v>2858</v>
      </c>
      <c r="BP348" t="s">
        <v>74</v>
      </c>
      <c r="BQ348" t="s">
        <v>74</v>
      </c>
      <c r="BR348" t="s">
        <v>93</v>
      </c>
      <c r="BS348" t="s">
        <v>6917</v>
      </c>
      <c r="BT348" t="str">
        <f>HYPERLINK("https%3A%2F%2Fwww.webofscience.com%2Fwos%2Fwoscc%2Ffull-record%2FWOS:000358977400003","View Full Record in Web of Science")</f>
        <v>View Full Record in Web of Science</v>
      </c>
    </row>
    <row r="349" spans="1:72" x14ac:dyDescent="0.15">
      <c r="A349" t="s">
        <v>72</v>
      </c>
      <c r="B349" t="s">
        <v>6918</v>
      </c>
      <c r="C349" t="s">
        <v>74</v>
      </c>
      <c r="D349" t="s">
        <v>74</v>
      </c>
      <c r="E349" t="s">
        <v>74</v>
      </c>
      <c r="F349" t="s">
        <v>6919</v>
      </c>
      <c r="G349" t="s">
        <v>74</v>
      </c>
      <c r="H349" t="s">
        <v>74</v>
      </c>
      <c r="I349" t="s">
        <v>6920</v>
      </c>
      <c r="J349" t="s">
        <v>353</v>
      </c>
      <c r="K349" t="s">
        <v>74</v>
      </c>
      <c r="L349" t="s">
        <v>74</v>
      </c>
      <c r="M349" t="s">
        <v>78</v>
      </c>
      <c r="N349" t="s">
        <v>99</v>
      </c>
      <c r="O349" t="s">
        <v>74</v>
      </c>
      <c r="P349" t="s">
        <v>74</v>
      </c>
      <c r="Q349" t="s">
        <v>74</v>
      </c>
      <c r="R349" t="s">
        <v>74</v>
      </c>
      <c r="S349" t="s">
        <v>74</v>
      </c>
      <c r="T349" t="s">
        <v>6921</v>
      </c>
      <c r="U349" t="s">
        <v>6922</v>
      </c>
      <c r="V349" t="s">
        <v>6923</v>
      </c>
      <c r="W349" t="s">
        <v>6924</v>
      </c>
      <c r="X349" t="s">
        <v>6859</v>
      </c>
      <c r="Y349" t="s">
        <v>6925</v>
      </c>
      <c r="Z349" t="s">
        <v>6861</v>
      </c>
      <c r="AA349" t="s">
        <v>74</v>
      </c>
      <c r="AB349" t="s">
        <v>74</v>
      </c>
      <c r="AC349" t="s">
        <v>6926</v>
      </c>
      <c r="AD349" t="s">
        <v>6927</v>
      </c>
      <c r="AE349" t="s">
        <v>6928</v>
      </c>
      <c r="AF349" t="s">
        <v>74</v>
      </c>
      <c r="AG349">
        <v>55</v>
      </c>
      <c r="AH349">
        <v>18</v>
      </c>
      <c r="AI349">
        <v>18</v>
      </c>
      <c r="AJ349">
        <v>0</v>
      </c>
      <c r="AK349">
        <v>14</v>
      </c>
      <c r="AL349" t="s">
        <v>365</v>
      </c>
      <c r="AM349" t="s">
        <v>112</v>
      </c>
      <c r="AN349" t="s">
        <v>366</v>
      </c>
      <c r="AO349" t="s">
        <v>367</v>
      </c>
      <c r="AP349" t="s">
        <v>368</v>
      </c>
      <c r="AQ349" t="s">
        <v>74</v>
      </c>
      <c r="AR349" t="s">
        <v>369</v>
      </c>
      <c r="AS349" t="s">
        <v>370</v>
      </c>
      <c r="AT349" t="s">
        <v>74</v>
      </c>
      <c r="AU349">
        <v>2015</v>
      </c>
      <c r="AV349">
        <v>61</v>
      </c>
      <c r="AW349">
        <v>227</v>
      </c>
      <c r="AX349" t="s">
        <v>74</v>
      </c>
      <c r="AY349" t="s">
        <v>74</v>
      </c>
      <c r="AZ349" t="s">
        <v>74</v>
      </c>
      <c r="BA349" t="s">
        <v>74</v>
      </c>
      <c r="BB349">
        <v>493</v>
      </c>
      <c r="BC349">
        <v>502</v>
      </c>
      <c r="BD349" t="s">
        <v>74</v>
      </c>
      <c r="BE349" t="s">
        <v>6929</v>
      </c>
      <c r="BF349" t="str">
        <f>HYPERLINK("http://dx.doi.org/10.3189/2015JoG14J208","http://dx.doi.org/10.3189/2015JoG14J208")</f>
        <v>http://dx.doi.org/10.3189/2015JoG14J208</v>
      </c>
      <c r="BG349" t="s">
        <v>74</v>
      </c>
      <c r="BH349" t="s">
        <v>74</v>
      </c>
      <c r="BI349">
        <v>10</v>
      </c>
      <c r="BJ349" t="s">
        <v>372</v>
      </c>
      <c r="BK349" t="s">
        <v>91</v>
      </c>
      <c r="BL349" t="s">
        <v>373</v>
      </c>
      <c r="BM349" t="s">
        <v>374</v>
      </c>
      <c r="BN349" t="s">
        <v>74</v>
      </c>
      <c r="BO349" t="s">
        <v>6930</v>
      </c>
      <c r="BP349" t="s">
        <v>74</v>
      </c>
      <c r="BQ349" t="s">
        <v>74</v>
      </c>
      <c r="BR349" t="s">
        <v>93</v>
      </c>
      <c r="BS349" t="s">
        <v>6931</v>
      </c>
      <c r="BT349" t="str">
        <f>HYPERLINK("https%3A%2F%2Fwww.webofscience.com%2Fwos%2Fwoscc%2Ffull-record%2FWOS:000358977400007","View Full Record in Web of Science")</f>
        <v>View Full Record in Web of Science</v>
      </c>
    </row>
    <row r="350" spans="1:72" x14ac:dyDescent="0.15">
      <c r="A350" t="s">
        <v>72</v>
      </c>
      <c r="B350" t="s">
        <v>6932</v>
      </c>
      <c r="C350" t="s">
        <v>74</v>
      </c>
      <c r="D350" t="s">
        <v>74</v>
      </c>
      <c r="E350" t="s">
        <v>74</v>
      </c>
      <c r="F350" t="s">
        <v>6933</v>
      </c>
      <c r="G350" t="s">
        <v>74</v>
      </c>
      <c r="H350" t="s">
        <v>74</v>
      </c>
      <c r="I350" t="s">
        <v>6934</v>
      </c>
      <c r="J350" t="s">
        <v>353</v>
      </c>
      <c r="K350" t="s">
        <v>74</v>
      </c>
      <c r="L350" t="s">
        <v>74</v>
      </c>
      <c r="M350" t="s">
        <v>78</v>
      </c>
      <c r="N350" t="s">
        <v>99</v>
      </c>
      <c r="O350" t="s">
        <v>74</v>
      </c>
      <c r="P350" t="s">
        <v>74</v>
      </c>
      <c r="Q350" t="s">
        <v>74</v>
      </c>
      <c r="R350" t="s">
        <v>74</v>
      </c>
      <c r="S350" t="s">
        <v>74</v>
      </c>
      <c r="T350" t="s">
        <v>6935</v>
      </c>
      <c r="U350" t="s">
        <v>6936</v>
      </c>
      <c r="V350" t="s">
        <v>6937</v>
      </c>
      <c r="W350" t="s">
        <v>6938</v>
      </c>
      <c r="X350" t="s">
        <v>6939</v>
      </c>
      <c r="Y350" t="s">
        <v>6940</v>
      </c>
      <c r="Z350" t="s">
        <v>6941</v>
      </c>
      <c r="AA350" t="s">
        <v>6942</v>
      </c>
      <c r="AB350" t="s">
        <v>6943</v>
      </c>
      <c r="AC350" t="s">
        <v>6944</v>
      </c>
      <c r="AD350" t="s">
        <v>6945</v>
      </c>
      <c r="AE350" t="s">
        <v>6946</v>
      </c>
      <c r="AF350" t="s">
        <v>74</v>
      </c>
      <c r="AG350">
        <v>28</v>
      </c>
      <c r="AH350">
        <v>71</v>
      </c>
      <c r="AI350">
        <v>80</v>
      </c>
      <c r="AJ350">
        <v>0</v>
      </c>
      <c r="AK350">
        <v>17</v>
      </c>
      <c r="AL350" t="s">
        <v>365</v>
      </c>
      <c r="AM350" t="s">
        <v>112</v>
      </c>
      <c r="AN350" t="s">
        <v>366</v>
      </c>
      <c r="AO350" t="s">
        <v>367</v>
      </c>
      <c r="AP350" t="s">
        <v>368</v>
      </c>
      <c r="AQ350" t="s">
        <v>74</v>
      </c>
      <c r="AR350" t="s">
        <v>369</v>
      </c>
      <c r="AS350" t="s">
        <v>370</v>
      </c>
      <c r="AT350" t="s">
        <v>74</v>
      </c>
      <c r="AU350">
        <v>2015</v>
      </c>
      <c r="AV350">
        <v>61</v>
      </c>
      <c r="AW350">
        <v>229</v>
      </c>
      <c r="AX350" t="s">
        <v>74</v>
      </c>
      <c r="AY350" t="s">
        <v>74</v>
      </c>
      <c r="AZ350" t="s">
        <v>74</v>
      </c>
      <c r="BA350" t="s">
        <v>74</v>
      </c>
      <c r="BB350">
        <v>825</v>
      </c>
      <c r="BC350">
        <v>836</v>
      </c>
      <c r="BD350" t="s">
        <v>74</v>
      </c>
      <c r="BE350" t="s">
        <v>6947</v>
      </c>
      <c r="BF350" t="str">
        <f>HYPERLINK("http://dx.doi.org/10.3189/2015JoG14J235","http://dx.doi.org/10.3189/2015JoG14J235")</f>
        <v>http://dx.doi.org/10.3189/2015JoG14J235</v>
      </c>
      <c r="BG350" t="s">
        <v>74</v>
      </c>
      <c r="BH350" t="s">
        <v>74</v>
      </c>
      <c r="BI350">
        <v>12</v>
      </c>
      <c r="BJ350" t="s">
        <v>372</v>
      </c>
      <c r="BK350" t="s">
        <v>91</v>
      </c>
      <c r="BL350" t="s">
        <v>373</v>
      </c>
      <c r="BM350" t="s">
        <v>6948</v>
      </c>
      <c r="BN350" t="s">
        <v>74</v>
      </c>
      <c r="BO350" t="s">
        <v>6867</v>
      </c>
      <c r="BP350" t="s">
        <v>74</v>
      </c>
      <c r="BQ350" t="s">
        <v>74</v>
      </c>
      <c r="BR350" t="s">
        <v>93</v>
      </c>
      <c r="BS350" t="s">
        <v>6949</v>
      </c>
      <c r="BT350" t="str">
        <f>HYPERLINK("https%3A%2F%2Fwww.webofscience.com%2Fwos%2Fwoscc%2Ffull-record%2FWOS:000366345000002","View Full Record in Web of Science")</f>
        <v>View Full Record in Web of Science</v>
      </c>
    </row>
    <row r="351" spans="1:72" x14ac:dyDescent="0.15">
      <c r="A351" t="s">
        <v>72</v>
      </c>
      <c r="B351" t="s">
        <v>6950</v>
      </c>
      <c r="C351" t="s">
        <v>74</v>
      </c>
      <c r="D351" t="s">
        <v>74</v>
      </c>
      <c r="E351" t="s">
        <v>74</v>
      </c>
      <c r="F351" t="s">
        <v>6951</v>
      </c>
      <c r="G351" t="s">
        <v>74</v>
      </c>
      <c r="H351" t="s">
        <v>74</v>
      </c>
      <c r="I351" t="s">
        <v>6952</v>
      </c>
      <c r="J351" t="s">
        <v>353</v>
      </c>
      <c r="K351" t="s">
        <v>74</v>
      </c>
      <c r="L351" t="s">
        <v>74</v>
      </c>
      <c r="M351" t="s">
        <v>78</v>
      </c>
      <c r="N351" t="s">
        <v>99</v>
      </c>
      <c r="O351" t="s">
        <v>74</v>
      </c>
      <c r="P351" t="s">
        <v>74</v>
      </c>
      <c r="Q351" t="s">
        <v>74</v>
      </c>
      <c r="R351" t="s">
        <v>74</v>
      </c>
      <c r="S351" t="s">
        <v>74</v>
      </c>
      <c r="T351" t="s">
        <v>6953</v>
      </c>
      <c r="U351" t="s">
        <v>6954</v>
      </c>
      <c r="V351" t="s">
        <v>6955</v>
      </c>
      <c r="W351" t="s">
        <v>6956</v>
      </c>
      <c r="X351" t="s">
        <v>1211</v>
      </c>
      <c r="Y351" t="s">
        <v>6957</v>
      </c>
      <c r="Z351" t="s">
        <v>6958</v>
      </c>
      <c r="AA351" t="s">
        <v>6959</v>
      </c>
      <c r="AB351" t="s">
        <v>6960</v>
      </c>
      <c r="AC351" t="s">
        <v>6961</v>
      </c>
      <c r="AD351" t="s">
        <v>6962</v>
      </c>
      <c r="AE351" t="s">
        <v>6963</v>
      </c>
      <c r="AF351" t="s">
        <v>74</v>
      </c>
      <c r="AG351">
        <v>40</v>
      </c>
      <c r="AH351">
        <v>5</v>
      </c>
      <c r="AI351">
        <v>5</v>
      </c>
      <c r="AJ351">
        <v>2</v>
      </c>
      <c r="AK351">
        <v>12</v>
      </c>
      <c r="AL351" t="s">
        <v>365</v>
      </c>
      <c r="AM351" t="s">
        <v>112</v>
      </c>
      <c r="AN351" t="s">
        <v>366</v>
      </c>
      <c r="AO351" t="s">
        <v>367</v>
      </c>
      <c r="AP351" t="s">
        <v>368</v>
      </c>
      <c r="AQ351" t="s">
        <v>74</v>
      </c>
      <c r="AR351" t="s">
        <v>369</v>
      </c>
      <c r="AS351" t="s">
        <v>370</v>
      </c>
      <c r="AT351" t="s">
        <v>74</v>
      </c>
      <c r="AU351">
        <v>2015</v>
      </c>
      <c r="AV351">
        <v>61</v>
      </c>
      <c r="AW351">
        <v>229</v>
      </c>
      <c r="AX351" t="s">
        <v>74</v>
      </c>
      <c r="AY351" t="s">
        <v>74</v>
      </c>
      <c r="AZ351" t="s">
        <v>74</v>
      </c>
      <c r="BA351" t="s">
        <v>74</v>
      </c>
      <c r="BB351">
        <v>923</v>
      </c>
      <c r="BC351">
        <v>930</v>
      </c>
      <c r="BD351" t="s">
        <v>74</v>
      </c>
      <c r="BE351" t="s">
        <v>6964</v>
      </c>
      <c r="BF351" t="str">
        <f>HYPERLINK("http://dx.doi.org/10.3189/2015JoG15J009","http://dx.doi.org/10.3189/2015JoG15J009")</f>
        <v>http://dx.doi.org/10.3189/2015JoG15J009</v>
      </c>
      <c r="BG351" t="s">
        <v>74</v>
      </c>
      <c r="BH351" t="s">
        <v>74</v>
      </c>
      <c r="BI351">
        <v>8</v>
      </c>
      <c r="BJ351" t="s">
        <v>372</v>
      </c>
      <c r="BK351" t="s">
        <v>91</v>
      </c>
      <c r="BL351" t="s">
        <v>373</v>
      </c>
      <c r="BM351" t="s">
        <v>6948</v>
      </c>
      <c r="BN351" t="s">
        <v>74</v>
      </c>
      <c r="BO351" t="s">
        <v>1904</v>
      </c>
      <c r="BP351" t="s">
        <v>74</v>
      </c>
      <c r="BQ351" t="s">
        <v>74</v>
      </c>
      <c r="BR351" t="s">
        <v>93</v>
      </c>
      <c r="BS351" t="s">
        <v>6965</v>
      </c>
      <c r="BT351" t="str">
        <f>HYPERLINK("https%3A%2F%2Fwww.webofscience.com%2Fwos%2Fwoscc%2Ffull-record%2FWOS:000366345000009","View Full Record in Web of Science")</f>
        <v>View Full Record in Web of Science</v>
      </c>
    </row>
    <row r="352" spans="1:72" x14ac:dyDescent="0.15">
      <c r="A352" t="s">
        <v>72</v>
      </c>
      <c r="B352" t="s">
        <v>6966</v>
      </c>
      <c r="C352" t="s">
        <v>74</v>
      </c>
      <c r="D352" t="s">
        <v>74</v>
      </c>
      <c r="E352" t="s">
        <v>74</v>
      </c>
      <c r="F352" t="s">
        <v>6967</v>
      </c>
      <c r="G352" t="s">
        <v>74</v>
      </c>
      <c r="H352" t="s">
        <v>74</v>
      </c>
      <c r="I352" t="s">
        <v>6968</v>
      </c>
      <c r="J352" t="s">
        <v>353</v>
      </c>
      <c r="K352" t="s">
        <v>74</v>
      </c>
      <c r="L352" t="s">
        <v>74</v>
      </c>
      <c r="M352" t="s">
        <v>78</v>
      </c>
      <c r="N352" t="s">
        <v>99</v>
      </c>
      <c r="O352" t="s">
        <v>74</v>
      </c>
      <c r="P352" t="s">
        <v>74</v>
      </c>
      <c r="Q352" t="s">
        <v>74</v>
      </c>
      <c r="R352" t="s">
        <v>74</v>
      </c>
      <c r="S352" t="s">
        <v>74</v>
      </c>
      <c r="T352" t="s">
        <v>6969</v>
      </c>
      <c r="U352" t="s">
        <v>6970</v>
      </c>
      <c r="V352" t="s">
        <v>6971</v>
      </c>
      <c r="W352" t="s">
        <v>6972</v>
      </c>
      <c r="X352" t="s">
        <v>4616</v>
      </c>
      <c r="Y352" t="s">
        <v>6973</v>
      </c>
      <c r="Z352" t="s">
        <v>6974</v>
      </c>
      <c r="AA352" t="s">
        <v>74</v>
      </c>
      <c r="AB352" t="s">
        <v>74</v>
      </c>
      <c r="AC352" t="s">
        <v>6975</v>
      </c>
      <c r="AD352" t="s">
        <v>6262</v>
      </c>
      <c r="AE352" t="s">
        <v>6976</v>
      </c>
      <c r="AF352" t="s">
        <v>74</v>
      </c>
      <c r="AG352">
        <v>33</v>
      </c>
      <c r="AH352">
        <v>12</v>
      </c>
      <c r="AI352">
        <v>13</v>
      </c>
      <c r="AJ352">
        <v>0</v>
      </c>
      <c r="AK352">
        <v>12</v>
      </c>
      <c r="AL352" t="s">
        <v>365</v>
      </c>
      <c r="AM352" t="s">
        <v>112</v>
      </c>
      <c r="AN352" t="s">
        <v>366</v>
      </c>
      <c r="AO352" t="s">
        <v>367</v>
      </c>
      <c r="AP352" t="s">
        <v>368</v>
      </c>
      <c r="AQ352" t="s">
        <v>74</v>
      </c>
      <c r="AR352" t="s">
        <v>369</v>
      </c>
      <c r="AS352" t="s">
        <v>370</v>
      </c>
      <c r="AT352" t="s">
        <v>74</v>
      </c>
      <c r="AU352">
        <v>2015</v>
      </c>
      <c r="AV352">
        <v>61</v>
      </c>
      <c r="AW352">
        <v>229</v>
      </c>
      <c r="AX352" t="s">
        <v>74</v>
      </c>
      <c r="AY352" t="s">
        <v>74</v>
      </c>
      <c r="AZ352" t="s">
        <v>74</v>
      </c>
      <c r="BA352" t="s">
        <v>74</v>
      </c>
      <c r="BB352">
        <v>947</v>
      </c>
      <c r="BC352">
        <v>962</v>
      </c>
      <c r="BD352" t="s">
        <v>74</v>
      </c>
      <c r="BE352" t="s">
        <v>6977</v>
      </c>
      <c r="BF352" t="str">
        <f>HYPERLINK("http://dx.doi.org/10.3189/2015JoG15J050","http://dx.doi.org/10.3189/2015JoG15J050")</f>
        <v>http://dx.doi.org/10.3189/2015JoG15J050</v>
      </c>
      <c r="BG352" t="s">
        <v>74</v>
      </c>
      <c r="BH352" t="s">
        <v>74</v>
      </c>
      <c r="BI352">
        <v>16</v>
      </c>
      <c r="BJ352" t="s">
        <v>372</v>
      </c>
      <c r="BK352" t="s">
        <v>91</v>
      </c>
      <c r="BL352" t="s">
        <v>373</v>
      </c>
      <c r="BM352" t="s">
        <v>6948</v>
      </c>
      <c r="BN352" t="s">
        <v>74</v>
      </c>
      <c r="BO352" t="s">
        <v>991</v>
      </c>
      <c r="BP352" t="s">
        <v>74</v>
      </c>
      <c r="BQ352" t="s">
        <v>74</v>
      </c>
      <c r="BR352" t="s">
        <v>93</v>
      </c>
      <c r="BS352" t="s">
        <v>6978</v>
      </c>
      <c r="BT352" t="str">
        <f>HYPERLINK("https%3A%2F%2Fwww.webofscience.com%2Fwos%2Fwoscc%2Ffull-record%2FWOS:000366345000011","View Full Record in Web of Science")</f>
        <v>View Full Record in Web of Science</v>
      </c>
    </row>
    <row r="353" spans="1:72" x14ac:dyDescent="0.15">
      <c r="A353" t="s">
        <v>72</v>
      </c>
      <c r="B353" t="s">
        <v>6979</v>
      </c>
      <c r="C353" t="s">
        <v>74</v>
      </c>
      <c r="D353" t="s">
        <v>74</v>
      </c>
      <c r="E353" t="s">
        <v>74</v>
      </c>
      <c r="F353" t="s">
        <v>6980</v>
      </c>
      <c r="G353" t="s">
        <v>74</v>
      </c>
      <c r="H353" t="s">
        <v>74</v>
      </c>
      <c r="I353" t="s">
        <v>6981</v>
      </c>
      <c r="J353" t="s">
        <v>353</v>
      </c>
      <c r="K353" t="s">
        <v>74</v>
      </c>
      <c r="L353" t="s">
        <v>74</v>
      </c>
      <c r="M353" t="s">
        <v>78</v>
      </c>
      <c r="N353" t="s">
        <v>99</v>
      </c>
      <c r="O353" t="s">
        <v>74</v>
      </c>
      <c r="P353" t="s">
        <v>74</v>
      </c>
      <c r="Q353" t="s">
        <v>74</v>
      </c>
      <c r="R353" t="s">
        <v>74</v>
      </c>
      <c r="S353" t="s">
        <v>74</v>
      </c>
      <c r="T353" t="s">
        <v>6982</v>
      </c>
      <c r="U353" t="s">
        <v>6983</v>
      </c>
      <c r="V353" t="s">
        <v>6984</v>
      </c>
      <c r="W353" t="s">
        <v>6985</v>
      </c>
      <c r="X353" t="s">
        <v>6986</v>
      </c>
      <c r="Y353" t="s">
        <v>6987</v>
      </c>
      <c r="Z353" t="s">
        <v>6988</v>
      </c>
      <c r="AA353" t="s">
        <v>6989</v>
      </c>
      <c r="AB353" t="s">
        <v>6990</v>
      </c>
      <c r="AC353" t="s">
        <v>6991</v>
      </c>
      <c r="AD353" t="s">
        <v>5345</v>
      </c>
      <c r="AE353" t="s">
        <v>6992</v>
      </c>
      <c r="AF353" t="s">
        <v>74</v>
      </c>
      <c r="AG353">
        <v>25</v>
      </c>
      <c r="AH353">
        <v>69</v>
      </c>
      <c r="AI353">
        <v>78</v>
      </c>
      <c r="AJ353">
        <v>2</v>
      </c>
      <c r="AK353">
        <v>22</v>
      </c>
      <c r="AL353" t="s">
        <v>365</v>
      </c>
      <c r="AM353" t="s">
        <v>112</v>
      </c>
      <c r="AN353" t="s">
        <v>366</v>
      </c>
      <c r="AO353" t="s">
        <v>367</v>
      </c>
      <c r="AP353" t="s">
        <v>368</v>
      </c>
      <c r="AQ353" t="s">
        <v>74</v>
      </c>
      <c r="AR353" t="s">
        <v>369</v>
      </c>
      <c r="AS353" t="s">
        <v>370</v>
      </c>
      <c r="AT353" t="s">
        <v>74</v>
      </c>
      <c r="AU353">
        <v>2015</v>
      </c>
      <c r="AV353">
        <v>61</v>
      </c>
      <c r="AW353">
        <v>230</v>
      </c>
      <c r="AX353" t="s">
        <v>74</v>
      </c>
      <c r="AY353" t="s">
        <v>74</v>
      </c>
      <c r="AZ353" t="s">
        <v>74</v>
      </c>
      <c r="BA353" t="s">
        <v>74</v>
      </c>
      <c r="BB353">
        <v>1079</v>
      </c>
      <c r="BC353">
        <v>1087</v>
      </c>
      <c r="BD353" t="s">
        <v>74</v>
      </c>
      <c r="BE353" t="s">
        <v>6993</v>
      </c>
      <c r="BF353" t="str">
        <f>HYPERLINK("http://dx.doi.org/10.3189/2015JoG15J073","http://dx.doi.org/10.3189/2015JoG15J073")</f>
        <v>http://dx.doi.org/10.3189/2015JoG15J073</v>
      </c>
      <c r="BG353" t="s">
        <v>74</v>
      </c>
      <c r="BH353" t="s">
        <v>74</v>
      </c>
      <c r="BI353">
        <v>9</v>
      </c>
      <c r="BJ353" t="s">
        <v>372</v>
      </c>
      <c r="BK353" t="s">
        <v>91</v>
      </c>
      <c r="BL353" t="s">
        <v>373</v>
      </c>
      <c r="BM353" t="s">
        <v>6994</v>
      </c>
      <c r="BN353" t="s">
        <v>74</v>
      </c>
      <c r="BO353" t="s">
        <v>6758</v>
      </c>
      <c r="BP353" t="s">
        <v>74</v>
      </c>
      <c r="BQ353" t="s">
        <v>74</v>
      </c>
      <c r="BR353" t="s">
        <v>93</v>
      </c>
      <c r="BS353" t="s">
        <v>6995</v>
      </c>
      <c r="BT353" t="str">
        <f>HYPERLINK("https%3A%2F%2Fwww.webofscience.com%2Fwos%2Fwoscc%2Ffull-record%2FWOS:000371653600005","View Full Record in Web of Science")</f>
        <v>View Full Record in Web of Science</v>
      </c>
    </row>
    <row r="354" spans="1:72" x14ac:dyDescent="0.15">
      <c r="A354" t="s">
        <v>72</v>
      </c>
      <c r="B354" t="s">
        <v>6996</v>
      </c>
      <c r="C354" t="s">
        <v>74</v>
      </c>
      <c r="D354" t="s">
        <v>74</v>
      </c>
      <c r="E354" t="s">
        <v>74</v>
      </c>
      <c r="F354" t="s">
        <v>6997</v>
      </c>
      <c r="G354" t="s">
        <v>74</v>
      </c>
      <c r="H354" t="s">
        <v>74</v>
      </c>
      <c r="I354" t="s">
        <v>6998</v>
      </c>
      <c r="J354" t="s">
        <v>353</v>
      </c>
      <c r="K354" t="s">
        <v>74</v>
      </c>
      <c r="L354" t="s">
        <v>74</v>
      </c>
      <c r="M354" t="s">
        <v>78</v>
      </c>
      <c r="N354" t="s">
        <v>99</v>
      </c>
      <c r="O354" t="s">
        <v>74</v>
      </c>
      <c r="P354" t="s">
        <v>74</v>
      </c>
      <c r="Q354" t="s">
        <v>74</v>
      </c>
      <c r="R354" t="s">
        <v>74</v>
      </c>
      <c r="S354" t="s">
        <v>74</v>
      </c>
      <c r="T354" t="s">
        <v>6999</v>
      </c>
      <c r="U354" t="s">
        <v>7000</v>
      </c>
      <c r="V354" t="s">
        <v>7001</v>
      </c>
      <c r="W354" t="s">
        <v>7002</v>
      </c>
      <c r="X354" t="s">
        <v>7003</v>
      </c>
      <c r="Y354" t="s">
        <v>7004</v>
      </c>
      <c r="Z354" t="s">
        <v>7005</v>
      </c>
      <c r="AA354" t="s">
        <v>7006</v>
      </c>
      <c r="AB354" t="s">
        <v>7007</v>
      </c>
      <c r="AC354" t="s">
        <v>7008</v>
      </c>
      <c r="AD354" t="s">
        <v>6262</v>
      </c>
      <c r="AE354" t="s">
        <v>7009</v>
      </c>
      <c r="AF354" t="s">
        <v>74</v>
      </c>
      <c r="AG354">
        <v>87</v>
      </c>
      <c r="AH354">
        <v>53</v>
      </c>
      <c r="AI354">
        <v>59</v>
      </c>
      <c r="AJ354">
        <v>1</v>
      </c>
      <c r="AK354">
        <v>42</v>
      </c>
      <c r="AL354" t="s">
        <v>365</v>
      </c>
      <c r="AM354" t="s">
        <v>112</v>
      </c>
      <c r="AN354" t="s">
        <v>366</v>
      </c>
      <c r="AO354" t="s">
        <v>367</v>
      </c>
      <c r="AP354" t="s">
        <v>368</v>
      </c>
      <c r="AQ354" t="s">
        <v>74</v>
      </c>
      <c r="AR354" t="s">
        <v>369</v>
      </c>
      <c r="AS354" t="s">
        <v>370</v>
      </c>
      <c r="AT354" t="s">
        <v>74</v>
      </c>
      <c r="AU354">
        <v>2015</v>
      </c>
      <c r="AV354">
        <v>61</v>
      </c>
      <c r="AW354">
        <v>230</v>
      </c>
      <c r="AX354" t="s">
        <v>74</v>
      </c>
      <c r="AY354" t="s">
        <v>74</v>
      </c>
      <c r="AZ354" t="s">
        <v>74</v>
      </c>
      <c r="BA354" t="s">
        <v>74</v>
      </c>
      <c r="BB354">
        <v>1088</v>
      </c>
      <c r="BC354">
        <v>1102</v>
      </c>
      <c r="BD354" t="s">
        <v>74</v>
      </c>
      <c r="BE354" t="s">
        <v>7010</v>
      </c>
      <c r="BF354" t="str">
        <f>HYPERLINK("http://dx.doi.org/10.3189/2015JoG15J086","http://dx.doi.org/10.3189/2015JoG15J086")</f>
        <v>http://dx.doi.org/10.3189/2015JoG15J086</v>
      </c>
      <c r="BG354" t="s">
        <v>74</v>
      </c>
      <c r="BH354" t="s">
        <v>74</v>
      </c>
      <c r="BI354">
        <v>15</v>
      </c>
      <c r="BJ354" t="s">
        <v>372</v>
      </c>
      <c r="BK354" t="s">
        <v>91</v>
      </c>
      <c r="BL354" t="s">
        <v>373</v>
      </c>
      <c r="BM354" t="s">
        <v>6994</v>
      </c>
      <c r="BN354" t="s">
        <v>74</v>
      </c>
      <c r="BO354" t="s">
        <v>7011</v>
      </c>
      <c r="BP354" t="s">
        <v>74</v>
      </c>
      <c r="BQ354" t="s">
        <v>74</v>
      </c>
      <c r="BR354" t="s">
        <v>93</v>
      </c>
      <c r="BS354" t="s">
        <v>7012</v>
      </c>
      <c r="BT354" t="str">
        <f>HYPERLINK("https%3A%2F%2Fwww.webofscience.com%2Fwos%2Fwoscc%2Ffull-record%2FWOS:000371653600006","View Full Record in Web of Science")</f>
        <v>View Full Record in Web of Science</v>
      </c>
    </row>
    <row r="355" spans="1:72" x14ac:dyDescent="0.15">
      <c r="A355" t="s">
        <v>72</v>
      </c>
      <c r="B355" t="s">
        <v>7013</v>
      </c>
      <c r="C355" t="s">
        <v>74</v>
      </c>
      <c r="D355" t="s">
        <v>74</v>
      </c>
      <c r="E355" t="s">
        <v>74</v>
      </c>
      <c r="F355" t="s">
        <v>7014</v>
      </c>
      <c r="G355" t="s">
        <v>74</v>
      </c>
      <c r="H355" t="s">
        <v>74</v>
      </c>
      <c r="I355" t="s">
        <v>7015</v>
      </c>
      <c r="J355" t="s">
        <v>353</v>
      </c>
      <c r="K355" t="s">
        <v>74</v>
      </c>
      <c r="L355" t="s">
        <v>74</v>
      </c>
      <c r="M355" t="s">
        <v>78</v>
      </c>
      <c r="N355" t="s">
        <v>99</v>
      </c>
      <c r="O355" t="s">
        <v>74</v>
      </c>
      <c r="P355" t="s">
        <v>74</v>
      </c>
      <c r="Q355" t="s">
        <v>74</v>
      </c>
      <c r="R355" t="s">
        <v>74</v>
      </c>
      <c r="S355" t="s">
        <v>74</v>
      </c>
      <c r="T355" t="s">
        <v>7016</v>
      </c>
      <c r="U355" t="s">
        <v>7017</v>
      </c>
      <c r="V355" t="s">
        <v>7018</v>
      </c>
      <c r="W355" t="s">
        <v>7019</v>
      </c>
      <c r="X355" t="s">
        <v>6728</v>
      </c>
      <c r="Y355" t="s">
        <v>7020</v>
      </c>
      <c r="Z355" t="s">
        <v>7021</v>
      </c>
      <c r="AA355" t="s">
        <v>7022</v>
      </c>
      <c r="AB355" t="s">
        <v>7023</v>
      </c>
      <c r="AC355" t="s">
        <v>7024</v>
      </c>
      <c r="AD355" t="s">
        <v>7025</v>
      </c>
      <c r="AE355" t="s">
        <v>7026</v>
      </c>
      <c r="AF355" t="s">
        <v>74</v>
      </c>
      <c r="AG355">
        <v>19</v>
      </c>
      <c r="AH355">
        <v>8</v>
      </c>
      <c r="AI355">
        <v>8</v>
      </c>
      <c r="AJ355">
        <v>0</v>
      </c>
      <c r="AK355">
        <v>11</v>
      </c>
      <c r="AL355" t="s">
        <v>954</v>
      </c>
      <c r="AM355" t="s">
        <v>112</v>
      </c>
      <c r="AN355" t="s">
        <v>955</v>
      </c>
      <c r="AO355" t="s">
        <v>367</v>
      </c>
      <c r="AP355" t="s">
        <v>368</v>
      </c>
      <c r="AQ355" t="s">
        <v>74</v>
      </c>
      <c r="AR355" t="s">
        <v>369</v>
      </c>
      <c r="AS355" t="s">
        <v>370</v>
      </c>
      <c r="AT355" t="s">
        <v>74</v>
      </c>
      <c r="AU355">
        <v>2015</v>
      </c>
      <c r="AV355">
        <v>61</v>
      </c>
      <c r="AW355">
        <v>230</v>
      </c>
      <c r="AX355" t="s">
        <v>74</v>
      </c>
      <c r="AY355" t="s">
        <v>74</v>
      </c>
      <c r="AZ355" t="s">
        <v>74</v>
      </c>
      <c r="BA355" t="s">
        <v>74</v>
      </c>
      <c r="BB355">
        <v>1194</v>
      </c>
      <c r="BC355">
        <v>1206</v>
      </c>
      <c r="BD355" t="s">
        <v>74</v>
      </c>
      <c r="BE355" t="s">
        <v>7027</v>
      </c>
      <c r="BF355" t="str">
        <f>HYPERLINK("http://dx.doi.org/10.3189/2015JoG15J116","http://dx.doi.org/10.3189/2015JoG15J116")</f>
        <v>http://dx.doi.org/10.3189/2015JoG15J116</v>
      </c>
      <c r="BG355" t="s">
        <v>74</v>
      </c>
      <c r="BH355" t="s">
        <v>74</v>
      </c>
      <c r="BI355">
        <v>13</v>
      </c>
      <c r="BJ355" t="s">
        <v>372</v>
      </c>
      <c r="BK355" t="s">
        <v>91</v>
      </c>
      <c r="BL355" t="s">
        <v>373</v>
      </c>
      <c r="BM355" t="s">
        <v>6994</v>
      </c>
      <c r="BN355" t="s">
        <v>74</v>
      </c>
      <c r="BO355" t="s">
        <v>5030</v>
      </c>
      <c r="BP355" t="s">
        <v>74</v>
      </c>
      <c r="BQ355" t="s">
        <v>74</v>
      </c>
      <c r="BR355" t="s">
        <v>93</v>
      </c>
      <c r="BS355" t="s">
        <v>7028</v>
      </c>
      <c r="BT355" t="str">
        <f>HYPERLINK("https%3A%2F%2Fwww.webofscience.com%2Fwos%2Fwoscc%2Ffull-record%2FWOS:000371653600015","View Full Record in Web of Science")</f>
        <v>View Full Record in Web of Science</v>
      </c>
    </row>
    <row r="356" spans="1:72" x14ac:dyDescent="0.15">
      <c r="A356" t="s">
        <v>72</v>
      </c>
      <c r="B356" t="s">
        <v>7029</v>
      </c>
      <c r="C356" t="s">
        <v>74</v>
      </c>
      <c r="D356" t="s">
        <v>74</v>
      </c>
      <c r="E356" t="s">
        <v>74</v>
      </c>
      <c r="F356" t="s">
        <v>7030</v>
      </c>
      <c r="G356" t="s">
        <v>74</v>
      </c>
      <c r="H356" t="s">
        <v>74</v>
      </c>
      <c r="I356" t="s">
        <v>7031</v>
      </c>
      <c r="J356" t="s">
        <v>7032</v>
      </c>
      <c r="K356" t="s">
        <v>74</v>
      </c>
      <c r="L356" t="s">
        <v>74</v>
      </c>
      <c r="M356" t="s">
        <v>78</v>
      </c>
      <c r="N356" t="s">
        <v>99</v>
      </c>
      <c r="O356" t="s">
        <v>74</v>
      </c>
      <c r="P356" t="s">
        <v>74</v>
      </c>
      <c r="Q356" t="s">
        <v>74</v>
      </c>
      <c r="R356" t="s">
        <v>74</v>
      </c>
      <c r="S356" t="s">
        <v>74</v>
      </c>
      <c r="T356" t="s">
        <v>7033</v>
      </c>
      <c r="U356" t="s">
        <v>7034</v>
      </c>
      <c r="V356" t="s">
        <v>7035</v>
      </c>
      <c r="W356" t="s">
        <v>7036</v>
      </c>
      <c r="X356" t="s">
        <v>7037</v>
      </c>
      <c r="Y356" t="s">
        <v>7038</v>
      </c>
      <c r="Z356" t="s">
        <v>7039</v>
      </c>
      <c r="AA356" t="s">
        <v>7040</v>
      </c>
      <c r="AB356" t="s">
        <v>7041</v>
      </c>
      <c r="AC356" t="s">
        <v>7042</v>
      </c>
      <c r="AD356" t="s">
        <v>4292</v>
      </c>
      <c r="AE356" t="s">
        <v>7043</v>
      </c>
      <c r="AF356" t="s">
        <v>74</v>
      </c>
      <c r="AG356">
        <v>157</v>
      </c>
      <c r="AH356">
        <v>75</v>
      </c>
      <c r="AI356">
        <v>83</v>
      </c>
      <c r="AJ356">
        <v>1</v>
      </c>
      <c r="AK356">
        <v>26</v>
      </c>
      <c r="AL356" t="s">
        <v>82</v>
      </c>
      <c r="AM356" t="s">
        <v>83</v>
      </c>
      <c r="AN356" t="s">
        <v>150</v>
      </c>
      <c r="AO356" t="s">
        <v>7044</v>
      </c>
      <c r="AP356" t="s">
        <v>74</v>
      </c>
      <c r="AQ356" t="s">
        <v>74</v>
      </c>
      <c r="AR356" t="s">
        <v>7045</v>
      </c>
      <c r="AS356" t="s">
        <v>7046</v>
      </c>
      <c r="AT356" t="s">
        <v>74</v>
      </c>
      <c r="AU356">
        <v>2015</v>
      </c>
      <c r="AV356">
        <v>11</v>
      </c>
      <c r="AW356">
        <v>3</v>
      </c>
      <c r="AX356" t="s">
        <v>74</v>
      </c>
      <c r="AY356" t="s">
        <v>74</v>
      </c>
      <c r="AZ356" t="s">
        <v>74</v>
      </c>
      <c r="BA356" t="s">
        <v>74</v>
      </c>
      <c r="BB356">
        <v>380</v>
      </c>
      <c r="BC356">
        <v>395</v>
      </c>
      <c r="BD356" t="s">
        <v>74</v>
      </c>
      <c r="BE356" t="s">
        <v>7047</v>
      </c>
      <c r="BF356" t="str">
        <f>HYPERLINK("http://dx.doi.org/10.1080/17445647.2014.912036","http://dx.doi.org/10.1080/17445647.2014.912036")</f>
        <v>http://dx.doi.org/10.1080/17445647.2014.912036</v>
      </c>
      <c r="BG356" t="s">
        <v>74</v>
      </c>
      <c r="BH356" t="s">
        <v>74</v>
      </c>
      <c r="BI356">
        <v>16</v>
      </c>
      <c r="BJ356" t="s">
        <v>7048</v>
      </c>
      <c r="BK356" t="s">
        <v>157</v>
      </c>
      <c r="BL356" t="s">
        <v>7049</v>
      </c>
      <c r="BM356" t="s">
        <v>7050</v>
      </c>
      <c r="BN356" t="s">
        <v>74</v>
      </c>
      <c r="BO356" t="s">
        <v>7051</v>
      </c>
      <c r="BP356" t="s">
        <v>74</v>
      </c>
      <c r="BQ356" t="s">
        <v>74</v>
      </c>
      <c r="BR356" t="s">
        <v>93</v>
      </c>
      <c r="BS356" t="s">
        <v>7052</v>
      </c>
      <c r="BT356" t="str">
        <f>HYPERLINK("https%3A%2F%2Fwww.webofscience.com%2Fwos%2Fwoscc%2Ffull-record%2FWOS:000349988600002","View Full Record in Web of Science")</f>
        <v>View Full Record in Web of Science</v>
      </c>
    </row>
    <row r="357" spans="1:72" x14ac:dyDescent="0.15">
      <c r="A357" t="s">
        <v>72</v>
      </c>
      <c r="B357" t="s">
        <v>7053</v>
      </c>
      <c r="C357" t="s">
        <v>74</v>
      </c>
      <c r="D357" t="s">
        <v>74</v>
      </c>
      <c r="E357" t="s">
        <v>74</v>
      </c>
      <c r="F357" t="s">
        <v>7054</v>
      </c>
      <c r="G357" t="s">
        <v>74</v>
      </c>
      <c r="H357" t="s">
        <v>74</v>
      </c>
      <c r="I357" t="s">
        <v>7055</v>
      </c>
      <c r="J357" t="s">
        <v>2840</v>
      </c>
      <c r="K357" t="s">
        <v>74</v>
      </c>
      <c r="L357" t="s">
        <v>74</v>
      </c>
      <c r="M357" t="s">
        <v>78</v>
      </c>
      <c r="N357" t="s">
        <v>99</v>
      </c>
      <c r="O357" t="s">
        <v>74</v>
      </c>
      <c r="P357" t="s">
        <v>74</v>
      </c>
      <c r="Q357" t="s">
        <v>74</v>
      </c>
      <c r="R357" t="s">
        <v>74</v>
      </c>
      <c r="S357" t="s">
        <v>74</v>
      </c>
      <c r="T357" t="s">
        <v>74</v>
      </c>
      <c r="U357" t="s">
        <v>7056</v>
      </c>
      <c r="V357" t="s">
        <v>7057</v>
      </c>
      <c r="W357" t="s">
        <v>7058</v>
      </c>
      <c r="X357" t="s">
        <v>7059</v>
      </c>
      <c r="Y357" t="s">
        <v>7060</v>
      </c>
      <c r="Z357" t="s">
        <v>7061</v>
      </c>
      <c r="AA357" t="s">
        <v>74</v>
      </c>
      <c r="AB357" t="s">
        <v>74</v>
      </c>
      <c r="AC357" t="s">
        <v>7062</v>
      </c>
      <c r="AD357" t="s">
        <v>7063</v>
      </c>
      <c r="AE357" t="s">
        <v>7064</v>
      </c>
      <c r="AF357" t="s">
        <v>74</v>
      </c>
      <c r="AG357">
        <v>46</v>
      </c>
      <c r="AH357">
        <v>270</v>
      </c>
      <c r="AI357">
        <v>284</v>
      </c>
      <c r="AJ357">
        <v>16</v>
      </c>
      <c r="AK357">
        <v>198</v>
      </c>
      <c r="AL357" t="s">
        <v>1563</v>
      </c>
      <c r="AM357" t="s">
        <v>1564</v>
      </c>
      <c r="AN357" t="s">
        <v>1565</v>
      </c>
      <c r="AO357" t="s">
        <v>2852</v>
      </c>
      <c r="AP357" t="s">
        <v>2853</v>
      </c>
      <c r="AQ357" t="s">
        <v>74</v>
      </c>
      <c r="AR357" t="s">
        <v>2854</v>
      </c>
      <c r="AS357" t="s">
        <v>2855</v>
      </c>
      <c r="AT357" t="s">
        <v>200</v>
      </c>
      <c r="AU357">
        <v>2015</v>
      </c>
      <c r="AV357">
        <v>45</v>
      </c>
      <c r="AW357">
        <v>1</v>
      </c>
      <c r="AX357" t="s">
        <v>74</v>
      </c>
      <c r="AY357" t="s">
        <v>74</v>
      </c>
      <c r="AZ357" t="s">
        <v>74</v>
      </c>
      <c r="BA357" t="s">
        <v>74</v>
      </c>
      <c r="BB357">
        <v>104</v>
      </c>
      <c r="BC357">
        <v>132</v>
      </c>
      <c r="BD357" t="s">
        <v>74</v>
      </c>
      <c r="BE357" t="s">
        <v>7065</v>
      </c>
      <c r="BF357" t="str">
        <f>HYPERLINK("http://dx.doi.org/10.1175/JPO-D-14-0032.1","http://dx.doi.org/10.1175/JPO-D-14-0032.1")</f>
        <v>http://dx.doi.org/10.1175/JPO-D-14-0032.1</v>
      </c>
      <c r="BG357" t="s">
        <v>74</v>
      </c>
      <c r="BH357" t="s">
        <v>74</v>
      </c>
      <c r="BI357">
        <v>29</v>
      </c>
      <c r="BJ357" t="s">
        <v>2054</v>
      </c>
      <c r="BK357" t="s">
        <v>91</v>
      </c>
      <c r="BL357" t="s">
        <v>2054</v>
      </c>
      <c r="BM357" t="s">
        <v>2857</v>
      </c>
      <c r="BN357" t="s">
        <v>74</v>
      </c>
      <c r="BO357" t="s">
        <v>2858</v>
      </c>
      <c r="BP357" t="s">
        <v>5654</v>
      </c>
      <c r="BQ357" t="s">
        <v>5655</v>
      </c>
      <c r="BR357" t="s">
        <v>93</v>
      </c>
      <c r="BS357" t="s">
        <v>7066</v>
      </c>
      <c r="BT357" t="str">
        <f>HYPERLINK("https%3A%2F%2Fwww.webofscience.com%2Fwos%2Fwoscc%2Ffull-record%2FWOS:000347535800005","View Full Record in Web of Science")</f>
        <v>View Full Record in Web of Science</v>
      </c>
    </row>
    <row r="358" spans="1:72" x14ac:dyDescent="0.15">
      <c r="A358" t="s">
        <v>72</v>
      </c>
      <c r="B358" t="s">
        <v>7067</v>
      </c>
      <c r="C358" t="s">
        <v>74</v>
      </c>
      <c r="D358" t="s">
        <v>74</v>
      </c>
      <c r="E358" t="s">
        <v>74</v>
      </c>
      <c r="F358" t="s">
        <v>7068</v>
      </c>
      <c r="G358" t="s">
        <v>74</v>
      </c>
      <c r="H358" t="s">
        <v>74</v>
      </c>
      <c r="I358" t="s">
        <v>7069</v>
      </c>
      <c r="J358" t="s">
        <v>2840</v>
      </c>
      <c r="K358" t="s">
        <v>74</v>
      </c>
      <c r="L358" t="s">
        <v>74</v>
      </c>
      <c r="M358" t="s">
        <v>78</v>
      </c>
      <c r="N358" t="s">
        <v>99</v>
      </c>
      <c r="O358" t="s">
        <v>74</v>
      </c>
      <c r="P358" t="s">
        <v>74</v>
      </c>
      <c r="Q358" t="s">
        <v>74</v>
      </c>
      <c r="R358" t="s">
        <v>74</v>
      </c>
      <c r="S358" t="s">
        <v>74</v>
      </c>
      <c r="T358" t="s">
        <v>74</v>
      </c>
      <c r="U358" t="s">
        <v>7070</v>
      </c>
      <c r="V358" t="s">
        <v>7071</v>
      </c>
      <c r="W358" t="s">
        <v>7072</v>
      </c>
      <c r="X358" t="s">
        <v>4616</v>
      </c>
      <c r="Y358" t="s">
        <v>7073</v>
      </c>
      <c r="Z358" t="s">
        <v>7074</v>
      </c>
      <c r="AA358" t="s">
        <v>7075</v>
      </c>
      <c r="AB358" t="s">
        <v>7076</v>
      </c>
      <c r="AC358" t="s">
        <v>7077</v>
      </c>
      <c r="AD358" t="s">
        <v>7078</v>
      </c>
      <c r="AE358" t="s">
        <v>7079</v>
      </c>
      <c r="AF358" t="s">
        <v>74</v>
      </c>
      <c r="AG358">
        <v>88</v>
      </c>
      <c r="AH358">
        <v>32</v>
      </c>
      <c r="AI358">
        <v>34</v>
      </c>
      <c r="AJ358">
        <v>0</v>
      </c>
      <c r="AK358">
        <v>22</v>
      </c>
      <c r="AL358" t="s">
        <v>1563</v>
      </c>
      <c r="AM358" t="s">
        <v>1564</v>
      </c>
      <c r="AN358" t="s">
        <v>1565</v>
      </c>
      <c r="AO358" t="s">
        <v>2852</v>
      </c>
      <c r="AP358" t="s">
        <v>2853</v>
      </c>
      <c r="AQ358" t="s">
        <v>74</v>
      </c>
      <c r="AR358" t="s">
        <v>2854</v>
      </c>
      <c r="AS358" t="s">
        <v>2855</v>
      </c>
      <c r="AT358" t="s">
        <v>200</v>
      </c>
      <c r="AU358">
        <v>2015</v>
      </c>
      <c r="AV358">
        <v>45</v>
      </c>
      <c r="AW358">
        <v>1</v>
      </c>
      <c r="AX358" t="s">
        <v>74</v>
      </c>
      <c r="AY358" t="s">
        <v>74</v>
      </c>
      <c r="AZ358" t="s">
        <v>74</v>
      </c>
      <c r="BA358" t="s">
        <v>74</v>
      </c>
      <c r="BB358">
        <v>133</v>
      </c>
      <c r="BC358">
        <v>148</v>
      </c>
      <c r="BD358" t="s">
        <v>74</v>
      </c>
      <c r="BE358" t="s">
        <v>7080</v>
      </c>
      <c r="BF358" t="str">
        <f>HYPERLINK("http://dx.doi.org/10.1175/JPO-D-14-0106.1","http://dx.doi.org/10.1175/JPO-D-14-0106.1")</f>
        <v>http://dx.doi.org/10.1175/JPO-D-14-0106.1</v>
      </c>
      <c r="BG358" t="s">
        <v>74</v>
      </c>
      <c r="BH358" t="s">
        <v>74</v>
      </c>
      <c r="BI358">
        <v>16</v>
      </c>
      <c r="BJ358" t="s">
        <v>2054</v>
      </c>
      <c r="BK358" t="s">
        <v>91</v>
      </c>
      <c r="BL358" t="s">
        <v>2054</v>
      </c>
      <c r="BM358" t="s">
        <v>2857</v>
      </c>
      <c r="BN358" t="s">
        <v>74</v>
      </c>
      <c r="BO358" t="s">
        <v>6900</v>
      </c>
      <c r="BP358" t="s">
        <v>74</v>
      </c>
      <c r="BQ358" t="s">
        <v>74</v>
      </c>
      <c r="BR358" t="s">
        <v>93</v>
      </c>
      <c r="BS358" t="s">
        <v>7081</v>
      </c>
      <c r="BT358" t="str">
        <f>HYPERLINK("https%3A%2F%2Fwww.webofscience.com%2Fwos%2Fwoscc%2Ffull-record%2FWOS:000347535800006","View Full Record in Web of Science")</f>
        <v>View Full Record in Web of Science</v>
      </c>
    </row>
    <row r="359" spans="1:72" x14ac:dyDescent="0.15">
      <c r="A359" t="s">
        <v>72</v>
      </c>
      <c r="B359" t="s">
        <v>7082</v>
      </c>
      <c r="C359" t="s">
        <v>74</v>
      </c>
      <c r="D359" t="s">
        <v>74</v>
      </c>
      <c r="E359" t="s">
        <v>74</v>
      </c>
      <c r="F359" t="s">
        <v>7083</v>
      </c>
      <c r="G359" t="s">
        <v>74</v>
      </c>
      <c r="H359" t="s">
        <v>74</v>
      </c>
      <c r="I359" t="s">
        <v>7084</v>
      </c>
      <c r="J359" t="s">
        <v>2840</v>
      </c>
      <c r="K359" t="s">
        <v>74</v>
      </c>
      <c r="L359" t="s">
        <v>74</v>
      </c>
      <c r="M359" t="s">
        <v>78</v>
      </c>
      <c r="N359" t="s">
        <v>99</v>
      </c>
      <c r="O359" t="s">
        <v>74</v>
      </c>
      <c r="P359" t="s">
        <v>74</v>
      </c>
      <c r="Q359" t="s">
        <v>74</v>
      </c>
      <c r="R359" t="s">
        <v>74</v>
      </c>
      <c r="S359" t="s">
        <v>74</v>
      </c>
      <c r="T359" t="s">
        <v>74</v>
      </c>
      <c r="U359" t="s">
        <v>7085</v>
      </c>
      <c r="V359" t="s">
        <v>7086</v>
      </c>
      <c r="W359" t="s">
        <v>7087</v>
      </c>
      <c r="X359" t="s">
        <v>7088</v>
      </c>
      <c r="Y359" t="s">
        <v>7089</v>
      </c>
      <c r="Z359" t="s">
        <v>7090</v>
      </c>
      <c r="AA359" t="s">
        <v>7091</v>
      </c>
      <c r="AB359" t="s">
        <v>7092</v>
      </c>
      <c r="AC359" t="s">
        <v>7093</v>
      </c>
      <c r="AD359" t="s">
        <v>7094</v>
      </c>
      <c r="AE359" t="s">
        <v>7095</v>
      </c>
      <c r="AF359" t="s">
        <v>74</v>
      </c>
      <c r="AG359">
        <v>19</v>
      </c>
      <c r="AH359">
        <v>25</v>
      </c>
      <c r="AI359">
        <v>28</v>
      </c>
      <c r="AJ359">
        <v>0</v>
      </c>
      <c r="AK359">
        <v>6</v>
      </c>
      <c r="AL359" t="s">
        <v>1563</v>
      </c>
      <c r="AM359" t="s">
        <v>1564</v>
      </c>
      <c r="AN359" t="s">
        <v>1565</v>
      </c>
      <c r="AO359" t="s">
        <v>2852</v>
      </c>
      <c r="AP359" t="s">
        <v>2853</v>
      </c>
      <c r="AQ359" t="s">
        <v>74</v>
      </c>
      <c r="AR359" t="s">
        <v>2854</v>
      </c>
      <c r="AS359" t="s">
        <v>2855</v>
      </c>
      <c r="AT359" t="s">
        <v>200</v>
      </c>
      <c r="AU359">
        <v>2015</v>
      </c>
      <c r="AV359">
        <v>45</v>
      </c>
      <c r="AW359">
        <v>1</v>
      </c>
      <c r="AX359" t="s">
        <v>74</v>
      </c>
      <c r="AY359" t="s">
        <v>74</v>
      </c>
      <c r="AZ359" t="s">
        <v>74</v>
      </c>
      <c r="BA359" t="s">
        <v>74</v>
      </c>
      <c r="BB359">
        <v>259</v>
      </c>
      <c r="BC359">
        <v>271</v>
      </c>
      <c r="BD359" t="s">
        <v>74</v>
      </c>
      <c r="BE359" t="s">
        <v>7096</v>
      </c>
      <c r="BF359" t="str">
        <f>HYPERLINK("http://dx.doi.org/10.1175/JPO-D-14-0098.1","http://dx.doi.org/10.1175/JPO-D-14-0098.1")</f>
        <v>http://dx.doi.org/10.1175/JPO-D-14-0098.1</v>
      </c>
      <c r="BG359" t="s">
        <v>74</v>
      </c>
      <c r="BH359" t="s">
        <v>74</v>
      </c>
      <c r="BI359">
        <v>13</v>
      </c>
      <c r="BJ359" t="s">
        <v>2054</v>
      </c>
      <c r="BK359" t="s">
        <v>91</v>
      </c>
      <c r="BL359" t="s">
        <v>2054</v>
      </c>
      <c r="BM359" t="s">
        <v>2857</v>
      </c>
      <c r="BN359" t="s">
        <v>74</v>
      </c>
      <c r="BO359" t="s">
        <v>1904</v>
      </c>
      <c r="BP359" t="s">
        <v>74</v>
      </c>
      <c r="BQ359" t="s">
        <v>74</v>
      </c>
      <c r="BR359" t="s">
        <v>93</v>
      </c>
      <c r="BS359" t="s">
        <v>7097</v>
      </c>
      <c r="BT359" t="str">
        <f>HYPERLINK("https%3A%2F%2Fwww.webofscience.com%2Fwos%2Fwoscc%2Ffull-record%2FWOS:000347535800014","View Full Record in Web of Science")</f>
        <v>View Full Record in Web of Science</v>
      </c>
    </row>
    <row r="360" spans="1:72" x14ac:dyDescent="0.15">
      <c r="A360" t="s">
        <v>72</v>
      </c>
      <c r="B360" t="s">
        <v>7098</v>
      </c>
      <c r="C360" t="s">
        <v>74</v>
      </c>
      <c r="D360" t="s">
        <v>74</v>
      </c>
      <c r="E360" t="s">
        <v>74</v>
      </c>
      <c r="F360" t="s">
        <v>7099</v>
      </c>
      <c r="G360" t="s">
        <v>74</v>
      </c>
      <c r="H360" t="s">
        <v>74</v>
      </c>
      <c r="I360" t="s">
        <v>7100</v>
      </c>
      <c r="J360" t="s">
        <v>2571</v>
      </c>
      <c r="K360" t="s">
        <v>74</v>
      </c>
      <c r="L360" t="s">
        <v>74</v>
      </c>
      <c r="M360" t="s">
        <v>78</v>
      </c>
      <c r="N360" t="s">
        <v>99</v>
      </c>
      <c r="O360" t="s">
        <v>74</v>
      </c>
      <c r="P360" t="s">
        <v>74</v>
      </c>
      <c r="Q360" t="s">
        <v>74</v>
      </c>
      <c r="R360" t="s">
        <v>74</v>
      </c>
      <c r="S360" t="s">
        <v>74</v>
      </c>
      <c r="T360" t="s">
        <v>74</v>
      </c>
      <c r="U360" t="s">
        <v>7101</v>
      </c>
      <c r="V360" t="s">
        <v>7102</v>
      </c>
      <c r="W360" t="s">
        <v>7103</v>
      </c>
      <c r="X360" t="s">
        <v>7104</v>
      </c>
      <c r="Y360" t="s">
        <v>7105</v>
      </c>
      <c r="Z360" t="s">
        <v>7106</v>
      </c>
      <c r="AA360" t="s">
        <v>74</v>
      </c>
      <c r="AB360" t="s">
        <v>7107</v>
      </c>
      <c r="AC360" t="s">
        <v>7108</v>
      </c>
      <c r="AD360" t="s">
        <v>7109</v>
      </c>
      <c r="AE360" t="s">
        <v>7110</v>
      </c>
      <c r="AF360" t="s">
        <v>74</v>
      </c>
      <c r="AG360">
        <v>21</v>
      </c>
      <c r="AH360">
        <v>4</v>
      </c>
      <c r="AI360">
        <v>4</v>
      </c>
      <c r="AJ360">
        <v>0</v>
      </c>
      <c r="AK360">
        <v>28</v>
      </c>
      <c r="AL360" t="s">
        <v>2583</v>
      </c>
      <c r="AM360" t="s">
        <v>2584</v>
      </c>
      <c r="AN360" t="s">
        <v>2585</v>
      </c>
      <c r="AO360" t="s">
        <v>2586</v>
      </c>
      <c r="AP360" t="s">
        <v>2587</v>
      </c>
      <c r="AQ360" t="s">
        <v>74</v>
      </c>
      <c r="AR360" t="s">
        <v>2588</v>
      </c>
      <c r="AS360" t="s">
        <v>2589</v>
      </c>
      <c r="AT360" t="s">
        <v>200</v>
      </c>
      <c r="AU360">
        <v>2015</v>
      </c>
      <c r="AV360">
        <v>137</v>
      </c>
      <c r="AW360">
        <v>1</v>
      </c>
      <c r="AX360" t="s">
        <v>74</v>
      </c>
      <c r="AY360" t="s">
        <v>74</v>
      </c>
      <c r="AZ360" t="s">
        <v>74</v>
      </c>
      <c r="BA360" t="s">
        <v>74</v>
      </c>
      <c r="BB360" t="s">
        <v>7111</v>
      </c>
      <c r="BC360" t="s">
        <v>7112</v>
      </c>
      <c r="BD360" t="s">
        <v>74</v>
      </c>
      <c r="BE360" t="s">
        <v>7113</v>
      </c>
      <c r="BF360" t="str">
        <f>HYPERLINK("http://dx.doi.org/10.1121/1.4902421","http://dx.doi.org/10.1121/1.4902421")</f>
        <v>http://dx.doi.org/10.1121/1.4902421</v>
      </c>
      <c r="BG360" t="s">
        <v>74</v>
      </c>
      <c r="BH360" t="s">
        <v>74</v>
      </c>
      <c r="BI360">
        <v>7</v>
      </c>
      <c r="BJ360" t="s">
        <v>2591</v>
      </c>
      <c r="BK360" t="s">
        <v>91</v>
      </c>
      <c r="BL360" t="s">
        <v>2591</v>
      </c>
      <c r="BM360" t="s">
        <v>2592</v>
      </c>
      <c r="BN360">
        <v>25618096</v>
      </c>
      <c r="BO360" t="s">
        <v>7114</v>
      </c>
      <c r="BP360" t="s">
        <v>74</v>
      </c>
      <c r="BQ360" t="s">
        <v>74</v>
      </c>
      <c r="BR360" t="s">
        <v>93</v>
      </c>
      <c r="BS360" t="s">
        <v>7115</v>
      </c>
      <c r="BT360" t="str">
        <f>HYPERLINK("https%3A%2F%2Fwww.webofscience.com%2Fwos%2Fwoscc%2Ffull-record%2FWOS:000348369000006","View Full Record in Web of Science")</f>
        <v>View Full Record in Web of Science</v>
      </c>
    </row>
    <row r="361" spans="1:72" x14ac:dyDescent="0.15">
      <c r="A361" t="s">
        <v>72</v>
      </c>
      <c r="B361" t="s">
        <v>7116</v>
      </c>
      <c r="C361" t="s">
        <v>74</v>
      </c>
      <c r="D361" t="s">
        <v>74</v>
      </c>
      <c r="E361" t="s">
        <v>74</v>
      </c>
      <c r="F361" t="s">
        <v>7117</v>
      </c>
      <c r="G361" t="s">
        <v>74</v>
      </c>
      <c r="H361" t="s">
        <v>74</v>
      </c>
      <c r="I361" t="s">
        <v>7118</v>
      </c>
      <c r="J361" t="s">
        <v>7119</v>
      </c>
      <c r="K361" t="s">
        <v>74</v>
      </c>
      <c r="L361" t="s">
        <v>74</v>
      </c>
      <c r="M361" t="s">
        <v>78</v>
      </c>
      <c r="N361" t="s">
        <v>99</v>
      </c>
      <c r="O361" t="s">
        <v>74</v>
      </c>
      <c r="P361" t="s">
        <v>74</v>
      </c>
      <c r="Q361" t="s">
        <v>74</v>
      </c>
      <c r="R361" t="s">
        <v>74</v>
      </c>
      <c r="S361" t="s">
        <v>74</v>
      </c>
      <c r="T361" t="s">
        <v>7120</v>
      </c>
      <c r="U361" t="s">
        <v>7121</v>
      </c>
      <c r="V361" t="s">
        <v>7122</v>
      </c>
      <c r="W361" t="s">
        <v>7123</v>
      </c>
      <c r="X361" t="s">
        <v>7124</v>
      </c>
      <c r="Y361" t="s">
        <v>7125</v>
      </c>
      <c r="Z361" t="s">
        <v>7126</v>
      </c>
      <c r="AA361" t="s">
        <v>74</v>
      </c>
      <c r="AB361" t="s">
        <v>7127</v>
      </c>
      <c r="AC361" t="s">
        <v>7128</v>
      </c>
      <c r="AD361" t="s">
        <v>7129</v>
      </c>
      <c r="AE361" t="s">
        <v>7130</v>
      </c>
      <c r="AF361" t="s">
        <v>74</v>
      </c>
      <c r="AG361">
        <v>47</v>
      </c>
      <c r="AH361">
        <v>5</v>
      </c>
      <c r="AI361">
        <v>5</v>
      </c>
      <c r="AJ361">
        <v>7</v>
      </c>
      <c r="AK361">
        <v>56</v>
      </c>
      <c r="AL361" t="s">
        <v>7131</v>
      </c>
      <c r="AM361" t="s">
        <v>219</v>
      </c>
      <c r="AN361" t="s">
        <v>7132</v>
      </c>
      <c r="AO361" t="s">
        <v>7133</v>
      </c>
      <c r="AP361" t="s">
        <v>74</v>
      </c>
      <c r="AQ361" t="s">
        <v>74</v>
      </c>
      <c r="AR361" t="s">
        <v>7134</v>
      </c>
      <c r="AS361" t="s">
        <v>7135</v>
      </c>
      <c r="AT361" t="s">
        <v>74</v>
      </c>
      <c r="AU361">
        <v>2015</v>
      </c>
      <c r="AV361">
        <v>6</v>
      </c>
      <c r="AW361">
        <v>2</v>
      </c>
      <c r="AX361" t="s">
        <v>74</v>
      </c>
      <c r="AY361" t="s">
        <v>74</v>
      </c>
      <c r="AZ361" t="s">
        <v>74</v>
      </c>
      <c r="BA361" t="s">
        <v>74</v>
      </c>
      <c r="BB361">
        <v>191</v>
      </c>
      <c r="BC361">
        <v>199</v>
      </c>
      <c r="BD361" t="s">
        <v>74</v>
      </c>
      <c r="BE361" t="s">
        <v>7136</v>
      </c>
      <c r="BF361" t="str">
        <f>HYPERLINK("http://dx.doi.org/10.2166/wcc.2014.136","http://dx.doi.org/10.2166/wcc.2014.136")</f>
        <v>http://dx.doi.org/10.2166/wcc.2014.136</v>
      </c>
      <c r="BG361" t="s">
        <v>74</v>
      </c>
      <c r="BH361" t="s">
        <v>74</v>
      </c>
      <c r="BI361">
        <v>9</v>
      </c>
      <c r="BJ361" t="s">
        <v>7137</v>
      </c>
      <c r="BK361" t="s">
        <v>91</v>
      </c>
      <c r="BL361" t="s">
        <v>7137</v>
      </c>
      <c r="BM361" t="s">
        <v>7138</v>
      </c>
      <c r="BN361" t="s">
        <v>74</v>
      </c>
      <c r="BO361" t="s">
        <v>74</v>
      </c>
      <c r="BP361" t="s">
        <v>74</v>
      </c>
      <c r="BQ361" t="s">
        <v>74</v>
      </c>
      <c r="BR361" t="s">
        <v>93</v>
      </c>
      <c r="BS361" t="s">
        <v>7139</v>
      </c>
      <c r="BT361" t="str">
        <f>HYPERLINK("https%3A%2F%2Fwww.webofscience.com%2Fwos%2Fwoscc%2Ffull-record%2FWOS:000355569100002","View Full Record in Web of Science")</f>
        <v>View Full Record in Web of Science</v>
      </c>
    </row>
    <row r="362" spans="1:72" x14ac:dyDescent="0.15">
      <c r="A362" t="s">
        <v>72</v>
      </c>
      <c r="B362" t="s">
        <v>7140</v>
      </c>
      <c r="C362" t="s">
        <v>74</v>
      </c>
      <c r="D362" t="s">
        <v>74</v>
      </c>
      <c r="E362" t="s">
        <v>74</v>
      </c>
      <c r="F362" t="s">
        <v>7141</v>
      </c>
      <c r="G362" t="s">
        <v>74</v>
      </c>
      <c r="H362" t="s">
        <v>74</v>
      </c>
      <c r="I362" t="s">
        <v>7142</v>
      </c>
      <c r="J362" t="s">
        <v>7143</v>
      </c>
      <c r="K362" t="s">
        <v>74</v>
      </c>
      <c r="L362" t="s">
        <v>74</v>
      </c>
      <c r="M362" t="s">
        <v>78</v>
      </c>
      <c r="N362" t="s">
        <v>99</v>
      </c>
      <c r="O362" t="s">
        <v>74</v>
      </c>
      <c r="P362" t="s">
        <v>74</v>
      </c>
      <c r="Q362" t="s">
        <v>74</v>
      </c>
      <c r="R362" t="s">
        <v>74</v>
      </c>
      <c r="S362" t="s">
        <v>74</v>
      </c>
      <c r="T362" t="s">
        <v>7144</v>
      </c>
      <c r="U362" t="s">
        <v>7145</v>
      </c>
      <c r="V362" t="s">
        <v>7146</v>
      </c>
      <c r="W362" t="s">
        <v>7147</v>
      </c>
      <c r="X362" t="s">
        <v>7148</v>
      </c>
      <c r="Y362" t="s">
        <v>7149</v>
      </c>
      <c r="Z362" t="s">
        <v>7150</v>
      </c>
      <c r="AA362" t="s">
        <v>7151</v>
      </c>
      <c r="AB362" t="s">
        <v>7152</v>
      </c>
      <c r="AC362" t="s">
        <v>7153</v>
      </c>
      <c r="AD362" t="s">
        <v>7154</v>
      </c>
      <c r="AE362" t="s">
        <v>7155</v>
      </c>
      <c r="AF362" t="s">
        <v>74</v>
      </c>
      <c r="AG362">
        <v>63</v>
      </c>
      <c r="AH362">
        <v>16</v>
      </c>
      <c r="AI362">
        <v>16</v>
      </c>
      <c r="AJ362">
        <v>0</v>
      </c>
      <c r="AK362">
        <v>26</v>
      </c>
      <c r="AL362" t="s">
        <v>1061</v>
      </c>
      <c r="AM362" t="s">
        <v>1062</v>
      </c>
      <c r="AN362" t="s">
        <v>1063</v>
      </c>
      <c r="AO362" t="s">
        <v>7156</v>
      </c>
      <c r="AP362" t="s">
        <v>7157</v>
      </c>
      <c r="AQ362" t="s">
        <v>74</v>
      </c>
      <c r="AR362" t="s">
        <v>7158</v>
      </c>
      <c r="AS362" t="s">
        <v>7159</v>
      </c>
      <c r="AT362" t="s">
        <v>74</v>
      </c>
      <c r="AU362">
        <v>2015</v>
      </c>
      <c r="AV362">
        <v>66</v>
      </c>
      <c r="AW362">
        <v>11</v>
      </c>
      <c r="AX362" t="s">
        <v>74</v>
      </c>
      <c r="AY362" t="s">
        <v>74</v>
      </c>
      <c r="AZ362" t="s">
        <v>74</v>
      </c>
      <c r="BA362" t="s">
        <v>74</v>
      </c>
      <c r="BB362">
        <v>999</v>
      </c>
      <c r="BC362">
        <v>1008</v>
      </c>
      <c r="BD362" t="s">
        <v>74</v>
      </c>
      <c r="BE362" t="s">
        <v>7160</v>
      </c>
      <c r="BF362" t="str">
        <f>HYPERLINK("http://dx.doi.org/10.1071/MF14126","http://dx.doi.org/10.1071/MF14126")</f>
        <v>http://dx.doi.org/10.1071/MF14126</v>
      </c>
      <c r="BG362" t="s">
        <v>74</v>
      </c>
      <c r="BH362" t="s">
        <v>74</v>
      </c>
      <c r="BI362">
        <v>10</v>
      </c>
      <c r="BJ362" t="s">
        <v>7161</v>
      </c>
      <c r="BK362" t="s">
        <v>91</v>
      </c>
      <c r="BL362" t="s">
        <v>1926</v>
      </c>
      <c r="BM362" t="s">
        <v>7162</v>
      </c>
      <c r="BN362" t="s">
        <v>74</v>
      </c>
      <c r="BO362" t="s">
        <v>74</v>
      </c>
      <c r="BP362" t="s">
        <v>74</v>
      </c>
      <c r="BQ362" t="s">
        <v>74</v>
      </c>
      <c r="BR362" t="s">
        <v>93</v>
      </c>
      <c r="BS362" t="s">
        <v>7163</v>
      </c>
      <c r="BT362" t="str">
        <f>HYPERLINK("https%3A%2F%2Fwww.webofscience.com%2Fwos%2Fwoscc%2Ffull-record%2FWOS:000365192000006","View Full Record in Web of Science")</f>
        <v>View Full Record in Web of Science</v>
      </c>
    </row>
    <row r="363" spans="1:72" x14ac:dyDescent="0.15">
      <c r="A363" t="s">
        <v>1395</v>
      </c>
      <c r="B363" t="s">
        <v>7164</v>
      </c>
      <c r="C363" t="s">
        <v>74</v>
      </c>
      <c r="D363" t="s">
        <v>7165</v>
      </c>
      <c r="E363" t="s">
        <v>74</v>
      </c>
      <c r="F363" t="s">
        <v>7166</v>
      </c>
      <c r="G363" t="s">
        <v>74</v>
      </c>
      <c r="H363" t="s">
        <v>74</v>
      </c>
      <c r="I363" t="s">
        <v>7167</v>
      </c>
      <c r="J363" t="s">
        <v>7168</v>
      </c>
      <c r="K363" t="s">
        <v>74</v>
      </c>
      <c r="L363" t="s">
        <v>74</v>
      </c>
      <c r="M363" t="s">
        <v>78</v>
      </c>
      <c r="N363" t="s">
        <v>918</v>
      </c>
      <c r="O363" t="s">
        <v>74</v>
      </c>
      <c r="P363" t="s">
        <v>74</v>
      </c>
      <c r="Q363" t="s">
        <v>74</v>
      </c>
      <c r="R363" t="s">
        <v>74</v>
      </c>
      <c r="S363" t="s">
        <v>74</v>
      </c>
      <c r="T363" t="s">
        <v>7169</v>
      </c>
      <c r="U363" t="s">
        <v>7170</v>
      </c>
      <c r="V363" t="s">
        <v>7171</v>
      </c>
      <c r="W363" t="s">
        <v>7172</v>
      </c>
      <c r="X363" t="s">
        <v>7173</v>
      </c>
      <c r="Y363" t="s">
        <v>7174</v>
      </c>
      <c r="Z363" t="s">
        <v>7175</v>
      </c>
      <c r="AA363" t="s">
        <v>74</v>
      </c>
      <c r="AB363" t="s">
        <v>74</v>
      </c>
      <c r="AC363" t="s">
        <v>74</v>
      </c>
      <c r="AD363" t="s">
        <v>74</v>
      </c>
      <c r="AE363" t="s">
        <v>74</v>
      </c>
      <c r="AF363" t="s">
        <v>74</v>
      </c>
      <c r="AG363">
        <v>158</v>
      </c>
      <c r="AH363">
        <v>236</v>
      </c>
      <c r="AI363">
        <v>269</v>
      </c>
      <c r="AJ363">
        <v>4</v>
      </c>
      <c r="AK363">
        <v>51</v>
      </c>
      <c r="AL363" t="s">
        <v>7176</v>
      </c>
      <c r="AM363" t="s">
        <v>7177</v>
      </c>
      <c r="AN363" t="s">
        <v>7178</v>
      </c>
      <c r="AO363" t="s">
        <v>74</v>
      </c>
      <c r="AP363" t="s">
        <v>74</v>
      </c>
      <c r="AQ363" t="s">
        <v>7179</v>
      </c>
      <c r="AR363" t="s">
        <v>74</v>
      </c>
      <c r="AS363" t="s">
        <v>74</v>
      </c>
      <c r="AT363" t="s">
        <v>74</v>
      </c>
      <c r="AU363">
        <v>2015</v>
      </c>
      <c r="AV363" t="s">
        <v>74</v>
      </c>
      <c r="AW363" t="s">
        <v>74</v>
      </c>
      <c r="AX363" t="s">
        <v>74</v>
      </c>
      <c r="AY363" t="s">
        <v>74</v>
      </c>
      <c r="AZ363" t="s">
        <v>74</v>
      </c>
      <c r="BA363" t="s">
        <v>74</v>
      </c>
      <c r="BB363">
        <v>1</v>
      </c>
      <c r="BC363">
        <v>25</v>
      </c>
      <c r="BD363" t="s">
        <v>74</v>
      </c>
      <c r="BE363" t="s">
        <v>7180</v>
      </c>
      <c r="BF363" t="str">
        <f>HYPERLINK("http://dx.doi.org/10.1007/978-3-319-16510-3_1","http://dx.doi.org/10.1007/978-3-319-16510-3_1")</f>
        <v>http://dx.doi.org/10.1007/978-3-319-16510-3_1</v>
      </c>
      <c r="BG363" t="s">
        <v>7181</v>
      </c>
      <c r="BH363" t="s">
        <v>74</v>
      </c>
      <c r="BI363">
        <v>25</v>
      </c>
      <c r="BJ363" t="s">
        <v>3613</v>
      </c>
      <c r="BK363" t="s">
        <v>936</v>
      </c>
      <c r="BL363" t="s">
        <v>2674</v>
      </c>
      <c r="BM363" t="s">
        <v>7182</v>
      </c>
      <c r="BN363" t="s">
        <v>74</v>
      </c>
      <c r="BO363" t="s">
        <v>134</v>
      </c>
      <c r="BP363" t="s">
        <v>74</v>
      </c>
      <c r="BQ363" t="s">
        <v>74</v>
      </c>
      <c r="BR363" t="s">
        <v>93</v>
      </c>
      <c r="BS363" t="s">
        <v>7183</v>
      </c>
      <c r="BT363" t="str">
        <f>HYPERLINK("https%3A%2F%2Fwww.webofscience.com%2Fwos%2Fwoscc%2Ffull-record%2FWOS:000429300200003","View Full Record in Web of Science")</f>
        <v>View Full Record in Web of Science</v>
      </c>
    </row>
    <row r="364" spans="1:72" x14ac:dyDescent="0.15">
      <c r="A364" t="s">
        <v>1395</v>
      </c>
      <c r="B364" t="s">
        <v>7184</v>
      </c>
      <c r="C364" t="s">
        <v>74</v>
      </c>
      <c r="D364" t="s">
        <v>7165</v>
      </c>
      <c r="E364" t="s">
        <v>74</v>
      </c>
      <c r="F364" t="s">
        <v>7185</v>
      </c>
      <c r="G364" t="s">
        <v>74</v>
      </c>
      <c r="H364" t="s">
        <v>74</v>
      </c>
      <c r="I364" t="s">
        <v>7186</v>
      </c>
      <c r="J364" t="s">
        <v>7168</v>
      </c>
      <c r="K364" t="s">
        <v>74</v>
      </c>
      <c r="L364" t="s">
        <v>74</v>
      </c>
      <c r="M364" t="s">
        <v>78</v>
      </c>
      <c r="N364" t="s">
        <v>918</v>
      </c>
      <c r="O364" t="s">
        <v>74</v>
      </c>
      <c r="P364" t="s">
        <v>74</v>
      </c>
      <c r="Q364" t="s">
        <v>74</v>
      </c>
      <c r="R364" t="s">
        <v>74</v>
      </c>
      <c r="S364" t="s">
        <v>74</v>
      </c>
      <c r="T364" t="s">
        <v>7187</v>
      </c>
      <c r="U364" t="s">
        <v>7188</v>
      </c>
      <c r="V364" t="s">
        <v>7189</v>
      </c>
      <c r="W364" t="s">
        <v>7190</v>
      </c>
      <c r="X364" t="s">
        <v>7191</v>
      </c>
      <c r="Y364" t="s">
        <v>7192</v>
      </c>
      <c r="Z364" t="s">
        <v>7193</v>
      </c>
      <c r="AA364" t="s">
        <v>74</v>
      </c>
      <c r="AB364" t="s">
        <v>7194</v>
      </c>
      <c r="AC364" t="s">
        <v>74</v>
      </c>
      <c r="AD364" t="s">
        <v>74</v>
      </c>
      <c r="AE364" t="s">
        <v>74</v>
      </c>
      <c r="AF364" t="s">
        <v>74</v>
      </c>
      <c r="AG364">
        <v>228</v>
      </c>
      <c r="AH364">
        <v>559</v>
      </c>
      <c r="AI364">
        <v>606</v>
      </c>
      <c r="AJ364">
        <v>5</v>
      </c>
      <c r="AK364">
        <v>80</v>
      </c>
      <c r="AL364" t="s">
        <v>7176</v>
      </c>
      <c r="AM364" t="s">
        <v>7177</v>
      </c>
      <c r="AN364" t="s">
        <v>7178</v>
      </c>
      <c r="AO364" t="s">
        <v>74</v>
      </c>
      <c r="AP364" t="s">
        <v>74</v>
      </c>
      <c r="AQ364" t="s">
        <v>7179</v>
      </c>
      <c r="AR364" t="s">
        <v>74</v>
      </c>
      <c r="AS364" t="s">
        <v>74</v>
      </c>
      <c r="AT364" t="s">
        <v>74</v>
      </c>
      <c r="AU364">
        <v>2015</v>
      </c>
      <c r="AV364" t="s">
        <v>74</v>
      </c>
      <c r="AW364" t="s">
        <v>74</v>
      </c>
      <c r="AX364" t="s">
        <v>74</v>
      </c>
      <c r="AY364" t="s">
        <v>74</v>
      </c>
      <c r="AZ364" t="s">
        <v>74</v>
      </c>
      <c r="BA364" t="s">
        <v>74</v>
      </c>
      <c r="BB364">
        <v>75</v>
      </c>
      <c r="BC364">
        <v>116</v>
      </c>
      <c r="BD364" t="s">
        <v>74</v>
      </c>
      <c r="BE364" t="s">
        <v>7195</v>
      </c>
      <c r="BF364" t="str">
        <f>HYPERLINK("http://dx.doi.org/10.1007/978-3-319-16510-3_4","http://dx.doi.org/10.1007/978-3-319-16510-3_4")</f>
        <v>http://dx.doi.org/10.1007/978-3-319-16510-3_4</v>
      </c>
      <c r="BG364" t="s">
        <v>7181</v>
      </c>
      <c r="BH364" t="s">
        <v>74</v>
      </c>
      <c r="BI364">
        <v>42</v>
      </c>
      <c r="BJ364" t="s">
        <v>3613</v>
      </c>
      <c r="BK364" t="s">
        <v>936</v>
      </c>
      <c r="BL364" t="s">
        <v>2674</v>
      </c>
      <c r="BM364" t="s">
        <v>7182</v>
      </c>
      <c r="BN364" t="s">
        <v>74</v>
      </c>
      <c r="BO364" t="s">
        <v>134</v>
      </c>
      <c r="BP364" t="s">
        <v>74</v>
      </c>
      <c r="BQ364" t="s">
        <v>74</v>
      </c>
      <c r="BR364" t="s">
        <v>93</v>
      </c>
      <c r="BS364" t="s">
        <v>7196</v>
      </c>
      <c r="BT364" t="str">
        <f>HYPERLINK("https%3A%2F%2Fwww.webofscience.com%2Fwos%2Fwoscc%2Ffull-record%2FWOS:000429300200006","View Full Record in Web of Science")</f>
        <v>View Full Record in Web of Science</v>
      </c>
    </row>
    <row r="365" spans="1:72" x14ac:dyDescent="0.15">
      <c r="A365" t="s">
        <v>72</v>
      </c>
      <c r="B365" t="s">
        <v>7197</v>
      </c>
      <c r="C365" t="s">
        <v>74</v>
      </c>
      <c r="D365" t="s">
        <v>74</v>
      </c>
      <c r="E365" t="s">
        <v>74</v>
      </c>
      <c r="F365" t="s">
        <v>7198</v>
      </c>
      <c r="G365" t="s">
        <v>74</v>
      </c>
      <c r="H365" t="s">
        <v>74</v>
      </c>
      <c r="I365" t="s">
        <v>7199</v>
      </c>
      <c r="J365" t="s">
        <v>3231</v>
      </c>
      <c r="K365" t="s">
        <v>74</v>
      </c>
      <c r="L365" t="s">
        <v>74</v>
      </c>
      <c r="M365" t="s">
        <v>78</v>
      </c>
      <c r="N365" t="s">
        <v>99</v>
      </c>
      <c r="O365" t="s">
        <v>74</v>
      </c>
      <c r="P365" t="s">
        <v>74</v>
      </c>
      <c r="Q365" t="s">
        <v>74</v>
      </c>
      <c r="R365" t="s">
        <v>74</v>
      </c>
      <c r="S365" t="s">
        <v>74</v>
      </c>
      <c r="T365" t="s">
        <v>74</v>
      </c>
      <c r="U365" t="s">
        <v>7200</v>
      </c>
      <c r="V365" t="s">
        <v>7201</v>
      </c>
      <c r="W365" t="s">
        <v>7202</v>
      </c>
      <c r="X365" t="s">
        <v>7203</v>
      </c>
      <c r="Y365" t="s">
        <v>7204</v>
      </c>
      <c r="Z365" t="s">
        <v>7205</v>
      </c>
      <c r="AA365" t="s">
        <v>7206</v>
      </c>
      <c r="AB365" t="s">
        <v>7207</v>
      </c>
      <c r="AC365" t="s">
        <v>7208</v>
      </c>
      <c r="AD365" t="s">
        <v>7209</v>
      </c>
      <c r="AE365" t="s">
        <v>7210</v>
      </c>
      <c r="AF365" t="s">
        <v>74</v>
      </c>
      <c r="AG365">
        <v>79</v>
      </c>
      <c r="AH365">
        <v>32</v>
      </c>
      <c r="AI365">
        <v>32</v>
      </c>
      <c r="AJ365">
        <v>0</v>
      </c>
      <c r="AK365">
        <v>59</v>
      </c>
      <c r="AL365" t="s">
        <v>2486</v>
      </c>
      <c r="AM365" t="s">
        <v>2487</v>
      </c>
      <c r="AN365" t="s">
        <v>2488</v>
      </c>
      <c r="AO365" t="s">
        <v>3243</v>
      </c>
      <c r="AP365" t="s">
        <v>3244</v>
      </c>
      <c r="AQ365" t="s">
        <v>74</v>
      </c>
      <c r="AR365" t="s">
        <v>3245</v>
      </c>
      <c r="AS365" t="s">
        <v>3246</v>
      </c>
      <c r="AT365" t="s">
        <v>200</v>
      </c>
      <c r="AU365">
        <v>2015</v>
      </c>
      <c r="AV365">
        <v>162</v>
      </c>
      <c r="AW365">
        <v>1</v>
      </c>
      <c r="AX365" t="s">
        <v>74</v>
      </c>
      <c r="AY365" t="s">
        <v>74</v>
      </c>
      <c r="AZ365" t="s">
        <v>74</v>
      </c>
      <c r="BA365" t="s">
        <v>74</v>
      </c>
      <c r="BB365">
        <v>99</v>
      </c>
      <c r="BC365">
        <v>110</v>
      </c>
      <c r="BD365" t="s">
        <v>74</v>
      </c>
      <c r="BE365" t="s">
        <v>7211</v>
      </c>
      <c r="BF365" t="str">
        <f>HYPERLINK("http://dx.doi.org/10.1007/s00227-014-2561-0","http://dx.doi.org/10.1007/s00227-014-2561-0")</f>
        <v>http://dx.doi.org/10.1007/s00227-014-2561-0</v>
      </c>
      <c r="BG365" t="s">
        <v>74</v>
      </c>
      <c r="BH365" t="s">
        <v>74</v>
      </c>
      <c r="BI365">
        <v>12</v>
      </c>
      <c r="BJ365" t="s">
        <v>1227</v>
      </c>
      <c r="BK365" t="s">
        <v>91</v>
      </c>
      <c r="BL365" t="s">
        <v>1227</v>
      </c>
      <c r="BM365" t="s">
        <v>3248</v>
      </c>
      <c r="BN365" t="s">
        <v>74</v>
      </c>
      <c r="BO365" t="s">
        <v>74</v>
      </c>
      <c r="BP365" t="s">
        <v>74</v>
      </c>
      <c r="BQ365" t="s">
        <v>74</v>
      </c>
      <c r="BR365" t="s">
        <v>93</v>
      </c>
      <c r="BS365" t="s">
        <v>7212</v>
      </c>
      <c r="BT365" t="str">
        <f>HYPERLINK("https%3A%2F%2Fwww.webofscience.com%2Fwos%2Fwoscc%2Ffull-record%2FWOS:000347405400008","View Full Record in Web of Science")</f>
        <v>View Full Record in Web of Science</v>
      </c>
    </row>
    <row r="366" spans="1:72" x14ac:dyDescent="0.15">
      <c r="A366" t="s">
        <v>72</v>
      </c>
      <c r="B366" t="s">
        <v>7213</v>
      </c>
      <c r="C366" t="s">
        <v>74</v>
      </c>
      <c r="D366" t="s">
        <v>74</v>
      </c>
      <c r="E366" t="s">
        <v>74</v>
      </c>
      <c r="F366" t="s">
        <v>7214</v>
      </c>
      <c r="G366" t="s">
        <v>74</v>
      </c>
      <c r="H366" t="s">
        <v>74</v>
      </c>
      <c r="I366" t="s">
        <v>7215</v>
      </c>
      <c r="J366" t="s">
        <v>3593</v>
      </c>
      <c r="K366" t="s">
        <v>74</v>
      </c>
      <c r="L366" t="s">
        <v>74</v>
      </c>
      <c r="M366" t="s">
        <v>78</v>
      </c>
      <c r="N366" t="s">
        <v>99</v>
      </c>
      <c r="O366" t="s">
        <v>74</v>
      </c>
      <c r="P366" t="s">
        <v>74</v>
      </c>
      <c r="Q366" t="s">
        <v>74</v>
      </c>
      <c r="R366" t="s">
        <v>74</v>
      </c>
      <c r="S366" t="s">
        <v>74</v>
      </c>
      <c r="T366" t="s">
        <v>7216</v>
      </c>
      <c r="U366" t="s">
        <v>7217</v>
      </c>
      <c r="V366" t="s">
        <v>7218</v>
      </c>
      <c r="W366" t="s">
        <v>7219</v>
      </c>
      <c r="X366" t="s">
        <v>7220</v>
      </c>
      <c r="Y366" t="s">
        <v>7221</v>
      </c>
      <c r="Z366" t="s">
        <v>7222</v>
      </c>
      <c r="AA366" t="s">
        <v>7223</v>
      </c>
      <c r="AB366" t="s">
        <v>7224</v>
      </c>
      <c r="AC366" t="s">
        <v>7225</v>
      </c>
      <c r="AD366" t="s">
        <v>2410</v>
      </c>
      <c r="AE366" t="s">
        <v>7226</v>
      </c>
      <c r="AF366" t="s">
        <v>74</v>
      </c>
      <c r="AG366">
        <v>73</v>
      </c>
      <c r="AH366">
        <v>13</v>
      </c>
      <c r="AI366">
        <v>13</v>
      </c>
      <c r="AJ366">
        <v>0</v>
      </c>
      <c r="AK366">
        <v>16</v>
      </c>
      <c r="AL366" t="s">
        <v>3605</v>
      </c>
      <c r="AM366" t="s">
        <v>3606</v>
      </c>
      <c r="AN366" t="s">
        <v>3607</v>
      </c>
      <c r="AO366" t="s">
        <v>3608</v>
      </c>
      <c r="AP366" t="s">
        <v>3609</v>
      </c>
      <c r="AQ366" t="s">
        <v>74</v>
      </c>
      <c r="AR366" t="s">
        <v>3610</v>
      </c>
      <c r="AS366" t="s">
        <v>3611</v>
      </c>
      <c r="AT366" t="s">
        <v>74</v>
      </c>
      <c r="AU366">
        <v>2015</v>
      </c>
      <c r="AV366">
        <v>11</v>
      </c>
      <c r="AW366">
        <v>10</v>
      </c>
      <c r="AX366" t="s">
        <v>74</v>
      </c>
      <c r="AY366" t="s">
        <v>74</v>
      </c>
      <c r="AZ366" t="s">
        <v>74</v>
      </c>
      <c r="BA366" t="s">
        <v>74</v>
      </c>
      <c r="BB366">
        <v>1053</v>
      </c>
      <c r="BC366">
        <v>1064</v>
      </c>
      <c r="BD366" t="s">
        <v>74</v>
      </c>
      <c r="BE366" t="s">
        <v>7227</v>
      </c>
      <c r="BF366" t="str">
        <f>HYPERLINK("http://dx.doi.org/10.1080/17451000.2015.1062521","http://dx.doi.org/10.1080/17451000.2015.1062521")</f>
        <v>http://dx.doi.org/10.1080/17451000.2015.1062521</v>
      </c>
      <c r="BG366" t="s">
        <v>74</v>
      </c>
      <c r="BH366" t="s">
        <v>74</v>
      </c>
      <c r="BI366">
        <v>12</v>
      </c>
      <c r="BJ366" t="s">
        <v>3613</v>
      </c>
      <c r="BK366" t="s">
        <v>91</v>
      </c>
      <c r="BL366" t="s">
        <v>2674</v>
      </c>
      <c r="BM366" t="s">
        <v>7228</v>
      </c>
      <c r="BN366" t="s">
        <v>74</v>
      </c>
      <c r="BO366" t="s">
        <v>74</v>
      </c>
      <c r="BP366" t="s">
        <v>74</v>
      </c>
      <c r="BQ366" t="s">
        <v>74</v>
      </c>
      <c r="BR366" t="s">
        <v>93</v>
      </c>
      <c r="BS366" t="s">
        <v>7229</v>
      </c>
      <c r="BT366" t="str">
        <f>HYPERLINK("https%3A%2F%2Fwww.webofscience.com%2Fwos%2Fwoscc%2Ffull-record%2FWOS:000365089200004","View Full Record in Web of Science")</f>
        <v>View Full Record in Web of Science</v>
      </c>
    </row>
    <row r="367" spans="1:72" x14ac:dyDescent="0.15">
      <c r="A367" t="s">
        <v>72</v>
      </c>
      <c r="B367" t="s">
        <v>7230</v>
      </c>
      <c r="C367" t="s">
        <v>74</v>
      </c>
      <c r="D367" t="s">
        <v>74</v>
      </c>
      <c r="E367" t="s">
        <v>74</v>
      </c>
      <c r="F367" t="s">
        <v>7231</v>
      </c>
      <c r="G367" t="s">
        <v>74</v>
      </c>
      <c r="H367" t="s">
        <v>74</v>
      </c>
      <c r="I367" t="s">
        <v>7232</v>
      </c>
      <c r="J367" t="s">
        <v>3483</v>
      </c>
      <c r="K367" t="s">
        <v>74</v>
      </c>
      <c r="L367" t="s">
        <v>74</v>
      </c>
      <c r="M367" t="s">
        <v>78</v>
      </c>
      <c r="N367" t="s">
        <v>99</v>
      </c>
      <c r="O367" t="s">
        <v>74</v>
      </c>
      <c r="P367" t="s">
        <v>74</v>
      </c>
      <c r="Q367" t="s">
        <v>74</v>
      </c>
      <c r="R367" t="s">
        <v>74</v>
      </c>
      <c r="S367" t="s">
        <v>74</v>
      </c>
      <c r="T367" t="s">
        <v>7233</v>
      </c>
      <c r="U367" t="s">
        <v>7234</v>
      </c>
      <c r="V367" t="s">
        <v>7235</v>
      </c>
      <c r="W367" t="s">
        <v>7236</v>
      </c>
      <c r="X367" t="s">
        <v>7237</v>
      </c>
      <c r="Y367" t="s">
        <v>7238</v>
      </c>
      <c r="Z367" t="s">
        <v>7205</v>
      </c>
      <c r="AA367" t="s">
        <v>7239</v>
      </c>
      <c r="AB367" t="s">
        <v>7240</v>
      </c>
      <c r="AC367" t="s">
        <v>7241</v>
      </c>
      <c r="AD367" t="s">
        <v>7242</v>
      </c>
      <c r="AE367" t="s">
        <v>7243</v>
      </c>
      <c r="AF367" t="s">
        <v>74</v>
      </c>
      <c r="AG367">
        <v>58</v>
      </c>
      <c r="AH367">
        <v>27</v>
      </c>
      <c r="AI367">
        <v>27</v>
      </c>
      <c r="AJ367">
        <v>0</v>
      </c>
      <c r="AK367">
        <v>21</v>
      </c>
      <c r="AL367" t="s">
        <v>4624</v>
      </c>
      <c r="AM367" t="s">
        <v>2007</v>
      </c>
      <c r="AN367" t="s">
        <v>2008</v>
      </c>
      <c r="AO367" t="s">
        <v>3496</v>
      </c>
      <c r="AP367" t="s">
        <v>3497</v>
      </c>
      <c r="AQ367" t="s">
        <v>74</v>
      </c>
      <c r="AR367" t="s">
        <v>3498</v>
      </c>
      <c r="AS367" t="s">
        <v>3499</v>
      </c>
      <c r="AT367" t="s">
        <v>200</v>
      </c>
      <c r="AU367">
        <v>2015</v>
      </c>
      <c r="AV367">
        <v>31</v>
      </c>
      <c r="AW367">
        <v>1</v>
      </c>
      <c r="AX367" t="s">
        <v>74</v>
      </c>
      <c r="AY367" t="s">
        <v>74</v>
      </c>
      <c r="AZ367" t="s">
        <v>74</v>
      </c>
      <c r="BA367" t="s">
        <v>74</v>
      </c>
      <c r="BB367">
        <v>322</v>
      </c>
      <c r="BC367">
        <v>344</v>
      </c>
      <c r="BD367" t="s">
        <v>74</v>
      </c>
      <c r="BE367" t="s">
        <v>7244</v>
      </c>
      <c r="BF367" t="str">
        <f>HYPERLINK("http://dx.doi.org/10.1111/mms.12148","http://dx.doi.org/10.1111/mms.12148")</f>
        <v>http://dx.doi.org/10.1111/mms.12148</v>
      </c>
      <c r="BG367" t="s">
        <v>74</v>
      </c>
      <c r="BH367" t="s">
        <v>74</v>
      </c>
      <c r="BI367">
        <v>23</v>
      </c>
      <c r="BJ367" t="s">
        <v>2344</v>
      </c>
      <c r="BK367" t="s">
        <v>91</v>
      </c>
      <c r="BL367" t="s">
        <v>2344</v>
      </c>
      <c r="BM367" t="s">
        <v>3501</v>
      </c>
      <c r="BN367" t="s">
        <v>74</v>
      </c>
      <c r="BO367" t="s">
        <v>74</v>
      </c>
      <c r="BP367" t="s">
        <v>74</v>
      </c>
      <c r="BQ367" t="s">
        <v>74</v>
      </c>
      <c r="BR367" t="s">
        <v>93</v>
      </c>
      <c r="BS367" t="s">
        <v>7245</v>
      </c>
      <c r="BT367" t="str">
        <f>HYPERLINK("https%3A%2F%2Fwww.webofscience.com%2Fwos%2Fwoscc%2Ffull-record%2FWOS:000346769200017","View Full Record in Web of Science")</f>
        <v>View Full Record in Web of Science</v>
      </c>
    </row>
    <row r="368" spans="1:72" x14ac:dyDescent="0.15">
      <c r="A368" t="s">
        <v>72</v>
      </c>
      <c r="B368" t="s">
        <v>7246</v>
      </c>
      <c r="C368" t="s">
        <v>74</v>
      </c>
      <c r="D368" t="s">
        <v>74</v>
      </c>
      <c r="E368" t="s">
        <v>74</v>
      </c>
      <c r="F368" t="s">
        <v>7247</v>
      </c>
      <c r="G368" t="s">
        <v>74</v>
      </c>
      <c r="H368" t="s">
        <v>74</v>
      </c>
      <c r="I368" t="s">
        <v>7248</v>
      </c>
      <c r="J368" t="s">
        <v>3483</v>
      </c>
      <c r="K368" t="s">
        <v>74</v>
      </c>
      <c r="L368" t="s">
        <v>74</v>
      </c>
      <c r="M368" t="s">
        <v>78</v>
      </c>
      <c r="N368" t="s">
        <v>99</v>
      </c>
      <c r="O368" t="s">
        <v>74</v>
      </c>
      <c r="P368" t="s">
        <v>74</v>
      </c>
      <c r="Q368" t="s">
        <v>74</v>
      </c>
      <c r="R368" t="s">
        <v>74</v>
      </c>
      <c r="S368" t="s">
        <v>74</v>
      </c>
      <c r="T368" t="s">
        <v>74</v>
      </c>
      <c r="U368" t="s">
        <v>7249</v>
      </c>
      <c r="V368" t="s">
        <v>74</v>
      </c>
      <c r="W368" t="s">
        <v>7250</v>
      </c>
      <c r="X368" t="s">
        <v>7251</v>
      </c>
      <c r="Y368" t="s">
        <v>7252</v>
      </c>
      <c r="Z368" t="s">
        <v>7253</v>
      </c>
      <c r="AA368" t="s">
        <v>7254</v>
      </c>
      <c r="AB368" t="s">
        <v>7255</v>
      </c>
      <c r="AC368" t="s">
        <v>7256</v>
      </c>
      <c r="AD368" t="s">
        <v>7257</v>
      </c>
      <c r="AE368" t="s">
        <v>7258</v>
      </c>
      <c r="AF368" t="s">
        <v>74</v>
      </c>
      <c r="AG368">
        <v>28</v>
      </c>
      <c r="AH368">
        <v>43</v>
      </c>
      <c r="AI368">
        <v>50</v>
      </c>
      <c r="AJ368">
        <v>0</v>
      </c>
      <c r="AK368">
        <v>42</v>
      </c>
      <c r="AL368" t="s">
        <v>2006</v>
      </c>
      <c r="AM368" t="s">
        <v>2007</v>
      </c>
      <c r="AN368" t="s">
        <v>2008</v>
      </c>
      <c r="AO368" t="s">
        <v>3496</v>
      </c>
      <c r="AP368" t="s">
        <v>3497</v>
      </c>
      <c r="AQ368" t="s">
        <v>74</v>
      </c>
      <c r="AR368" t="s">
        <v>3498</v>
      </c>
      <c r="AS368" t="s">
        <v>3499</v>
      </c>
      <c r="AT368" t="s">
        <v>200</v>
      </c>
      <c r="AU368">
        <v>2015</v>
      </c>
      <c r="AV368">
        <v>31</v>
      </c>
      <c r="AW368">
        <v>1</v>
      </c>
      <c r="AX368" t="s">
        <v>74</v>
      </c>
      <c r="AY368" t="s">
        <v>74</v>
      </c>
      <c r="AZ368" t="s">
        <v>74</v>
      </c>
      <c r="BA368" t="s">
        <v>74</v>
      </c>
      <c r="BB368">
        <v>345</v>
      </c>
      <c r="BC368">
        <v>354</v>
      </c>
      <c r="BD368" t="s">
        <v>74</v>
      </c>
      <c r="BE368" t="s">
        <v>7259</v>
      </c>
      <c r="BF368" t="str">
        <f>HYPERLINK("http://dx.doi.org/10.1111/mms.12134","http://dx.doi.org/10.1111/mms.12134")</f>
        <v>http://dx.doi.org/10.1111/mms.12134</v>
      </c>
      <c r="BG368" t="s">
        <v>74</v>
      </c>
      <c r="BH368" t="s">
        <v>74</v>
      </c>
      <c r="BI368">
        <v>10</v>
      </c>
      <c r="BJ368" t="s">
        <v>2344</v>
      </c>
      <c r="BK368" t="s">
        <v>91</v>
      </c>
      <c r="BL368" t="s">
        <v>2344</v>
      </c>
      <c r="BM368" t="s">
        <v>3501</v>
      </c>
      <c r="BN368" t="s">
        <v>74</v>
      </c>
      <c r="BO368" t="s">
        <v>74</v>
      </c>
      <c r="BP368" t="s">
        <v>74</v>
      </c>
      <c r="BQ368" t="s">
        <v>74</v>
      </c>
      <c r="BR368" t="s">
        <v>93</v>
      </c>
      <c r="BS368" t="s">
        <v>7260</v>
      </c>
      <c r="BT368" t="str">
        <f>HYPERLINK("https%3A%2F%2Fwww.webofscience.com%2Fwos%2Fwoscc%2Ffull-record%2FWOS:000346769200018","View Full Record in Web of Science")</f>
        <v>View Full Record in Web of Science</v>
      </c>
    </row>
    <row r="369" spans="1:72" x14ac:dyDescent="0.15">
      <c r="A369" t="s">
        <v>1395</v>
      </c>
      <c r="B369" t="s">
        <v>7261</v>
      </c>
      <c r="C369" t="s">
        <v>7261</v>
      </c>
      <c r="D369" t="s">
        <v>74</v>
      </c>
      <c r="E369" t="s">
        <v>74</v>
      </c>
      <c r="F369" t="s">
        <v>7262</v>
      </c>
      <c r="G369" t="s">
        <v>7261</v>
      </c>
      <c r="H369" t="s">
        <v>74</v>
      </c>
      <c r="I369" t="s">
        <v>7263</v>
      </c>
      <c r="J369" t="s">
        <v>7264</v>
      </c>
      <c r="K369" t="s">
        <v>74</v>
      </c>
      <c r="L369" t="s">
        <v>74</v>
      </c>
      <c r="M369" t="s">
        <v>78</v>
      </c>
      <c r="N369" t="s">
        <v>918</v>
      </c>
      <c r="O369" t="s">
        <v>74</v>
      </c>
      <c r="P369" t="s">
        <v>74</v>
      </c>
      <c r="Q369" t="s">
        <v>74</v>
      </c>
      <c r="R369" t="s">
        <v>74</v>
      </c>
      <c r="S369" t="s">
        <v>74</v>
      </c>
      <c r="T369" t="s">
        <v>74</v>
      </c>
      <c r="U369" t="s">
        <v>7265</v>
      </c>
      <c r="V369" t="s">
        <v>74</v>
      </c>
      <c r="W369" t="s">
        <v>7266</v>
      </c>
      <c r="X369" t="s">
        <v>7267</v>
      </c>
      <c r="Y369" t="s">
        <v>7268</v>
      </c>
      <c r="Z369" t="s">
        <v>74</v>
      </c>
      <c r="AA369" t="s">
        <v>74</v>
      </c>
      <c r="AB369" t="s">
        <v>74</v>
      </c>
      <c r="AC369" t="s">
        <v>74</v>
      </c>
      <c r="AD369" t="s">
        <v>74</v>
      </c>
      <c r="AE369" t="s">
        <v>74</v>
      </c>
      <c r="AF369" t="s">
        <v>74</v>
      </c>
      <c r="AG369">
        <v>302</v>
      </c>
      <c r="AH369">
        <v>7</v>
      </c>
      <c r="AI369">
        <v>7</v>
      </c>
      <c r="AJ369">
        <v>0</v>
      </c>
      <c r="AK369">
        <v>2</v>
      </c>
      <c r="AL369" t="s">
        <v>7269</v>
      </c>
      <c r="AM369" t="s">
        <v>3361</v>
      </c>
      <c r="AN369" t="s">
        <v>7270</v>
      </c>
      <c r="AO369" t="s">
        <v>74</v>
      </c>
      <c r="AP369" t="s">
        <v>74</v>
      </c>
      <c r="AQ369" t="s">
        <v>7271</v>
      </c>
      <c r="AR369" t="s">
        <v>74</v>
      </c>
      <c r="AS369" t="s">
        <v>74</v>
      </c>
      <c r="AT369" t="s">
        <v>74</v>
      </c>
      <c r="AU369">
        <v>2015</v>
      </c>
      <c r="AV369" t="s">
        <v>74</v>
      </c>
      <c r="AW369" t="s">
        <v>74</v>
      </c>
      <c r="AX369" t="s">
        <v>74</v>
      </c>
      <c r="AY369" t="s">
        <v>74</v>
      </c>
      <c r="AZ369" t="s">
        <v>74</v>
      </c>
      <c r="BA369" t="s">
        <v>74</v>
      </c>
      <c r="BB369">
        <v>465</v>
      </c>
      <c r="BC369" t="s">
        <v>7272</v>
      </c>
      <c r="BD369" t="s">
        <v>74</v>
      </c>
      <c r="BE369" t="s">
        <v>7273</v>
      </c>
      <c r="BF369" t="str">
        <f>HYPERLINK("http://dx.doi.org/10.1016/B978-0-12-397002-2.00013-2","http://dx.doi.org/10.1016/B978-0-12-397002-2.00013-2")</f>
        <v>http://dx.doi.org/10.1016/B978-0-12-397002-2.00013-2</v>
      </c>
      <c r="BG369" t="s">
        <v>7274</v>
      </c>
      <c r="BH369" t="s">
        <v>74</v>
      </c>
      <c r="BI369">
        <v>16</v>
      </c>
      <c r="BJ369" t="s">
        <v>6630</v>
      </c>
      <c r="BK369" t="s">
        <v>936</v>
      </c>
      <c r="BL369" t="s">
        <v>6630</v>
      </c>
      <c r="BM369" t="s">
        <v>7275</v>
      </c>
      <c r="BN369" t="s">
        <v>74</v>
      </c>
      <c r="BO369" t="s">
        <v>74</v>
      </c>
      <c r="BP369" t="s">
        <v>74</v>
      </c>
      <c r="BQ369" t="s">
        <v>74</v>
      </c>
      <c r="BR369" t="s">
        <v>93</v>
      </c>
      <c r="BS369" t="s">
        <v>7276</v>
      </c>
      <c r="BT369" t="str">
        <f>HYPERLINK("https%3A%2F%2Fwww.webofscience.com%2Fwos%2Fwoscc%2Ffull-record%2FWOS:000471751400014","View Full Record in Web of Science")</f>
        <v>View Full Record in Web of Science</v>
      </c>
    </row>
    <row r="370" spans="1:72" x14ac:dyDescent="0.15">
      <c r="A370" t="s">
        <v>72</v>
      </c>
      <c r="B370" t="s">
        <v>7277</v>
      </c>
      <c r="C370" t="s">
        <v>74</v>
      </c>
      <c r="D370" t="s">
        <v>74</v>
      </c>
      <c r="E370" t="s">
        <v>74</v>
      </c>
      <c r="F370" t="s">
        <v>7278</v>
      </c>
      <c r="G370" t="s">
        <v>74</v>
      </c>
      <c r="H370" t="s">
        <v>74</v>
      </c>
      <c r="I370" t="s">
        <v>7279</v>
      </c>
      <c r="J370" t="s">
        <v>2704</v>
      </c>
      <c r="K370" t="s">
        <v>74</v>
      </c>
      <c r="L370" t="s">
        <v>74</v>
      </c>
      <c r="M370" t="s">
        <v>78</v>
      </c>
      <c r="N370" t="s">
        <v>99</v>
      </c>
      <c r="O370" t="s">
        <v>74</v>
      </c>
      <c r="P370" t="s">
        <v>74</v>
      </c>
      <c r="Q370" t="s">
        <v>74</v>
      </c>
      <c r="R370" t="s">
        <v>74</v>
      </c>
      <c r="S370" t="s">
        <v>74</v>
      </c>
      <c r="T370" t="s">
        <v>7280</v>
      </c>
      <c r="U370" t="s">
        <v>7281</v>
      </c>
      <c r="V370" t="s">
        <v>7282</v>
      </c>
      <c r="W370" t="s">
        <v>7283</v>
      </c>
      <c r="X370" t="s">
        <v>7284</v>
      </c>
      <c r="Y370" t="s">
        <v>7285</v>
      </c>
      <c r="Z370" t="s">
        <v>7286</v>
      </c>
      <c r="AA370" t="s">
        <v>74</v>
      </c>
      <c r="AB370" t="s">
        <v>74</v>
      </c>
      <c r="AC370" t="s">
        <v>74</v>
      </c>
      <c r="AD370" t="s">
        <v>74</v>
      </c>
      <c r="AE370" t="s">
        <v>74</v>
      </c>
      <c r="AF370" t="s">
        <v>74</v>
      </c>
      <c r="AG370">
        <v>13</v>
      </c>
      <c r="AH370">
        <v>25</v>
      </c>
      <c r="AI370">
        <v>26</v>
      </c>
      <c r="AJ370">
        <v>1</v>
      </c>
      <c r="AK370">
        <v>70</v>
      </c>
      <c r="AL370" t="s">
        <v>2458</v>
      </c>
      <c r="AM370" t="s">
        <v>1411</v>
      </c>
      <c r="AN370" t="s">
        <v>2459</v>
      </c>
      <c r="AO370" t="s">
        <v>2713</v>
      </c>
      <c r="AP370" t="s">
        <v>2714</v>
      </c>
      <c r="AQ370" t="s">
        <v>74</v>
      </c>
      <c r="AR370" t="s">
        <v>2715</v>
      </c>
      <c r="AS370" t="s">
        <v>2716</v>
      </c>
      <c r="AT370" t="s">
        <v>200</v>
      </c>
      <c r="AU370">
        <v>2015</v>
      </c>
      <c r="AV370">
        <v>51</v>
      </c>
      <c r="AW370" t="s">
        <v>74</v>
      </c>
      <c r="AX370" t="s">
        <v>74</v>
      </c>
      <c r="AY370" t="s">
        <v>74</v>
      </c>
      <c r="AZ370" t="s">
        <v>74</v>
      </c>
      <c r="BA370" t="s">
        <v>74</v>
      </c>
      <c r="BB370">
        <v>238</v>
      </c>
      <c r="BC370">
        <v>241</v>
      </c>
      <c r="BD370" t="s">
        <v>74</v>
      </c>
      <c r="BE370" t="s">
        <v>7287</v>
      </c>
      <c r="BF370" t="str">
        <f>HYPERLINK("http://dx.doi.org/10.1016/j.marpol.2014.08.011","http://dx.doi.org/10.1016/j.marpol.2014.08.011")</f>
        <v>http://dx.doi.org/10.1016/j.marpol.2014.08.011</v>
      </c>
      <c r="BG370" t="s">
        <v>74</v>
      </c>
      <c r="BH370" t="s">
        <v>74</v>
      </c>
      <c r="BI370">
        <v>4</v>
      </c>
      <c r="BJ370" t="s">
        <v>2718</v>
      </c>
      <c r="BK370" t="s">
        <v>891</v>
      </c>
      <c r="BL370" t="s">
        <v>2719</v>
      </c>
      <c r="BM370" t="s">
        <v>2720</v>
      </c>
      <c r="BN370" t="s">
        <v>74</v>
      </c>
      <c r="BO370" t="s">
        <v>74</v>
      </c>
      <c r="BP370" t="s">
        <v>74</v>
      </c>
      <c r="BQ370" t="s">
        <v>74</v>
      </c>
      <c r="BR370" t="s">
        <v>93</v>
      </c>
      <c r="BS370" t="s">
        <v>7288</v>
      </c>
      <c r="BT370" t="str">
        <f>HYPERLINK("https%3A%2F%2Fwww.webofscience.com%2Fwos%2Fwoscc%2Ffull-record%2FWOS:000348003700029","View Full Record in Web of Science")</f>
        <v>View Full Record in Web of Science</v>
      </c>
    </row>
    <row r="371" spans="1:72" x14ac:dyDescent="0.15">
      <c r="A371" t="s">
        <v>840</v>
      </c>
      <c r="B371" t="s">
        <v>7289</v>
      </c>
      <c r="C371" t="s">
        <v>74</v>
      </c>
      <c r="D371" t="s">
        <v>7290</v>
      </c>
      <c r="E371" t="s">
        <v>74</v>
      </c>
      <c r="F371" t="s">
        <v>7291</v>
      </c>
      <c r="G371" t="s">
        <v>74</v>
      </c>
      <c r="H371" t="s">
        <v>74</v>
      </c>
      <c r="I371" t="s">
        <v>7292</v>
      </c>
      <c r="J371" t="s">
        <v>7293</v>
      </c>
      <c r="K371" t="s">
        <v>7294</v>
      </c>
      <c r="L371" t="s">
        <v>74</v>
      </c>
      <c r="M371" t="s">
        <v>78</v>
      </c>
      <c r="N371" t="s">
        <v>918</v>
      </c>
      <c r="O371" t="s">
        <v>74</v>
      </c>
      <c r="P371" t="s">
        <v>74</v>
      </c>
      <c r="Q371" t="s">
        <v>74</v>
      </c>
      <c r="R371" t="s">
        <v>74</v>
      </c>
      <c r="S371" t="s">
        <v>74</v>
      </c>
      <c r="T371" t="s">
        <v>7295</v>
      </c>
      <c r="U371" t="s">
        <v>7296</v>
      </c>
      <c r="V371" t="s">
        <v>7297</v>
      </c>
      <c r="W371" t="s">
        <v>7298</v>
      </c>
      <c r="X371" t="s">
        <v>7299</v>
      </c>
      <c r="Y371" t="s">
        <v>7300</v>
      </c>
      <c r="Z371" t="s">
        <v>7301</v>
      </c>
      <c r="AA371" t="s">
        <v>7302</v>
      </c>
      <c r="AB371" t="s">
        <v>7303</v>
      </c>
      <c r="AC371" t="s">
        <v>7304</v>
      </c>
      <c r="AD371" t="s">
        <v>7305</v>
      </c>
      <c r="AE371" t="s">
        <v>74</v>
      </c>
      <c r="AF371" t="s">
        <v>74</v>
      </c>
      <c r="AG371">
        <v>94</v>
      </c>
      <c r="AH371">
        <v>208</v>
      </c>
      <c r="AI371">
        <v>216</v>
      </c>
      <c r="AJ371">
        <v>2</v>
      </c>
      <c r="AK371">
        <v>3</v>
      </c>
      <c r="AL371" t="s">
        <v>2666</v>
      </c>
      <c r="AM371" t="s">
        <v>6414</v>
      </c>
      <c r="AN371" t="s">
        <v>7306</v>
      </c>
      <c r="AO371" t="s">
        <v>7307</v>
      </c>
      <c r="AP371" t="s">
        <v>74</v>
      </c>
      <c r="AQ371" t="s">
        <v>7308</v>
      </c>
      <c r="AR371" t="s">
        <v>7309</v>
      </c>
      <c r="AS371" t="s">
        <v>7310</v>
      </c>
      <c r="AT371" t="s">
        <v>74</v>
      </c>
      <c r="AU371">
        <v>2015</v>
      </c>
      <c r="AV371">
        <v>17</v>
      </c>
      <c r="AW371" t="s">
        <v>74</v>
      </c>
      <c r="AX371" t="s">
        <v>74</v>
      </c>
      <c r="AY371" t="s">
        <v>74</v>
      </c>
      <c r="AZ371" t="s">
        <v>74</v>
      </c>
      <c r="BA371" t="s">
        <v>74</v>
      </c>
      <c r="BB371">
        <v>189</v>
      </c>
      <c r="BC371">
        <v>226</v>
      </c>
      <c r="BD371" t="s">
        <v>74</v>
      </c>
      <c r="BE371" t="s">
        <v>7311</v>
      </c>
      <c r="BF371" t="str">
        <f>HYPERLINK("http://dx.doi.org/10.1007/978-94-017-9849-5_7","http://dx.doi.org/10.1007/978-94-017-9849-5_7")</f>
        <v>http://dx.doi.org/10.1007/978-94-017-9849-5_7</v>
      </c>
      <c r="BG371" t="s">
        <v>7312</v>
      </c>
      <c r="BH371" t="s">
        <v>74</v>
      </c>
      <c r="BI371">
        <v>38</v>
      </c>
      <c r="BJ371" t="s">
        <v>7313</v>
      </c>
      <c r="BK371" t="s">
        <v>936</v>
      </c>
      <c r="BL371" t="s">
        <v>614</v>
      </c>
      <c r="BM371" t="s">
        <v>7314</v>
      </c>
      <c r="BN371" t="s">
        <v>74</v>
      </c>
      <c r="BO371" t="s">
        <v>74</v>
      </c>
      <c r="BP371" t="s">
        <v>74</v>
      </c>
      <c r="BQ371" t="s">
        <v>74</v>
      </c>
      <c r="BR371" t="s">
        <v>93</v>
      </c>
      <c r="BS371" t="s">
        <v>7315</v>
      </c>
      <c r="BT371" t="str">
        <f>HYPERLINK("https%3A%2F%2Fwww.webofscience.com%2Fwos%2Fwoscc%2Ffull-record%2FWOS:000404898700008","View Full Record in Web of Science")</f>
        <v>View Full Record in Web of Science</v>
      </c>
    </row>
    <row r="372" spans="1:72" x14ac:dyDescent="0.15">
      <c r="A372" t="s">
        <v>72</v>
      </c>
      <c r="B372" t="s">
        <v>7316</v>
      </c>
      <c r="C372" t="s">
        <v>74</v>
      </c>
      <c r="D372" t="s">
        <v>74</v>
      </c>
      <c r="E372" t="s">
        <v>74</v>
      </c>
      <c r="F372" t="s">
        <v>7317</v>
      </c>
      <c r="G372" t="s">
        <v>74</v>
      </c>
      <c r="H372" t="s">
        <v>74</v>
      </c>
      <c r="I372" t="s">
        <v>7318</v>
      </c>
      <c r="J372" t="s">
        <v>429</v>
      </c>
      <c r="K372" t="s">
        <v>74</v>
      </c>
      <c r="L372" t="s">
        <v>74</v>
      </c>
      <c r="M372" t="s">
        <v>78</v>
      </c>
      <c r="N372" t="s">
        <v>99</v>
      </c>
      <c r="O372" t="s">
        <v>74</v>
      </c>
      <c r="P372" t="s">
        <v>74</v>
      </c>
      <c r="Q372" t="s">
        <v>74</v>
      </c>
      <c r="R372" t="s">
        <v>74</v>
      </c>
      <c r="S372" t="s">
        <v>74</v>
      </c>
      <c r="T372" t="s">
        <v>7319</v>
      </c>
      <c r="U372" t="s">
        <v>7320</v>
      </c>
      <c r="V372" t="s">
        <v>7321</v>
      </c>
      <c r="W372" t="s">
        <v>7322</v>
      </c>
      <c r="X372" t="s">
        <v>7323</v>
      </c>
      <c r="Y372" t="s">
        <v>7324</v>
      </c>
      <c r="Z372" t="s">
        <v>7325</v>
      </c>
      <c r="AA372" t="s">
        <v>7326</v>
      </c>
      <c r="AB372" t="s">
        <v>74</v>
      </c>
      <c r="AC372" t="s">
        <v>7327</v>
      </c>
      <c r="AD372" t="s">
        <v>7327</v>
      </c>
      <c r="AE372" t="s">
        <v>7328</v>
      </c>
      <c r="AF372" t="s">
        <v>74</v>
      </c>
      <c r="AG372">
        <v>18</v>
      </c>
      <c r="AH372">
        <v>2</v>
      </c>
      <c r="AI372">
        <v>3</v>
      </c>
      <c r="AJ372">
        <v>0</v>
      </c>
      <c r="AK372">
        <v>2</v>
      </c>
      <c r="AL372" t="s">
        <v>441</v>
      </c>
      <c r="AM372" t="s">
        <v>442</v>
      </c>
      <c r="AN372" t="s">
        <v>443</v>
      </c>
      <c r="AO372" t="s">
        <v>444</v>
      </c>
      <c r="AP372" t="s">
        <v>445</v>
      </c>
      <c r="AQ372" t="s">
        <v>74</v>
      </c>
      <c r="AR372" t="s">
        <v>429</v>
      </c>
      <c r="AS372" t="s">
        <v>446</v>
      </c>
      <c r="AT372" t="s">
        <v>74</v>
      </c>
      <c r="AU372">
        <v>2015</v>
      </c>
      <c r="AV372">
        <v>61</v>
      </c>
      <c r="AW372">
        <v>3</v>
      </c>
      <c r="AX372" t="s">
        <v>74</v>
      </c>
      <c r="AY372" t="s">
        <v>74</v>
      </c>
      <c r="AZ372" t="s">
        <v>74</v>
      </c>
      <c r="BA372" t="s">
        <v>74</v>
      </c>
      <c r="BB372">
        <v>185</v>
      </c>
      <c r="BC372">
        <v>192</v>
      </c>
      <c r="BD372" t="s">
        <v>74</v>
      </c>
      <c r="BE372" t="s">
        <v>74</v>
      </c>
      <c r="BF372" t="s">
        <v>74</v>
      </c>
      <c r="BG372" t="s">
        <v>74</v>
      </c>
      <c r="BH372" t="s">
        <v>74</v>
      </c>
      <c r="BI372">
        <v>8</v>
      </c>
      <c r="BJ372" t="s">
        <v>447</v>
      </c>
      <c r="BK372" t="s">
        <v>91</v>
      </c>
      <c r="BL372" t="s">
        <v>447</v>
      </c>
      <c r="BM372" t="s">
        <v>448</v>
      </c>
      <c r="BN372" t="s">
        <v>74</v>
      </c>
      <c r="BO372" t="s">
        <v>74</v>
      </c>
      <c r="BP372" t="s">
        <v>74</v>
      </c>
      <c r="BQ372" t="s">
        <v>74</v>
      </c>
      <c r="BR372" t="s">
        <v>93</v>
      </c>
      <c r="BS372" t="s">
        <v>7329</v>
      </c>
      <c r="BT372" t="str">
        <f>HYPERLINK("https%3A%2F%2Fwww.webofscience.com%2Fwos%2Fwoscc%2Ffull-record%2FWOS:000358765300005","View Full Record in Web of Science")</f>
        <v>View Full Record in Web of Science</v>
      </c>
    </row>
    <row r="373" spans="1:72" x14ac:dyDescent="0.15">
      <c r="A373" t="s">
        <v>72</v>
      </c>
      <c r="B373" t="s">
        <v>7330</v>
      </c>
      <c r="C373" t="s">
        <v>74</v>
      </c>
      <c r="D373" t="s">
        <v>74</v>
      </c>
      <c r="E373" t="s">
        <v>74</v>
      </c>
      <c r="F373" t="s">
        <v>7331</v>
      </c>
      <c r="G373" t="s">
        <v>74</v>
      </c>
      <c r="H373" t="s">
        <v>74</v>
      </c>
      <c r="I373" t="s">
        <v>7332</v>
      </c>
      <c r="J373" t="s">
        <v>429</v>
      </c>
      <c r="K373" t="s">
        <v>74</v>
      </c>
      <c r="L373" t="s">
        <v>74</v>
      </c>
      <c r="M373" t="s">
        <v>78</v>
      </c>
      <c r="N373" t="s">
        <v>1845</v>
      </c>
      <c r="O373" t="s">
        <v>7333</v>
      </c>
      <c r="P373" t="s">
        <v>7334</v>
      </c>
      <c r="Q373" t="s">
        <v>7335</v>
      </c>
      <c r="R373" t="s">
        <v>74</v>
      </c>
      <c r="S373" t="s">
        <v>7336</v>
      </c>
      <c r="T373" t="s">
        <v>74</v>
      </c>
      <c r="U373" t="s">
        <v>7337</v>
      </c>
      <c r="V373" t="s">
        <v>7338</v>
      </c>
      <c r="W373" t="s">
        <v>7339</v>
      </c>
      <c r="X373" t="s">
        <v>7340</v>
      </c>
      <c r="Y373" t="s">
        <v>7341</v>
      </c>
      <c r="Z373" t="s">
        <v>7342</v>
      </c>
      <c r="AA373" t="s">
        <v>7343</v>
      </c>
      <c r="AB373" t="s">
        <v>7344</v>
      </c>
      <c r="AC373" t="s">
        <v>74</v>
      </c>
      <c r="AD373" t="s">
        <v>74</v>
      </c>
      <c r="AE373" t="s">
        <v>74</v>
      </c>
      <c r="AF373" t="s">
        <v>74</v>
      </c>
      <c r="AG373">
        <v>70</v>
      </c>
      <c r="AH373">
        <v>22</v>
      </c>
      <c r="AI373">
        <v>24</v>
      </c>
      <c r="AJ373">
        <v>0</v>
      </c>
      <c r="AK373">
        <v>3</v>
      </c>
      <c r="AL373" t="s">
        <v>441</v>
      </c>
      <c r="AM373" t="s">
        <v>442</v>
      </c>
      <c r="AN373" t="s">
        <v>443</v>
      </c>
      <c r="AO373" t="s">
        <v>444</v>
      </c>
      <c r="AP373" t="s">
        <v>445</v>
      </c>
      <c r="AQ373" t="s">
        <v>74</v>
      </c>
      <c r="AR373" t="s">
        <v>429</v>
      </c>
      <c r="AS373" t="s">
        <v>446</v>
      </c>
      <c r="AT373" t="s">
        <v>74</v>
      </c>
      <c r="AU373">
        <v>2015</v>
      </c>
      <c r="AV373">
        <v>61</v>
      </c>
      <c r="AW373">
        <v>6</v>
      </c>
      <c r="AX373" t="s">
        <v>74</v>
      </c>
      <c r="AY373" t="s">
        <v>74</v>
      </c>
      <c r="AZ373" t="s">
        <v>74</v>
      </c>
      <c r="BA373" t="s">
        <v>74</v>
      </c>
      <c r="BB373">
        <v>489</v>
      </c>
      <c r="BC373">
        <v>506</v>
      </c>
      <c r="BD373" t="s">
        <v>74</v>
      </c>
      <c r="BE373" t="s">
        <v>74</v>
      </c>
      <c r="BF373" t="s">
        <v>74</v>
      </c>
      <c r="BG373" t="s">
        <v>74</v>
      </c>
      <c r="BH373" t="s">
        <v>74</v>
      </c>
      <c r="BI373">
        <v>18</v>
      </c>
      <c r="BJ373" t="s">
        <v>447</v>
      </c>
      <c r="BK373" t="s">
        <v>1862</v>
      </c>
      <c r="BL373" t="s">
        <v>447</v>
      </c>
      <c r="BM373" t="s">
        <v>7345</v>
      </c>
      <c r="BN373" t="s">
        <v>74</v>
      </c>
      <c r="BO373" t="s">
        <v>74</v>
      </c>
      <c r="BP373" t="s">
        <v>74</v>
      </c>
      <c r="BQ373" t="s">
        <v>74</v>
      </c>
      <c r="BR373" t="s">
        <v>93</v>
      </c>
      <c r="BS373" t="s">
        <v>7346</v>
      </c>
      <c r="BT373" t="str">
        <f>HYPERLINK("https%3A%2F%2Fwww.webofscience.com%2Fwos%2Fwoscc%2Ffull-record%2FWOS:000374703600007","View Full Record in Web of Science")</f>
        <v>View Full Record in Web of Science</v>
      </c>
    </row>
    <row r="374" spans="1:72" x14ac:dyDescent="0.15">
      <c r="A374" t="s">
        <v>72</v>
      </c>
      <c r="B374" t="s">
        <v>7347</v>
      </c>
      <c r="C374" t="s">
        <v>74</v>
      </c>
      <c r="D374" t="s">
        <v>74</v>
      </c>
      <c r="E374" t="s">
        <v>74</v>
      </c>
      <c r="F374" t="s">
        <v>7348</v>
      </c>
      <c r="G374" t="s">
        <v>74</v>
      </c>
      <c r="H374" t="s">
        <v>74</v>
      </c>
      <c r="I374" t="s">
        <v>7349</v>
      </c>
      <c r="J374" t="s">
        <v>429</v>
      </c>
      <c r="K374" t="s">
        <v>74</v>
      </c>
      <c r="L374" t="s">
        <v>74</v>
      </c>
      <c r="M374" t="s">
        <v>78</v>
      </c>
      <c r="N374" t="s">
        <v>1845</v>
      </c>
      <c r="O374" t="s">
        <v>7333</v>
      </c>
      <c r="P374" t="s">
        <v>7334</v>
      </c>
      <c r="Q374" t="s">
        <v>7335</v>
      </c>
      <c r="R374" t="s">
        <v>74</v>
      </c>
      <c r="S374" t="s">
        <v>7336</v>
      </c>
      <c r="T374" t="s">
        <v>74</v>
      </c>
      <c r="U374" t="s">
        <v>7350</v>
      </c>
      <c r="V374" t="s">
        <v>7351</v>
      </c>
      <c r="W374" t="s">
        <v>7352</v>
      </c>
      <c r="X374" t="s">
        <v>7353</v>
      </c>
      <c r="Y374" t="s">
        <v>7354</v>
      </c>
      <c r="Z374" t="s">
        <v>7355</v>
      </c>
      <c r="AA374" t="s">
        <v>7356</v>
      </c>
      <c r="AB374" t="s">
        <v>7357</v>
      </c>
      <c r="AC374" t="s">
        <v>74</v>
      </c>
      <c r="AD374" t="s">
        <v>74</v>
      </c>
      <c r="AE374" t="s">
        <v>74</v>
      </c>
      <c r="AF374" t="s">
        <v>74</v>
      </c>
      <c r="AG374">
        <v>69</v>
      </c>
      <c r="AH374">
        <v>16</v>
      </c>
      <c r="AI374">
        <v>16</v>
      </c>
      <c r="AJ374">
        <v>0</v>
      </c>
      <c r="AK374">
        <v>7</v>
      </c>
      <c r="AL374" t="s">
        <v>441</v>
      </c>
      <c r="AM374" t="s">
        <v>442</v>
      </c>
      <c r="AN374" t="s">
        <v>443</v>
      </c>
      <c r="AO374" t="s">
        <v>444</v>
      </c>
      <c r="AP374" t="s">
        <v>445</v>
      </c>
      <c r="AQ374" t="s">
        <v>74</v>
      </c>
      <c r="AR374" t="s">
        <v>429</v>
      </c>
      <c r="AS374" t="s">
        <v>446</v>
      </c>
      <c r="AT374" t="s">
        <v>74</v>
      </c>
      <c r="AU374">
        <v>2015</v>
      </c>
      <c r="AV374">
        <v>61</v>
      </c>
      <c r="AW374">
        <v>6</v>
      </c>
      <c r="AX374" t="s">
        <v>74</v>
      </c>
      <c r="AY374" t="s">
        <v>74</v>
      </c>
      <c r="AZ374" t="s">
        <v>74</v>
      </c>
      <c r="BA374" t="s">
        <v>74</v>
      </c>
      <c r="BB374">
        <v>507</v>
      </c>
      <c r="BC374">
        <v>520</v>
      </c>
      <c r="BD374" t="s">
        <v>74</v>
      </c>
      <c r="BE374" t="s">
        <v>74</v>
      </c>
      <c r="BF374" t="s">
        <v>74</v>
      </c>
      <c r="BG374" t="s">
        <v>74</v>
      </c>
      <c r="BH374" t="s">
        <v>74</v>
      </c>
      <c r="BI374">
        <v>14</v>
      </c>
      <c r="BJ374" t="s">
        <v>447</v>
      </c>
      <c r="BK374" t="s">
        <v>1862</v>
      </c>
      <c r="BL374" t="s">
        <v>447</v>
      </c>
      <c r="BM374" t="s">
        <v>7345</v>
      </c>
      <c r="BN374" t="s">
        <v>74</v>
      </c>
      <c r="BO374" t="s">
        <v>74</v>
      </c>
      <c r="BP374" t="s">
        <v>74</v>
      </c>
      <c r="BQ374" t="s">
        <v>74</v>
      </c>
      <c r="BR374" t="s">
        <v>93</v>
      </c>
      <c r="BS374" t="s">
        <v>7358</v>
      </c>
      <c r="BT374" t="str">
        <f>HYPERLINK("https%3A%2F%2Fwww.webofscience.com%2Fwos%2Fwoscc%2Ffull-record%2FWOS:000374703600008","View Full Record in Web of Science")</f>
        <v>View Full Record in Web of Science</v>
      </c>
    </row>
    <row r="375" spans="1:72" x14ac:dyDescent="0.15">
      <c r="A375" t="s">
        <v>72</v>
      </c>
      <c r="B375" t="s">
        <v>7359</v>
      </c>
      <c r="C375" t="s">
        <v>74</v>
      </c>
      <c r="D375" t="s">
        <v>74</v>
      </c>
      <c r="E375" t="s">
        <v>74</v>
      </c>
      <c r="F375" t="s">
        <v>7360</v>
      </c>
      <c r="G375" t="s">
        <v>74</v>
      </c>
      <c r="H375" t="s">
        <v>74</v>
      </c>
      <c r="I375" t="s">
        <v>7361</v>
      </c>
      <c r="J375" t="s">
        <v>7362</v>
      </c>
      <c r="K375" t="s">
        <v>74</v>
      </c>
      <c r="L375" t="s">
        <v>74</v>
      </c>
      <c r="M375" t="s">
        <v>78</v>
      </c>
      <c r="N375" t="s">
        <v>99</v>
      </c>
      <c r="O375" t="s">
        <v>74</v>
      </c>
      <c r="P375" t="s">
        <v>74</v>
      </c>
      <c r="Q375" t="s">
        <v>74</v>
      </c>
      <c r="R375" t="s">
        <v>74</v>
      </c>
      <c r="S375" t="s">
        <v>74</v>
      </c>
      <c r="T375" t="s">
        <v>7363</v>
      </c>
      <c r="U375" t="s">
        <v>7364</v>
      </c>
      <c r="V375" t="s">
        <v>7365</v>
      </c>
      <c r="W375" t="s">
        <v>7366</v>
      </c>
      <c r="X375" t="s">
        <v>7367</v>
      </c>
      <c r="Y375" t="s">
        <v>7368</v>
      </c>
      <c r="Z375" t="s">
        <v>7369</v>
      </c>
      <c r="AA375" t="s">
        <v>74</v>
      </c>
      <c r="AB375" t="s">
        <v>74</v>
      </c>
      <c r="AC375" t="s">
        <v>7370</v>
      </c>
      <c r="AD375" t="s">
        <v>7370</v>
      </c>
      <c r="AE375" t="s">
        <v>7371</v>
      </c>
      <c r="AF375" t="s">
        <v>74</v>
      </c>
      <c r="AG375">
        <v>82</v>
      </c>
      <c r="AH375">
        <v>22</v>
      </c>
      <c r="AI375">
        <v>23</v>
      </c>
      <c r="AJ375">
        <v>1</v>
      </c>
      <c r="AK375">
        <v>14</v>
      </c>
      <c r="AL375" t="s">
        <v>7372</v>
      </c>
      <c r="AM375" t="s">
        <v>219</v>
      </c>
      <c r="AN375" t="s">
        <v>7373</v>
      </c>
      <c r="AO375" t="s">
        <v>7374</v>
      </c>
      <c r="AP375" t="s">
        <v>74</v>
      </c>
      <c r="AQ375" t="s">
        <v>74</v>
      </c>
      <c r="AR375" t="s">
        <v>7375</v>
      </c>
      <c r="AS375" t="s">
        <v>7376</v>
      </c>
      <c r="AT375" t="s">
        <v>74</v>
      </c>
      <c r="AU375">
        <v>2015</v>
      </c>
      <c r="AV375">
        <v>3</v>
      </c>
      <c r="AW375" t="s">
        <v>74</v>
      </c>
      <c r="AX375" t="s">
        <v>74</v>
      </c>
      <c r="AY375" t="s">
        <v>74</v>
      </c>
      <c r="AZ375" t="s">
        <v>74</v>
      </c>
      <c r="BA375" t="s">
        <v>74</v>
      </c>
      <c r="BB375" t="s">
        <v>74</v>
      </c>
      <c r="BC375" t="s">
        <v>74</v>
      </c>
      <c r="BD375">
        <v>16</v>
      </c>
      <c r="BE375" t="s">
        <v>7377</v>
      </c>
      <c r="BF375" t="str">
        <f>HYPERLINK("http://dx.doi.org/10.1186/s40462-015-0044-7","http://dx.doi.org/10.1186/s40462-015-0044-7")</f>
        <v>http://dx.doi.org/10.1186/s40462-015-0044-7</v>
      </c>
      <c r="BG375" t="s">
        <v>74</v>
      </c>
      <c r="BH375" t="s">
        <v>74</v>
      </c>
      <c r="BI375">
        <v>11</v>
      </c>
      <c r="BJ375" t="s">
        <v>5987</v>
      </c>
      <c r="BK375" t="s">
        <v>91</v>
      </c>
      <c r="BL375" t="s">
        <v>395</v>
      </c>
      <c r="BM375" t="s">
        <v>7378</v>
      </c>
      <c r="BN375">
        <v>26236479</v>
      </c>
      <c r="BO375" t="s">
        <v>159</v>
      </c>
      <c r="BP375" t="s">
        <v>74</v>
      </c>
      <c r="BQ375" t="s">
        <v>74</v>
      </c>
      <c r="BR375" t="s">
        <v>93</v>
      </c>
      <c r="BS375" t="s">
        <v>7379</v>
      </c>
      <c r="BT375" t="str">
        <f>HYPERLINK("https%3A%2F%2Fwww.webofscience.com%2Fwos%2Fwoscc%2Ffull-record%2FWOS:000215741800016","View Full Record in Web of Science")</f>
        <v>View Full Record in Web of Science</v>
      </c>
    </row>
    <row r="376" spans="1:72" x14ac:dyDescent="0.15">
      <c r="A376" t="s">
        <v>72</v>
      </c>
      <c r="B376" t="s">
        <v>7380</v>
      </c>
      <c r="C376" t="s">
        <v>74</v>
      </c>
      <c r="D376" t="s">
        <v>74</v>
      </c>
      <c r="E376" t="s">
        <v>74</v>
      </c>
      <c r="F376" t="s">
        <v>7381</v>
      </c>
      <c r="G376" t="s">
        <v>74</v>
      </c>
      <c r="H376" t="s">
        <v>74</v>
      </c>
      <c r="I376" t="s">
        <v>7382</v>
      </c>
      <c r="J376" t="s">
        <v>7362</v>
      </c>
      <c r="K376" t="s">
        <v>74</v>
      </c>
      <c r="L376" t="s">
        <v>74</v>
      </c>
      <c r="M376" t="s">
        <v>78</v>
      </c>
      <c r="N376" t="s">
        <v>99</v>
      </c>
      <c r="O376" t="s">
        <v>74</v>
      </c>
      <c r="P376" t="s">
        <v>74</v>
      </c>
      <c r="Q376" t="s">
        <v>74</v>
      </c>
      <c r="R376" t="s">
        <v>74</v>
      </c>
      <c r="S376" t="s">
        <v>74</v>
      </c>
      <c r="T376" t="s">
        <v>74</v>
      </c>
      <c r="U376" t="s">
        <v>7383</v>
      </c>
      <c r="V376" t="s">
        <v>7384</v>
      </c>
      <c r="W376" t="s">
        <v>7385</v>
      </c>
      <c r="X376" t="s">
        <v>7386</v>
      </c>
      <c r="Y376" t="s">
        <v>7387</v>
      </c>
      <c r="Z376" t="s">
        <v>7388</v>
      </c>
      <c r="AA376" t="s">
        <v>7389</v>
      </c>
      <c r="AB376" t="s">
        <v>7390</v>
      </c>
      <c r="AC376" t="s">
        <v>7391</v>
      </c>
      <c r="AD376" t="s">
        <v>7392</v>
      </c>
      <c r="AE376" t="s">
        <v>7393</v>
      </c>
      <c r="AF376" t="s">
        <v>74</v>
      </c>
      <c r="AG376">
        <v>57</v>
      </c>
      <c r="AH376">
        <v>21</v>
      </c>
      <c r="AI376">
        <v>21</v>
      </c>
      <c r="AJ376">
        <v>1</v>
      </c>
      <c r="AK376">
        <v>12</v>
      </c>
      <c r="AL376" t="s">
        <v>7372</v>
      </c>
      <c r="AM376" t="s">
        <v>219</v>
      </c>
      <c r="AN376" t="s">
        <v>7373</v>
      </c>
      <c r="AO376" t="s">
        <v>7374</v>
      </c>
      <c r="AP376" t="s">
        <v>74</v>
      </c>
      <c r="AQ376" t="s">
        <v>74</v>
      </c>
      <c r="AR376" t="s">
        <v>7375</v>
      </c>
      <c r="AS376" t="s">
        <v>7376</v>
      </c>
      <c r="AT376" t="s">
        <v>74</v>
      </c>
      <c r="AU376">
        <v>2015</v>
      </c>
      <c r="AV376">
        <v>3</v>
      </c>
      <c r="AW376" t="s">
        <v>74</v>
      </c>
      <c r="AX376" t="s">
        <v>74</v>
      </c>
      <c r="AY376" t="s">
        <v>74</v>
      </c>
      <c r="AZ376" t="s">
        <v>74</v>
      </c>
      <c r="BA376" t="s">
        <v>74</v>
      </c>
      <c r="BB376" t="s">
        <v>74</v>
      </c>
      <c r="BC376" t="s">
        <v>74</v>
      </c>
      <c r="BD376">
        <v>32</v>
      </c>
      <c r="BE376" t="s">
        <v>7394</v>
      </c>
      <c r="BF376" t="str">
        <f>HYPERLINK("http://dx.doi.org/10.1186/s40462-015-0057-2","http://dx.doi.org/10.1186/s40462-015-0057-2")</f>
        <v>http://dx.doi.org/10.1186/s40462-015-0057-2</v>
      </c>
      <c r="BG376" t="s">
        <v>74</v>
      </c>
      <c r="BH376" t="s">
        <v>74</v>
      </c>
      <c r="BI376">
        <v>11</v>
      </c>
      <c r="BJ376" t="s">
        <v>5987</v>
      </c>
      <c r="BK376" t="s">
        <v>91</v>
      </c>
      <c r="BL376" t="s">
        <v>395</v>
      </c>
      <c r="BM376" t="s">
        <v>7378</v>
      </c>
      <c r="BN376">
        <v>26396739</v>
      </c>
      <c r="BO376" t="s">
        <v>4229</v>
      </c>
      <c r="BP376" t="s">
        <v>74</v>
      </c>
      <c r="BQ376" t="s">
        <v>74</v>
      </c>
      <c r="BR376" t="s">
        <v>93</v>
      </c>
      <c r="BS376" t="s">
        <v>7395</v>
      </c>
      <c r="BT376" t="str">
        <f>HYPERLINK("https%3A%2F%2Fwww.webofscience.com%2Fwos%2Fwoscc%2Ffull-record%2FWOS:000215741800032","View Full Record in Web of Science")</f>
        <v>View Full Record in Web of Science</v>
      </c>
    </row>
    <row r="377" spans="1:72" x14ac:dyDescent="0.15">
      <c r="A377" t="s">
        <v>72</v>
      </c>
      <c r="B377" t="s">
        <v>7396</v>
      </c>
      <c r="C377" t="s">
        <v>74</v>
      </c>
      <c r="D377" t="s">
        <v>74</v>
      </c>
      <c r="E377" t="s">
        <v>74</v>
      </c>
      <c r="F377" t="s">
        <v>7397</v>
      </c>
      <c r="G377" t="s">
        <v>74</v>
      </c>
      <c r="H377" t="s">
        <v>74</v>
      </c>
      <c r="I377" t="s">
        <v>7398</v>
      </c>
      <c r="J377" t="s">
        <v>7362</v>
      </c>
      <c r="K377" t="s">
        <v>74</v>
      </c>
      <c r="L377" t="s">
        <v>74</v>
      </c>
      <c r="M377" t="s">
        <v>78</v>
      </c>
      <c r="N377" t="s">
        <v>99</v>
      </c>
      <c r="O377" t="s">
        <v>74</v>
      </c>
      <c r="P377" t="s">
        <v>74</v>
      </c>
      <c r="Q377" t="s">
        <v>74</v>
      </c>
      <c r="R377" t="s">
        <v>74</v>
      </c>
      <c r="S377" t="s">
        <v>74</v>
      </c>
      <c r="T377" t="s">
        <v>7399</v>
      </c>
      <c r="U377" t="s">
        <v>7400</v>
      </c>
      <c r="V377" t="s">
        <v>7401</v>
      </c>
      <c r="W377" t="s">
        <v>7402</v>
      </c>
      <c r="X377" t="s">
        <v>7403</v>
      </c>
      <c r="Y377" t="s">
        <v>7404</v>
      </c>
      <c r="Z377" t="s">
        <v>7405</v>
      </c>
      <c r="AA377" t="s">
        <v>74</v>
      </c>
      <c r="AB377" t="s">
        <v>7406</v>
      </c>
      <c r="AC377" t="s">
        <v>7407</v>
      </c>
      <c r="AD377" t="s">
        <v>7408</v>
      </c>
      <c r="AE377" t="s">
        <v>7409</v>
      </c>
      <c r="AF377" t="s">
        <v>74</v>
      </c>
      <c r="AG377">
        <v>48</v>
      </c>
      <c r="AH377">
        <v>35</v>
      </c>
      <c r="AI377">
        <v>39</v>
      </c>
      <c r="AJ377">
        <v>1</v>
      </c>
      <c r="AK377">
        <v>33</v>
      </c>
      <c r="AL377" t="s">
        <v>7372</v>
      </c>
      <c r="AM377" t="s">
        <v>219</v>
      </c>
      <c r="AN377" t="s">
        <v>7373</v>
      </c>
      <c r="AO377" t="s">
        <v>7374</v>
      </c>
      <c r="AP377" t="s">
        <v>74</v>
      </c>
      <c r="AQ377" t="s">
        <v>74</v>
      </c>
      <c r="AR377" t="s">
        <v>7375</v>
      </c>
      <c r="AS377" t="s">
        <v>7376</v>
      </c>
      <c r="AT377" t="s">
        <v>74</v>
      </c>
      <c r="AU377">
        <v>2015</v>
      </c>
      <c r="AV377">
        <v>3</v>
      </c>
      <c r="AW377" t="s">
        <v>74</v>
      </c>
      <c r="AX377" t="s">
        <v>74</v>
      </c>
      <c r="AY377" t="s">
        <v>74</v>
      </c>
      <c r="AZ377" t="s">
        <v>74</v>
      </c>
      <c r="BA377" t="s">
        <v>74</v>
      </c>
      <c r="BB377" t="s">
        <v>74</v>
      </c>
      <c r="BC377" t="s">
        <v>74</v>
      </c>
      <c r="BD377">
        <v>13</v>
      </c>
      <c r="BE377" t="s">
        <v>7410</v>
      </c>
      <c r="BF377" t="str">
        <f>HYPERLINK("http://dx.doi.org/10.1186/s40462-015-0041-x","http://dx.doi.org/10.1186/s40462-015-0041-x")</f>
        <v>http://dx.doi.org/10.1186/s40462-015-0041-x</v>
      </c>
      <c r="BG377" t="s">
        <v>74</v>
      </c>
      <c r="BH377" t="s">
        <v>74</v>
      </c>
      <c r="BI377">
        <v>9</v>
      </c>
      <c r="BJ377" t="s">
        <v>5987</v>
      </c>
      <c r="BK377" t="s">
        <v>91</v>
      </c>
      <c r="BL377" t="s">
        <v>395</v>
      </c>
      <c r="BM377" t="s">
        <v>7378</v>
      </c>
      <c r="BN377">
        <v>26034604</v>
      </c>
      <c r="BO377" t="s">
        <v>159</v>
      </c>
      <c r="BP377" t="s">
        <v>74</v>
      </c>
      <c r="BQ377" t="s">
        <v>74</v>
      </c>
      <c r="BR377" t="s">
        <v>93</v>
      </c>
      <c r="BS377" t="s">
        <v>7411</v>
      </c>
      <c r="BT377" t="str">
        <f>HYPERLINK("https%3A%2F%2Fwww.webofscience.com%2Fwos%2Fwoscc%2Ffull-record%2FWOS:000215741800013","View Full Record in Web of Science")</f>
        <v>View Full Record in Web of Science</v>
      </c>
    </row>
    <row r="378" spans="1:72" x14ac:dyDescent="0.15">
      <c r="A378" t="s">
        <v>72</v>
      </c>
      <c r="B378" t="s">
        <v>7412</v>
      </c>
      <c r="C378" t="s">
        <v>74</v>
      </c>
      <c r="D378" t="s">
        <v>74</v>
      </c>
      <c r="E378" t="s">
        <v>74</v>
      </c>
      <c r="F378" t="s">
        <v>7413</v>
      </c>
      <c r="G378" t="s">
        <v>74</v>
      </c>
      <c r="H378" t="s">
        <v>74</v>
      </c>
      <c r="I378" t="s">
        <v>7414</v>
      </c>
      <c r="J378" t="s">
        <v>7362</v>
      </c>
      <c r="K378" t="s">
        <v>74</v>
      </c>
      <c r="L378" t="s">
        <v>74</v>
      </c>
      <c r="M378" t="s">
        <v>78</v>
      </c>
      <c r="N378" t="s">
        <v>99</v>
      </c>
      <c r="O378" t="s">
        <v>74</v>
      </c>
      <c r="P378" t="s">
        <v>74</v>
      </c>
      <c r="Q378" t="s">
        <v>74</v>
      </c>
      <c r="R378" t="s">
        <v>74</v>
      </c>
      <c r="S378" t="s">
        <v>74</v>
      </c>
      <c r="T378" t="s">
        <v>7415</v>
      </c>
      <c r="U378" t="s">
        <v>7416</v>
      </c>
      <c r="V378" t="s">
        <v>7417</v>
      </c>
      <c r="W378" t="s">
        <v>7418</v>
      </c>
      <c r="X378" t="s">
        <v>7419</v>
      </c>
      <c r="Y378" t="s">
        <v>7420</v>
      </c>
      <c r="Z378" t="s">
        <v>7421</v>
      </c>
      <c r="AA378" t="s">
        <v>7422</v>
      </c>
      <c r="AB378" t="s">
        <v>7423</v>
      </c>
      <c r="AC378" t="s">
        <v>7424</v>
      </c>
      <c r="AD378" t="s">
        <v>7425</v>
      </c>
      <c r="AE378" t="s">
        <v>7426</v>
      </c>
      <c r="AF378" t="s">
        <v>74</v>
      </c>
      <c r="AG378">
        <v>160</v>
      </c>
      <c r="AH378">
        <v>22</v>
      </c>
      <c r="AI378">
        <v>25</v>
      </c>
      <c r="AJ378">
        <v>0</v>
      </c>
      <c r="AK378">
        <v>23</v>
      </c>
      <c r="AL378" t="s">
        <v>7372</v>
      </c>
      <c r="AM378" t="s">
        <v>219</v>
      </c>
      <c r="AN378" t="s">
        <v>7373</v>
      </c>
      <c r="AO378" t="s">
        <v>7374</v>
      </c>
      <c r="AP378" t="s">
        <v>74</v>
      </c>
      <c r="AQ378" t="s">
        <v>74</v>
      </c>
      <c r="AR378" t="s">
        <v>7375</v>
      </c>
      <c r="AS378" t="s">
        <v>7376</v>
      </c>
      <c r="AT378" t="s">
        <v>74</v>
      </c>
      <c r="AU378">
        <v>2015</v>
      </c>
      <c r="AV378">
        <v>3</v>
      </c>
      <c r="AW378" t="s">
        <v>74</v>
      </c>
      <c r="AX378" t="s">
        <v>74</v>
      </c>
      <c r="AY378" t="s">
        <v>74</v>
      </c>
      <c r="AZ378" t="s">
        <v>74</v>
      </c>
      <c r="BA378" t="s">
        <v>74</v>
      </c>
      <c r="BB378" t="s">
        <v>74</v>
      </c>
      <c r="BC378" t="s">
        <v>74</v>
      </c>
      <c r="BD378">
        <v>34</v>
      </c>
      <c r="BE378" t="s">
        <v>7427</v>
      </c>
      <c r="BF378" t="str">
        <f>HYPERLINK("http://dx.doi.org/10.1186/s40462-015-0063-4","http://dx.doi.org/10.1186/s40462-015-0063-4")</f>
        <v>http://dx.doi.org/10.1186/s40462-015-0063-4</v>
      </c>
      <c r="BG378" t="s">
        <v>74</v>
      </c>
      <c r="BH378" t="s">
        <v>74</v>
      </c>
      <c r="BI378">
        <v>24</v>
      </c>
      <c r="BJ378" t="s">
        <v>5987</v>
      </c>
      <c r="BK378" t="s">
        <v>91</v>
      </c>
      <c r="BL378" t="s">
        <v>395</v>
      </c>
      <c r="BM378" t="s">
        <v>7378</v>
      </c>
      <c r="BN378">
        <v>26421151</v>
      </c>
      <c r="BO378" t="s">
        <v>159</v>
      </c>
      <c r="BP378" t="s">
        <v>74</v>
      </c>
      <c r="BQ378" t="s">
        <v>74</v>
      </c>
      <c r="BR378" t="s">
        <v>93</v>
      </c>
      <c r="BS378" t="s">
        <v>7428</v>
      </c>
      <c r="BT378" t="str">
        <f>HYPERLINK("https%3A%2F%2Fwww.webofscience.com%2Fwos%2Fwoscc%2Ffull-record%2FWOS:000215741800034","View Full Record in Web of Science")</f>
        <v>View Full Record in Web of Science</v>
      </c>
    </row>
    <row r="379" spans="1:72" x14ac:dyDescent="0.15">
      <c r="A379" t="s">
        <v>72</v>
      </c>
      <c r="B379" t="s">
        <v>7429</v>
      </c>
      <c r="C379" t="s">
        <v>74</v>
      </c>
      <c r="D379" t="s">
        <v>74</v>
      </c>
      <c r="E379" t="s">
        <v>74</v>
      </c>
      <c r="F379" t="s">
        <v>7430</v>
      </c>
      <c r="G379" t="s">
        <v>74</v>
      </c>
      <c r="H379" t="s">
        <v>74</v>
      </c>
      <c r="I379" t="s">
        <v>7431</v>
      </c>
      <c r="J379" t="s">
        <v>7362</v>
      </c>
      <c r="K379" t="s">
        <v>74</v>
      </c>
      <c r="L379" t="s">
        <v>74</v>
      </c>
      <c r="M379" t="s">
        <v>78</v>
      </c>
      <c r="N379" t="s">
        <v>99</v>
      </c>
      <c r="O379" t="s">
        <v>74</v>
      </c>
      <c r="P379" t="s">
        <v>74</v>
      </c>
      <c r="Q379" t="s">
        <v>74</v>
      </c>
      <c r="R379" t="s">
        <v>74</v>
      </c>
      <c r="S379" t="s">
        <v>74</v>
      </c>
      <c r="T379" t="s">
        <v>7432</v>
      </c>
      <c r="U379" t="s">
        <v>74</v>
      </c>
      <c r="V379" t="s">
        <v>7433</v>
      </c>
      <c r="W379" t="s">
        <v>7434</v>
      </c>
      <c r="X379" t="s">
        <v>7435</v>
      </c>
      <c r="Y379" t="s">
        <v>7436</v>
      </c>
      <c r="Z379" t="s">
        <v>7437</v>
      </c>
      <c r="AA379" t="s">
        <v>7438</v>
      </c>
      <c r="AB379" t="s">
        <v>7439</v>
      </c>
      <c r="AC379" t="s">
        <v>7440</v>
      </c>
      <c r="AD379" t="s">
        <v>7441</v>
      </c>
      <c r="AE379" t="s">
        <v>7442</v>
      </c>
      <c r="AF379" t="s">
        <v>74</v>
      </c>
      <c r="AG379">
        <v>44</v>
      </c>
      <c r="AH379">
        <v>37</v>
      </c>
      <c r="AI379">
        <v>41</v>
      </c>
      <c r="AJ379">
        <v>1</v>
      </c>
      <c r="AK379">
        <v>34</v>
      </c>
      <c r="AL379" t="s">
        <v>5866</v>
      </c>
      <c r="AM379" t="s">
        <v>219</v>
      </c>
      <c r="AN379" t="s">
        <v>5867</v>
      </c>
      <c r="AO379" t="s">
        <v>7374</v>
      </c>
      <c r="AP379" t="s">
        <v>74</v>
      </c>
      <c r="AQ379" t="s">
        <v>74</v>
      </c>
      <c r="AR379" t="s">
        <v>7375</v>
      </c>
      <c r="AS379" t="s">
        <v>7376</v>
      </c>
      <c r="AT379" t="s">
        <v>74</v>
      </c>
      <c r="AU379">
        <v>2015</v>
      </c>
      <c r="AV379">
        <v>3</v>
      </c>
      <c r="AW379" t="s">
        <v>74</v>
      </c>
      <c r="AX379" t="s">
        <v>74</v>
      </c>
      <c r="AY379" t="s">
        <v>74</v>
      </c>
      <c r="AZ379" t="s">
        <v>74</v>
      </c>
      <c r="BA379" t="s">
        <v>74</v>
      </c>
      <c r="BB379" t="s">
        <v>74</v>
      </c>
      <c r="BC379" t="s">
        <v>74</v>
      </c>
      <c r="BD379">
        <v>30</v>
      </c>
      <c r="BE379" t="s">
        <v>7443</v>
      </c>
      <c r="BF379" t="str">
        <f>HYPERLINK("http://dx.doi.org/10.1186/s40462-015-0052","http://dx.doi.org/10.1186/s40462-015-0052")</f>
        <v>http://dx.doi.org/10.1186/s40462-015-0052</v>
      </c>
      <c r="BG379" t="s">
        <v>74</v>
      </c>
      <c r="BH379" t="s">
        <v>74</v>
      </c>
      <c r="BI379">
        <v>10</v>
      </c>
      <c r="BJ379" t="s">
        <v>5987</v>
      </c>
      <c r="BK379" t="s">
        <v>91</v>
      </c>
      <c r="BL379" t="s">
        <v>395</v>
      </c>
      <c r="BM379" t="s">
        <v>7378</v>
      </c>
      <c r="BN379">
        <v>26392864</v>
      </c>
      <c r="BO379" t="s">
        <v>74</v>
      </c>
      <c r="BP379" t="s">
        <v>74</v>
      </c>
      <c r="BQ379" t="s">
        <v>74</v>
      </c>
      <c r="BR379" t="s">
        <v>93</v>
      </c>
      <c r="BS379" t="s">
        <v>7444</v>
      </c>
      <c r="BT379" t="str">
        <f>HYPERLINK("https%3A%2F%2Fwww.webofscience.com%2Fwos%2Fwoscc%2Ffull-record%2FWOS:000215741800030","View Full Record in Web of Science")</f>
        <v>View Full Record in Web of Science</v>
      </c>
    </row>
    <row r="380" spans="1:72" x14ac:dyDescent="0.15">
      <c r="A380" t="s">
        <v>72</v>
      </c>
      <c r="B380" t="s">
        <v>7445</v>
      </c>
      <c r="C380" t="s">
        <v>74</v>
      </c>
      <c r="D380" t="s">
        <v>74</v>
      </c>
      <c r="E380" t="s">
        <v>74</v>
      </c>
      <c r="F380" t="s">
        <v>7446</v>
      </c>
      <c r="G380" t="s">
        <v>74</v>
      </c>
      <c r="H380" t="s">
        <v>74</v>
      </c>
      <c r="I380" t="s">
        <v>7447</v>
      </c>
      <c r="J380" t="s">
        <v>7448</v>
      </c>
      <c r="K380" t="s">
        <v>74</v>
      </c>
      <c r="L380" t="s">
        <v>74</v>
      </c>
      <c r="M380" t="s">
        <v>78</v>
      </c>
      <c r="N380" t="s">
        <v>99</v>
      </c>
      <c r="O380" t="s">
        <v>74</v>
      </c>
      <c r="P380" t="s">
        <v>74</v>
      </c>
      <c r="Q380" t="s">
        <v>74</v>
      </c>
      <c r="R380" t="s">
        <v>74</v>
      </c>
      <c r="S380" t="s">
        <v>74</v>
      </c>
      <c r="T380" t="s">
        <v>74</v>
      </c>
      <c r="U380" t="s">
        <v>74</v>
      </c>
      <c r="V380" t="s">
        <v>7449</v>
      </c>
      <c r="W380" t="s">
        <v>7450</v>
      </c>
      <c r="X380" t="s">
        <v>4616</v>
      </c>
      <c r="Y380" t="s">
        <v>7451</v>
      </c>
      <c r="Z380" t="s">
        <v>7452</v>
      </c>
      <c r="AA380" t="s">
        <v>5342</v>
      </c>
      <c r="AB380" t="s">
        <v>7453</v>
      </c>
      <c r="AC380" t="s">
        <v>7454</v>
      </c>
      <c r="AD380" t="s">
        <v>4423</v>
      </c>
      <c r="AE380" t="s">
        <v>7455</v>
      </c>
      <c r="AF380" t="s">
        <v>74</v>
      </c>
      <c r="AG380">
        <v>24</v>
      </c>
      <c r="AH380">
        <v>4</v>
      </c>
      <c r="AI380">
        <v>4</v>
      </c>
      <c r="AJ380">
        <v>1</v>
      </c>
      <c r="AK380">
        <v>6</v>
      </c>
      <c r="AL380" t="s">
        <v>244</v>
      </c>
      <c r="AM380" t="s">
        <v>245</v>
      </c>
      <c r="AN380" t="s">
        <v>246</v>
      </c>
      <c r="AO380" t="s">
        <v>7456</v>
      </c>
      <c r="AP380" t="s">
        <v>7457</v>
      </c>
      <c r="AQ380" t="s">
        <v>74</v>
      </c>
      <c r="AR380" t="s">
        <v>7458</v>
      </c>
      <c r="AS380" t="s">
        <v>7459</v>
      </c>
      <c r="AT380" t="s">
        <v>74</v>
      </c>
      <c r="AU380">
        <v>2015</v>
      </c>
      <c r="AV380">
        <v>15</v>
      </c>
      <c r="AW380">
        <v>6</v>
      </c>
      <c r="AX380" t="s">
        <v>74</v>
      </c>
      <c r="AY380" t="s">
        <v>74</v>
      </c>
      <c r="AZ380" t="s">
        <v>74</v>
      </c>
      <c r="BA380" t="s">
        <v>74</v>
      </c>
      <c r="BB380">
        <v>1243</v>
      </c>
      <c r="BC380">
        <v>1250</v>
      </c>
      <c r="BD380" t="s">
        <v>74</v>
      </c>
      <c r="BE380" t="s">
        <v>7460</v>
      </c>
      <c r="BF380" t="str">
        <f>HYPERLINK("http://dx.doi.org/10.5194/nhess-15-1243-2015","http://dx.doi.org/10.5194/nhess-15-1243-2015")</f>
        <v>http://dx.doi.org/10.5194/nhess-15-1243-2015</v>
      </c>
      <c r="BG380" t="s">
        <v>74</v>
      </c>
      <c r="BH380" t="s">
        <v>74</v>
      </c>
      <c r="BI380">
        <v>8</v>
      </c>
      <c r="BJ380" t="s">
        <v>7461</v>
      </c>
      <c r="BK380" t="s">
        <v>91</v>
      </c>
      <c r="BL380" t="s">
        <v>7462</v>
      </c>
      <c r="BM380" t="s">
        <v>7463</v>
      </c>
      <c r="BN380" t="s">
        <v>74</v>
      </c>
      <c r="BO380" t="s">
        <v>1557</v>
      </c>
      <c r="BP380" t="s">
        <v>74</v>
      </c>
      <c r="BQ380" t="s">
        <v>74</v>
      </c>
      <c r="BR380" t="s">
        <v>93</v>
      </c>
      <c r="BS380" t="s">
        <v>7464</v>
      </c>
      <c r="BT380" t="str">
        <f>HYPERLINK("https%3A%2F%2Fwww.webofscience.com%2Fwos%2Fwoscc%2Ffull-record%2FWOS:000357127100012","View Full Record in Web of Science")</f>
        <v>View Full Record in Web of Science</v>
      </c>
    </row>
    <row r="381" spans="1:72" x14ac:dyDescent="0.15">
      <c r="A381" t="s">
        <v>72</v>
      </c>
      <c r="B381" t="s">
        <v>7465</v>
      </c>
      <c r="C381" t="s">
        <v>74</v>
      </c>
      <c r="D381" t="s">
        <v>74</v>
      </c>
      <c r="E381" t="s">
        <v>74</v>
      </c>
      <c r="F381" t="s">
        <v>7466</v>
      </c>
      <c r="G381" t="s">
        <v>74</v>
      </c>
      <c r="H381" t="s">
        <v>74</v>
      </c>
      <c r="I381" t="s">
        <v>7467</v>
      </c>
      <c r="J381" t="s">
        <v>7468</v>
      </c>
      <c r="K381" t="s">
        <v>74</v>
      </c>
      <c r="L381" t="s">
        <v>74</v>
      </c>
      <c r="M381" t="s">
        <v>78</v>
      </c>
      <c r="N381" t="s">
        <v>99</v>
      </c>
      <c r="O381" t="s">
        <v>74</v>
      </c>
      <c r="P381" t="s">
        <v>74</v>
      </c>
      <c r="Q381" t="s">
        <v>74</v>
      </c>
      <c r="R381" t="s">
        <v>74</v>
      </c>
      <c r="S381" t="s">
        <v>74</v>
      </c>
      <c r="T381" t="s">
        <v>74</v>
      </c>
      <c r="U381" t="s">
        <v>7469</v>
      </c>
      <c r="V381" t="s">
        <v>7470</v>
      </c>
      <c r="W381" t="s">
        <v>7471</v>
      </c>
      <c r="X381" t="s">
        <v>7472</v>
      </c>
      <c r="Y381" t="s">
        <v>6031</v>
      </c>
      <c r="Z381" t="s">
        <v>7473</v>
      </c>
      <c r="AA381" t="s">
        <v>7474</v>
      </c>
      <c r="AB381" t="s">
        <v>7475</v>
      </c>
      <c r="AC381" t="s">
        <v>7476</v>
      </c>
      <c r="AD381" t="s">
        <v>7477</v>
      </c>
      <c r="AE381" t="s">
        <v>7478</v>
      </c>
      <c r="AF381" t="s">
        <v>74</v>
      </c>
      <c r="AG381">
        <v>50</v>
      </c>
      <c r="AH381">
        <v>189</v>
      </c>
      <c r="AI381">
        <v>208</v>
      </c>
      <c r="AJ381">
        <v>6</v>
      </c>
      <c r="AK381">
        <v>193</v>
      </c>
      <c r="AL381" t="s">
        <v>7479</v>
      </c>
      <c r="AM381" t="s">
        <v>7177</v>
      </c>
      <c r="AN381" t="s">
        <v>7480</v>
      </c>
      <c r="AO381" t="s">
        <v>7481</v>
      </c>
      <c r="AP381" t="s">
        <v>7482</v>
      </c>
      <c r="AQ381" t="s">
        <v>74</v>
      </c>
      <c r="AR381" t="s">
        <v>7483</v>
      </c>
      <c r="AS381" t="s">
        <v>7484</v>
      </c>
      <c r="AT381" t="s">
        <v>200</v>
      </c>
      <c r="AU381">
        <v>2015</v>
      </c>
      <c r="AV381">
        <v>5</v>
      </c>
      <c r="AW381">
        <v>1</v>
      </c>
      <c r="AX381" t="s">
        <v>74</v>
      </c>
      <c r="AY381" t="s">
        <v>74</v>
      </c>
      <c r="AZ381" t="s">
        <v>74</v>
      </c>
      <c r="BA381" t="s">
        <v>74</v>
      </c>
      <c r="BB381">
        <v>71</v>
      </c>
      <c r="BC381">
        <v>79</v>
      </c>
      <c r="BD381" t="s">
        <v>74</v>
      </c>
      <c r="BE381" t="s">
        <v>7485</v>
      </c>
      <c r="BF381" t="str">
        <f>HYPERLINK("http://dx.doi.org/10.1038/NCLIMATE2441","http://dx.doi.org/10.1038/NCLIMATE2441")</f>
        <v>http://dx.doi.org/10.1038/NCLIMATE2441</v>
      </c>
      <c r="BG381" t="s">
        <v>74</v>
      </c>
      <c r="BH381" t="s">
        <v>74</v>
      </c>
      <c r="BI381">
        <v>9</v>
      </c>
      <c r="BJ381" t="s">
        <v>5051</v>
      </c>
      <c r="BK381" t="s">
        <v>157</v>
      </c>
      <c r="BL381" t="s">
        <v>498</v>
      </c>
      <c r="BM381" t="s">
        <v>7486</v>
      </c>
      <c r="BN381" t="s">
        <v>74</v>
      </c>
      <c r="BO381" t="s">
        <v>74</v>
      </c>
      <c r="BP381" t="s">
        <v>74</v>
      </c>
      <c r="BQ381" t="s">
        <v>74</v>
      </c>
      <c r="BR381" t="s">
        <v>93</v>
      </c>
      <c r="BS381" t="s">
        <v>7487</v>
      </c>
      <c r="BT381" t="str">
        <f>HYPERLINK("https%3A%2F%2Fwww.webofscience.com%2Fwos%2Fwoscc%2Ffull-record%2FWOS:000346513900022","View Full Record in Web of Science")</f>
        <v>View Full Record in Web of Science</v>
      </c>
    </row>
    <row r="382" spans="1:72" x14ac:dyDescent="0.15">
      <c r="A382" t="s">
        <v>72</v>
      </c>
      <c r="B382" t="s">
        <v>7488</v>
      </c>
      <c r="C382" t="s">
        <v>74</v>
      </c>
      <c r="D382" t="s">
        <v>74</v>
      </c>
      <c r="E382" t="s">
        <v>74</v>
      </c>
      <c r="F382" t="s">
        <v>7489</v>
      </c>
      <c r="G382" t="s">
        <v>74</v>
      </c>
      <c r="H382" t="s">
        <v>74</v>
      </c>
      <c r="I382" t="s">
        <v>7490</v>
      </c>
      <c r="J382" t="s">
        <v>7491</v>
      </c>
      <c r="K382" t="s">
        <v>74</v>
      </c>
      <c r="L382" t="s">
        <v>74</v>
      </c>
      <c r="M382" t="s">
        <v>78</v>
      </c>
      <c r="N382" t="s">
        <v>99</v>
      </c>
      <c r="O382" t="s">
        <v>74</v>
      </c>
      <c r="P382" t="s">
        <v>74</v>
      </c>
      <c r="Q382" t="s">
        <v>74</v>
      </c>
      <c r="R382" t="s">
        <v>74</v>
      </c>
      <c r="S382" t="s">
        <v>74</v>
      </c>
      <c r="T382" t="s">
        <v>74</v>
      </c>
      <c r="U382" t="s">
        <v>7492</v>
      </c>
      <c r="V382" t="s">
        <v>7493</v>
      </c>
      <c r="W382" t="s">
        <v>7494</v>
      </c>
      <c r="X382" t="s">
        <v>7495</v>
      </c>
      <c r="Y382" t="s">
        <v>7496</v>
      </c>
      <c r="Z382" t="s">
        <v>7497</v>
      </c>
      <c r="AA382" t="s">
        <v>7498</v>
      </c>
      <c r="AB382" t="s">
        <v>7499</v>
      </c>
      <c r="AC382" t="s">
        <v>7500</v>
      </c>
      <c r="AD382" t="s">
        <v>7501</v>
      </c>
      <c r="AE382" t="s">
        <v>7502</v>
      </c>
      <c r="AF382" t="s">
        <v>74</v>
      </c>
      <c r="AG382">
        <v>52</v>
      </c>
      <c r="AH382">
        <v>77</v>
      </c>
      <c r="AI382">
        <v>85</v>
      </c>
      <c r="AJ382">
        <v>0</v>
      </c>
      <c r="AK382">
        <v>53</v>
      </c>
      <c r="AL382" t="s">
        <v>7503</v>
      </c>
      <c r="AM382" t="s">
        <v>219</v>
      </c>
      <c r="AN382" t="s">
        <v>7504</v>
      </c>
      <c r="AO382" t="s">
        <v>7505</v>
      </c>
      <c r="AP382" t="s">
        <v>74</v>
      </c>
      <c r="AQ382" t="s">
        <v>74</v>
      </c>
      <c r="AR382" t="s">
        <v>7506</v>
      </c>
      <c r="AS382" t="s">
        <v>7507</v>
      </c>
      <c r="AT382" t="s">
        <v>200</v>
      </c>
      <c r="AU382">
        <v>2015</v>
      </c>
      <c r="AV382">
        <v>6</v>
      </c>
      <c r="AW382" t="s">
        <v>74</v>
      </c>
      <c r="AX382" t="s">
        <v>74</v>
      </c>
      <c r="AY382" t="s">
        <v>74</v>
      </c>
      <c r="AZ382" t="s">
        <v>74</v>
      </c>
      <c r="BA382" t="s">
        <v>74</v>
      </c>
      <c r="BB382" t="s">
        <v>74</v>
      </c>
      <c r="BC382" t="s">
        <v>74</v>
      </c>
      <c r="BD382">
        <v>5916</v>
      </c>
      <c r="BE382" t="s">
        <v>7508</v>
      </c>
      <c r="BF382" t="str">
        <f>HYPERLINK("http://dx.doi.org/10.1038/ncomms6916","http://dx.doi.org/10.1038/ncomms6916")</f>
        <v>http://dx.doi.org/10.1038/ncomms6916</v>
      </c>
      <c r="BG382" t="s">
        <v>74</v>
      </c>
      <c r="BH382" t="s">
        <v>74</v>
      </c>
      <c r="BI382">
        <v>7</v>
      </c>
      <c r="BJ382" t="s">
        <v>201</v>
      </c>
      <c r="BK382" t="s">
        <v>91</v>
      </c>
      <c r="BL382" t="s">
        <v>203</v>
      </c>
      <c r="BM382" t="s">
        <v>7509</v>
      </c>
      <c r="BN382">
        <v>25562847</v>
      </c>
      <c r="BO382" t="s">
        <v>720</v>
      </c>
      <c r="BP382" t="s">
        <v>74</v>
      </c>
      <c r="BQ382" t="s">
        <v>74</v>
      </c>
      <c r="BR382" t="s">
        <v>93</v>
      </c>
      <c r="BS382" t="s">
        <v>7510</v>
      </c>
      <c r="BT382" t="str">
        <f>HYPERLINK("https%3A%2F%2Fwww.webofscience.com%2Fwos%2Fwoscc%2Ffull-record%2FWOS:000348742100005","View Full Record in Web of Science")</f>
        <v>View Full Record in Web of Science</v>
      </c>
    </row>
    <row r="383" spans="1:72" x14ac:dyDescent="0.15">
      <c r="A383" t="s">
        <v>72</v>
      </c>
      <c r="B383" t="s">
        <v>7511</v>
      </c>
      <c r="C383" t="s">
        <v>74</v>
      </c>
      <c r="D383" t="s">
        <v>74</v>
      </c>
      <c r="E383" t="s">
        <v>74</v>
      </c>
      <c r="F383" t="s">
        <v>7512</v>
      </c>
      <c r="G383" t="s">
        <v>74</v>
      </c>
      <c r="H383" t="s">
        <v>74</v>
      </c>
      <c r="I383" t="s">
        <v>7513</v>
      </c>
      <c r="J383" t="s">
        <v>7514</v>
      </c>
      <c r="K383" t="s">
        <v>74</v>
      </c>
      <c r="L383" t="s">
        <v>74</v>
      </c>
      <c r="M383" t="s">
        <v>78</v>
      </c>
      <c r="N383" t="s">
        <v>99</v>
      </c>
      <c r="O383" t="s">
        <v>74</v>
      </c>
      <c r="P383" t="s">
        <v>74</v>
      </c>
      <c r="Q383" t="s">
        <v>74</v>
      </c>
      <c r="R383" t="s">
        <v>74</v>
      </c>
      <c r="S383" t="s">
        <v>74</v>
      </c>
      <c r="T383" t="s">
        <v>74</v>
      </c>
      <c r="U383" t="s">
        <v>7515</v>
      </c>
      <c r="V383" t="s">
        <v>7516</v>
      </c>
      <c r="W383" t="s">
        <v>7517</v>
      </c>
      <c r="X383" t="s">
        <v>7518</v>
      </c>
      <c r="Y383" t="s">
        <v>7519</v>
      </c>
      <c r="Z383" t="s">
        <v>7520</v>
      </c>
      <c r="AA383" t="s">
        <v>74</v>
      </c>
      <c r="AB383" t="s">
        <v>74</v>
      </c>
      <c r="AC383" t="s">
        <v>7521</v>
      </c>
      <c r="AD383" t="s">
        <v>7522</v>
      </c>
      <c r="AE383" t="s">
        <v>7523</v>
      </c>
      <c r="AF383" t="s">
        <v>74</v>
      </c>
      <c r="AG383">
        <v>34</v>
      </c>
      <c r="AH383">
        <v>94</v>
      </c>
      <c r="AI383">
        <v>103</v>
      </c>
      <c r="AJ383">
        <v>3</v>
      </c>
      <c r="AK383">
        <v>60</v>
      </c>
      <c r="AL383" t="s">
        <v>7503</v>
      </c>
      <c r="AM383" t="s">
        <v>342</v>
      </c>
      <c r="AN383" t="s">
        <v>7524</v>
      </c>
      <c r="AO383" t="s">
        <v>7525</v>
      </c>
      <c r="AP383" t="s">
        <v>7526</v>
      </c>
      <c r="AQ383" t="s">
        <v>74</v>
      </c>
      <c r="AR383" t="s">
        <v>7527</v>
      </c>
      <c r="AS383" t="s">
        <v>7528</v>
      </c>
      <c r="AT383" t="s">
        <v>200</v>
      </c>
      <c r="AU383">
        <v>2015</v>
      </c>
      <c r="AV383">
        <v>8</v>
      </c>
      <c r="AW383">
        <v>1</v>
      </c>
      <c r="AX383" t="s">
        <v>74</v>
      </c>
      <c r="AY383" t="s">
        <v>74</v>
      </c>
      <c r="AZ383" t="s">
        <v>74</v>
      </c>
      <c r="BA383" t="s">
        <v>74</v>
      </c>
      <c r="BB383">
        <v>61</v>
      </c>
      <c r="BC383">
        <v>67</v>
      </c>
      <c r="BD383" t="s">
        <v>74</v>
      </c>
      <c r="BE383" t="s">
        <v>7529</v>
      </c>
      <c r="BF383" t="str">
        <f>HYPERLINK("http://dx.doi.org/10.1038/NGEO2299","http://dx.doi.org/10.1038/NGEO2299")</f>
        <v>http://dx.doi.org/10.1038/NGEO2299</v>
      </c>
      <c r="BG383" t="s">
        <v>74</v>
      </c>
      <c r="BH383" t="s">
        <v>74</v>
      </c>
      <c r="BI383">
        <v>7</v>
      </c>
      <c r="BJ383" t="s">
        <v>1953</v>
      </c>
      <c r="BK383" t="s">
        <v>91</v>
      </c>
      <c r="BL383" t="s">
        <v>1954</v>
      </c>
      <c r="BM383" t="s">
        <v>7530</v>
      </c>
      <c r="BN383" t="s">
        <v>74</v>
      </c>
      <c r="BO383" t="s">
        <v>74</v>
      </c>
      <c r="BP383" t="s">
        <v>74</v>
      </c>
      <c r="BQ383" t="s">
        <v>74</v>
      </c>
      <c r="BR383" t="s">
        <v>93</v>
      </c>
      <c r="BS383" t="s">
        <v>7531</v>
      </c>
      <c r="BT383" t="str">
        <f>HYPERLINK("https%3A%2F%2Fwww.webofscience.com%2Fwos%2Fwoscc%2Ffull-record%2FWOS:000346825000017","View Full Record in Web of Science")</f>
        <v>View Full Record in Web of Science</v>
      </c>
    </row>
    <row r="384" spans="1:72" x14ac:dyDescent="0.15">
      <c r="A384" t="s">
        <v>72</v>
      </c>
      <c r="B384" t="s">
        <v>7532</v>
      </c>
      <c r="C384" t="s">
        <v>74</v>
      </c>
      <c r="D384" t="s">
        <v>74</v>
      </c>
      <c r="E384" t="s">
        <v>74</v>
      </c>
      <c r="F384" t="s">
        <v>7533</v>
      </c>
      <c r="G384" t="s">
        <v>74</v>
      </c>
      <c r="H384" t="s">
        <v>74</v>
      </c>
      <c r="I384" t="s">
        <v>7534</v>
      </c>
      <c r="J384" t="s">
        <v>7535</v>
      </c>
      <c r="K384" t="s">
        <v>74</v>
      </c>
      <c r="L384" t="s">
        <v>74</v>
      </c>
      <c r="M384" t="s">
        <v>78</v>
      </c>
      <c r="N384" t="s">
        <v>99</v>
      </c>
      <c r="O384" t="s">
        <v>74</v>
      </c>
      <c r="P384" t="s">
        <v>74</v>
      </c>
      <c r="Q384" t="s">
        <v>74</v>
      </c>
      <c r="R384" t="s">
        <v>74</v>
      </c>
      <c r="S384" t="s">
        <v>74</v>
      </c>
      <c r="T384" t="s">
        <v>7536</v>
      </c>
      <c r="U384" t="s">
        <v>7537</v>
      </c>
      <c r="V384" t="s">
        <v>7538</v>
      </c>
      <c r="W384" t="s">
        <v>7539</v>
      </c>
      <c r="X384" t="s">
        <v>7540</v>
      </c>
      <c r="Y384" t="s">
        <v>7541</v>
      </c>
      <c r="Z384" t="s">
        <v>7542</v>
      </c>
      <c r="AA384" t="s">
        <v>7543</v>
      </c>
      <c r="AB384" t="s">
        <v>7544</v>
      </c>
      <c r="AC384" t="s">
        <v>7545</v>
      </c>
      <c r="AD384" t="s">
        <v>7546</v>
      </c>
      <c r="AE384" t="s">
        <v>7547</v>
      </c>
      <c r="AF384" t="s">
        <v>74</v>
      </c>
      <c r="AG384">
        <v>10</v>
      </c>
      <c r="AH384">
        <v>2</v>
      </c>
      <c r="AI384">
        <v>3</v>
      </c>
      <c r="AJ384">
        <v>0</v>
      </c>
      <c r="AK384">
        <v>7</v>
      </c>
      <c r="AL384" t="s">
        <v>7548</v>
      </c>
      <c r="AM384" t="s">
        <v>7549</v>
      </c>
      <c r="AN384" t="s">
        <v>7550</v>
      </c>
      <c r="AO384" t="s">
        <v>7551</v>
      </c>
      <c r="AP384" t="s">
        <v>74</v>
      </c>
      <c r="AQ384" t="s">
        <v>74</v>
      </c>
      <c r="AR384" t="s">
        <v>7552</v>
      </c>
      <c r="AS384" t="s">
        <v>7553</v>
      </c>
      <c r="AT384" t="s">
        <v>74</v>
      </c>
      <c r="AU384">
        <v>2015</v>
      </c>
      <c r="AV384">
        <v>36</v>
      </c>
      <c r="AW384">
        <v>1</v>
      </c>
      <c r="AX384" t="s">
        <v>74</v>
      </c>
      <c r="AY384" t="s">
        <v>74</v>
      </c>
      <c r="AZ384" t="s">
        <v>74</v>
      </c>
      <c r="BA384" t="s">
        <v>74</v>
      </c>
      <c r="BB384">
        <v>80</v>
      </c>
      <c r="BC384">
        <v>83</v>
      </c>
      <c r="BD384" t="s">
        <v>74</v>
      </c>
      <c r="BE384" t="s">
        <v>74</v>
      </c>
      <c r="BF384" t="s">
        <v>74</v>
      </c>
      <c r="BG384" t="s">
        <v>74</v>
      </c>
      <c r="BH384" t="s">
        <v>74</v>
      </c>
      <c r="BI384">
        <v>4</v>
      </c>
      <c r="BJ384" t="s">
        <v>7554</v>
      </c>
      <c r="BK384" t="s">
        <v>91</v>
      </c>
      <c r="BL384" t="s">
        <v>7555</v>
      </c>
      <c r="BM384" t="s">
        <v>7556</v>
      </c>
      <c r="BN384">
        <v>25789585</v>
      </c>
      <c r="BO384" t="s">
        <v>74</v>
      </c>
      <c r="BP384" t="s">
        <v>74</v>
      </c>
      <c r="BQ384" t="s">
        <v>74</v>
      </c>
      <c r="BR384" t="s">
        <v>93</v>
      </c>
      <c r="BS384" t="s">
        <v>7557</v>
      </c>
      <c r="BT384" t="str">
        <f>HYPERLINK("https%3A%2F%2Fwww.webofscience.com%2Fwos%2Fwoscc%2Ffull-record%2FWOS:000351927400013","View Full Record in Web of Science")</f>
        <v>View Full Record in Web of Science</v>
      </c>
    </row>
    <row r="385" spans="1:72" x14ac:dyDescent="0.15">
      <c r="A385" t="s">
        <v>72</v>
      </c>
      <c r="B385" t="s">
        <v>7558</v>
      </c>
      <c r="C385" t="s">
        <v>74</v>
      </c>
      <c r="D385" t="s">
        <v>74</v>
      </c>
      <c r="E385" t="s">
        <v>74</v>
      </c>
      <c r="F385" t="s">
        <v>7559</v>
      </c>
      <c r="G385" t="s">
        <v>74</v>
      </c>
      <c r="H385" t="s">
        <v>74</v>
      </c>
      <c r="I385" t="s">
        <v>7560</v>
      </c>
      <c r="J385" t="s">
        <v>7561</v>
      </c>
      <c r="K385" t="s">
        <v>74</v>
      </c>
      <c r="L385" t="s">
        <v>74</v>
      </c>
      <c r="M385" t="s">
        <v>78</v>
      </c>
      <c r="N385" t="s">
        <v>99</v>
      </c>
      <c r="O385" t="s">
        <v>74</v>
      </c>
      <c r="P385" t="s">
        <v>74</v>
      </c>
      <c r="Q385" t="s">
        <v>74</v>
      </c>
      <c r="R385" t="s">
        <v>74</v>
      </c>
      <c r="S385" t="s">
        <v>74</v>
      </c>
      <c r="T385" t="s">
        <v>7562</v>
      </c>
      <c r="U385" t="s">
        <v>7563</v>
      </c>
      <c r="V385" t="s">
        <v>7564</v>
      </c>
      <c r="W385" t="s">
        <v>7565</v>
      </c>
      <c r="X385" t="s">
        <v>7566</v>
      </c>
      <c r="Y385" t="s">
        <v>7567</v>
      </c>
      <c r="Z385" t="s">
        <v>7568</v>
      </c>
      <c r="AA385" t="s">
        <v>7569</v>
      </c>
      <c r="AB385" t="s">
        <v>7570</v>
      </c>
      <c r="AC385" t="s">
        <v>7571</v>
      </c>
      <c r="AD385" t="s">
        <v>7572</v>
      </c>
      <c r="AE385" t="s">
        <v>7573</v>
      </c>
      <c r="AF385" t="s">
        <v>74</v>
      </c>
      <c r="AG385">
        <v>40</v>
      </c>
      <c r="AH385">
        <v>86</v>
      </c>
      <c r="AI385">
        <v>92</v>
      </c>
      <c r="AJ385">
        <v>6</v>
      </c>
      <c r="AK385">
        <v>80</v>
      </c>
      <c r="AL385" t="s">
        <v>2006</v>
      </c>
      <c r="AM385" t="s">
        <v>2007</v>
      </c>
      <c r="AN385" t="s">
        <v>2008</v>
      </c>
      <c r="AO385" t="s">
        <v>7574</v>
      </c>
      <c r="AP385" t="s">
        <v>7575</v>
      </c>
      <c r="AQ385" t="s">
        <v>74</v>
      </c>
      <c r="AR385" t="s">
        <v>7576</v>
      </c>
      <c r="AS385" t="s">
        <v>7577</v>
      </c>
      <c r="AT385" t="s">
        <v>200</v>
      </c>
      <c r="AU385">
        <v>2015</v>
      </c>
      <c r="AV385">
        <v>205</v>
      </c>
      <c r="AW385">
        <v>1</v>
      </c>
      <c r="AX385" t="s">
        <v>74</v>
      </c>
      <c r="AY385" t="s">
        <v>74</v>
      </c>
      <c r="AZ385" t="s">
        <v>74</v>
      </c>
      <c r="BA385" t="s">
        <v>74</v>
      </c>
      <c r="BB385">
        <v>172</v>
      </c>
      <c r="BC385">
        <v>181</v>
      </c>
      <c r="BD385" t="s">
        <v>74</v>
      </c>
      <c r="BE385" t="s">
        <v>7578</v>
      </c>
      <c r="BF385" t="str">
        <f>HYPERLINK("http://dx.doi.org/10.1111/nph.13021","http://dx.doi.org/10.1111/nph.13021")</f>
        <v>http://dx.doi.org/10.1111/nph.13021</v>
      </c>
      <c r="BG385" t="s">
        <v>74</v>
      </c>
      <c r="BH385" t="s">
        <v>74</v>
      </c>
      <c r="BI385">
        <v>10</v>
      </c>
      <c r="BJ385" t="s">
        <v>1015</v>
      </c>
      <c r="BK385" t="s">
        <v>91</v>
      </c>
      <c r="BL385" t="s">
        <v>1015</v>
      </c>
      <c r="BM385" t="s">
        <v>7579</v>
      </c>
      <c r="BN385">
        <v>25283055</v>
      </c>
      <c r="BO385" t="s">
        <v>375</v>
      </c>
      <c r="BP385" t="s">
        <v>74</v>
      </c>
      <c r="BQ385" t="s">
        <v>74</v>
      </c>
      <c r="BR385" t="s">
        <v>93</v>
      </c>
      <c r="BS385" t="s">
        <v>7580</v>
      </c>
      <c r="BT385" t="str">
        <f>HYPERLINK("https%3A%2F%2Fwww.webofscience.com%2Fwos%2Fwoscc%2Ffull-record%2FWOS:000345596700020","View Full Record in Web of Science")</f>
        <v>View Full Record in Web of Science</v>
      </c>
    </row>
    <row r="386" spans="1:72" x14ac:dyDescent="0.15">
      <c r="A386" t="s">
        <v>72</v>
      </c>
      <c r="B386" t="s">
        <v>7581</v>
      </c>
      <c r="C386" t="s">
        <v>74</v>
      </c>
      <c r="D386" t="s">
        <v>74</v>
      </c>
      <c r="E386" t="s">
        <v>74</v>
      </c>
      <c r="F386" t="s">
        <v>7582</v>
      </c>
      <c r="G386" t="s">
        <v>74</v>
      </c>
      <c r="H386" t="s">
        <v>74</v>
      </c>
      <c r="I386" t="s">
        <v>7583</v>
      </c>
      <c r="J386" t="s">
        <v>7584</v>
      </c>
      <c r="K386" t="s">
        <v>74</v>
      </c>
      <c r="L386" t="s">
        <v>74</v>
      </c>
      <c r="M386" t="s">
        <v>7585</v>
      </c>
      <c r="N386" t="s">
        <v>5947</v>
      </c>
      <c r="O386" t="s">
        <v>74</v>
      </c>
      <c r="P386" t="s">
        <v>74</v>
      </c>
      <c r="Q386" t="s">
        <v>74</v>
      </c>
      <c r="R386" t="s">
        <v>74</v>
      </c>
      <c r="S386" t="s">
        <v>74</v>
      </c>
      <c r="T386" t="s">
        <v>74</v>
      </c>
      <c r="U386" t="s">
        <v>74</v>
      </c>
      <c r="V386" t="s">
        <v>74</v>
      </c>
      <c r="W386" t="s">
        <v>7586</v>
      </c>
      <c r="X386" t="s">
        <v>7587</v>
      </c>
      <c r="Y386" t="s">
        <v>7588</v>
      </c>
      <c r="Z386" t="s">
        <v>7589</v>
      </c>
      <c r="AA386" t="s">
        <v>7590</v>
      </c>
      <c r="AB386" t="s">
        <v>7591</v>
      </c>
      <c r="AC386" t="s">
        <v>74</v>
      </c>
      <c r="AD386" t="s">
        <v>74</v>
      </c>
      <c r="AE386" t="s">
        <v>74</v>
      </c>
      <c r="AF386" t="s">
        <v>74</v>
      </c>
      <c r="AG386">
        <v>0</v>
      </c>
      <c r="AH386">
        <v>0</v>
      </c>
      <c r="AI386">
        <v>0</v>
      </c>
      <c r="AJ386">
        <v>0</v>
      </c>
      <c r="AK386">
        <v>1</v>
      </c>
      <c r="AL386" t="s">
        <v>7592</v>
      </c>
      <c r="AM386" t="s">
        <v>2171</v>
      </c>
      <c r="AN386" t="s">
        <v>7593</v>
      </c>
      <c r="AO386" t="s">
        <v>7594</v>
      </c>
      <c r="AP386" t="s">
        <v>7595</v>
      </c>
      <c r="AQ386" t="s">
        <v>74</v>
      </c>
      <c r="AR386" t="s">
        <v>7596</v>
      </c>
      <c r="AS386" t="s">
        <v>7597</v>
      </c>
      <c r="AT386" t="s">
        <v>74</v>
      </c>
      <c r="AU386">
        <v>2015</v>
      </c>
      <c r="AV386">
        <v>81</v>
      </c>
      <c r="AW386">
        <v>6</v>
      </c>
      <c r="AX386" t="s">
        <v>74</v>
      </c>
      <c r="AY386" t="s">
        <v>74</v>
      </c>
      <c r="AZ386" t="s">
        <v>74</v>
      </c>
      <c r="BA386" t="s">
        <v>74</v>
      </c>
      <c r="BB386">
        <v>1001</v>
      </c>
      <c r="BC386">
        <v>1001</v>
      </c>
      <c r="BD386" t="s">
        <v>74</v>
      </c>
      <c r="BE386" t="s">
        <v>7598</v>
      </c>
      <c r="BF386" t="str">
        <f>HYPERLINK("http://dx.doi.org/10.2331/suisan.81.1001","http://dx.doi.org/10.2331/suisan.81.1001")</f>
        <v>http://dx.doi.org/10.2331/suisan.81.1001</v>
      </c>
      <c r="BG386" t="s">
        <v>74</v>
      </c>
      <c r="BH386" t="s">
        <v>74</v>
      </c>
      <c r="BI386">
        <v>1</v>
      </c>
      <c r="BJ386" t="s">
        <v>4895</v>
      </c>
      <c r="BK386" t="s">
        <v>91</v>
      </c>
      <c r="BL386" t="s">
        <v>4895</v>
      </c>
      <c r="BM386" t="s">
        <v>7599</v>
      </c>
      <c r="BN386" t="s">
        <v>74</v>
      </c>
      <c r="BO386" t="s">
        <v>375</v>
      </c>
      <c r="BP386" t="s">
        <v>74</v>
      </c>
      <c r="BQ386" t="s">
        <v>74</v>
      </c>
      <c r="BR386" t="s">
        <v>93</v>
      </c>
      <c r="BS386" t="s">
        <v>7600</v>
      </c>
      <c r="BT386" t="str">
        <f>HYPERLINK("https%3A%2F%2Fwww.webofscience.com%2Fwos%2Fwoscc%2Ffull-record%2FWOS:000366175900009","View Full Record in Web of Science")</f>
        <v>View Full Record in Web of Science</v>
      </c>
    </row>
    <row r="387" spans="1:72" x14ac:dyDescent="0.15">
      <c r="A387" t="s">
        <v>72</v>
      </c>
      <c r="B387" t="s">
        <v>7601</v>
      </c>
      <c r="C387" t="s">
        <v>74</v>
      </c>
      <c r="D387" t="s">
        <v>74</v>
      </c>
      <c r="E387" t="s">
        <v>74</v>
      </c>
      <c r="F387" t="s">
        <v>7602</v>
      </c>
      <c r="G387" t="s">
        <v>74</v>
      </c>
      <c r="H387" t="s">
        <v>74</v>
      </c>
      <c r="I387" t="s">
        <v>7603</v>
      </c>
      <c r="J387" t="s">
        <v>7584</v>
      </c>
      <c r="K387" t="s">
        <v>74</v>
      </c>
      <c r="L387" t="s">
        <v>74</v>
      </c>
      <c r="M387" t="s">
        <v>7585</v>
      </c>
      <c r="N387" t="s">
        <v>5947</v>
      </c>
      <c r="O387" t="s">
        <v>74</v>
      </c>
      <c r="P387" t="s">
        <v>74</v>
      </c>
      <c r="Q387" t="s">
        <v>74</v>
      </c>
      <c r="R387" t="s">
        <v>74</v>
      </c>
      <c r="S387" t="s">
        <v>74</v>
      </c>
      <c r="T387" t="s">
        <v>74</v>
      </c>
      <c r="U387" t="s">
        <v>74</v>
      </c>
      <c r="V387" t="s">
        <v>74</v>
      </c>
      <c r="W387" t="s">
        <v>7604</v>
      </c>
      <c r="X387" t="s">
        <v>74</v>
      </c>
      <c r="Y387" t="s">
        <v>7605</v>
      </c>
      <c r="Z387" t="s">
        <v>74</v>
      </c>
      <c r="AA387" t="s">
        <v>74</v>
      </c>
      <c r="AB387" t="s">
        <v>74</v>
      </c>
      <c r="AC387" t="s">
        <v>74</v>
      </c>
      <c r="AD387" t="s">
        <v>74</v>
      </c>
      <c r="AE387" t="s">
        <v>74</v>
      </c>
      <c r="AF387" t="s">
        <v>74</v>
      </c>
      <c r="AG387">
        <v>0</v>
      </c>
      <c r="AH387">
        <v>0</v>
      </c>
      <c r="AI387">
        <v>0</v>
      </c>
      <c r="AJ387">
        <v>0</v>
      </c>
      <c r="AK387">
        <v>2</v>
      </c>
      <c r="AL387" t="s">
        <v>7592</v>
      </c>
      <c r="AM387" t="s">
        <v>2171</v>
      </c>
      <c r="AN387" t="s">
        <v>7593</v>
      </c>
      <c r="AO387" t="s">
        <v>7594</v>
      </c>
      <c r="AP387" t="s">
        <v>7595</v>
      </c>
      <c r="AQ387" t="s">
        <v>74</v>
      </c>
      <c r="AR387" t="s">
        <v>7596</v>
      </c>
      <c r="AS387" t="s">
        <v>7597</v>
      </c>
      <c r="AT387" t="s">
        <v>74</v>
      </c>
      <c r="AU387">
        <v>2015</v>
      </c>
      <c r="AV387">
        <v>81</v>
      </c>
      <c r="AW387">
        <v>6</v>
      </c>
      <c r="AX387" t="s">
        <v>74</v>
      </c>
      <c r="AY387" t="s">
        <v>74</v>
      </c>
      <c r="AZ387" t="s">
        <v>74</v>
      </c>
      <c r="BA387" t="s">
        <v>74</v>
      </c>
      <c r="BB387">
        <v>1002</v>
      </c>
      <c r="BC387">
        <v>1002</v>
      </c>
      <c r="BD387" t="s">
        <v>74</v>
      </c>
      <c r="BE387" t="s">
        <v>7606</v>
      </c>
      <c r="BF387" t="str">
        <f>HYPERLINK("http://dx.doi.org/10.2331/suisan.81.1002","http://dx.doi.org/10.2331/suisan.81.1002")</f>
        <v>http://dx.doi.org/10.2331/suisan.81.1002</v>
      </c>
      <c r="BG387" t="s">
        <v>74</v>
      </c>
      <c r="BH387" t="s">
        <v>74</v>
      </c>
      <c r="BI387">
        <v>1</v>
      </c>
      <c r="BJ387" t="s">
        <v>4895</v>
      </c>
      <c r="BK387" t="s">
        <v>91</v>
      </c>
      <c r="BL387" t="s">
        <v>4895</v>
      </c>
      <c r="BM387" t="s">
        <v>7599</v>
      </c>
      <c r="BN387" t="s">
        <v>74</v>
      </c>
      <c r="BO387" t="s">
        <v>375</v>
      </c>
      <c r="BP387" t="s">
        <v>74</v>
      </c>
      <c r="BQ387" t="s">
        <v>74</v>
      </c>
      <c r="BR387" t="s">
        <v>93</v>
      </c>
      <c r="BS387" t="s">
        <v>7607</v>
      </c>
      <c r="BT387" t="str">
        <f>HYPERLINK("https%3A%2F%2Fwww.webofscience.com%2Fwos%2Fwoscc%2Ffull-record%2FWOS:000366175900010","View Full Record in Web of Science")</f>
        <v>View Full Record in Web of Science</v>
      </c>
    </row>
    <row r="388" spans="1:72" x14ac:dyDescent="0.15">
      <c r="A388" t="s">
        <v>72</v>
      </c>
      <c r="B388" t="s">
        <v>7608</v>
      </c>
      <c r="C388" t="s">
        <v>74</v>
      </c>
      <c r="D388" t="s">
        <v>74</v>
      </c>
      <c r="E388" t="s">
        <v>74</v>
      </c>
      <c r="F388" t="s">
        <v>7609</v>
      </c>
      <c r="G388" t="s">
        <v>74</v>
      </c>
      <c r="H388" t="s">
        <v>74</v>
      </c>
      <c r="I388" t="s">
        <v>7610</v>
      </c>
      <c r="J388" t="s">
        <v>7584</v>
      </c>
      <c r="K388" t="s">
        <v>74</v>
      </c>
      <c r="L388" t="s">
        <v>74</v>
      </c>
      <c r="M388" t="s">
        <v>7585</v>
      </c>
      <c r="N388" t="s">
        <v>5947</v>
      </c>
      <c r="O388" t="s">
        <v>74</v>
      </c>
      <c r="P388" t="s">
        <v>74</v>
      </c>
      <c r="Q388" t="s">
        <v>74</v>
      </c>
      <c r="R388" t="s">
        <v>74</v>
      </c>
      <c r="S388" t="s">
        <v>74</v>
      </c>
      <c r="T388" t="s">
        <v>74</v>
      </c>
      <c r="U388" t="s">
        <v>7611</v>
      </c>
      <c r="V388" t="s">
        <v>74</v>
      </c>
      <c r="W388" t="s">
        <v>7612</v>
      </c>
      <c r="X388" t="s">
        <v>74</v>
      </c>
      <c r="Y388" t="s">
        <v>7613</v>
      </c>
      <c r="Z388" t="s">
        <v>74</v>
      </c>
      <c r="AA388" t="s">
        <v>74</v>
      </c>
      <c r="AB388" t="s">
        <v>74</v>
      </c>
      <c r="AC388" t="s">
        <v>74</v>
      </c>
      <c r="AD388" t="s">
        <v>74</v>
      </c>
      <c r="AE388" t="s">
        <v>74</v>
      </c>
      <c r="AF388" t="s">
        <v>74</v>
      </c>
      <c r="AG388">
        <v>8</v>
      </c>
      <c r="AH388">
        <v>0</v>
      </c>
      <c r="AI388">
        <v>0</v>
      </c>
      <c r="AJ388">
        <v>0</v>
      </c>
      <c r="AK388">
        <v>7</v>
      </c>
      <c r="AL388" t="s">
        <v>7592</v>
      </c>
      <c r="AM388" t="s">
        <v>2171</v>
      </c>
      <c r="AN388" t="s">
        <v>7593</v>
      </c>
      <c r="AO388" t="s">
        <v>7594</v>
      </c>
      <c r="AP388" t="s">
        <v>7595</v>
      </c>
      <c r="AQ388" t="s">
        <v>74</v>
      </c>
      <c r="AR388" t="s">
        <v>7596</v>
      </c>
      <c r="AS388" t="s">
        <v>7597</v>
      </c>
      <c r="AT388" t="s">
        <v>74</v>
      </c>
      <c r="AU388">
        <v>2015</v>
      </c>
      <c r="AV388">
        <v>81</v>
      </c>
      <c r="AW388">
        <v>6</v>
      </c>
      <c r="AX388" t="s">
        <v>74</v>
      </c>
      <c r="AY388" t="s">
        <v>74</v>
      </c>
      <c r="AZ388" t="s">
        <v>74</v>
      </c>
      <c r="BA388" t="s">
        <v>74</v>
      </c>
      <c r="BB388">
        <v>1004</v>
      </c>
      <c r="BC388">
        <v>1004</v>
      </c>
      <c r="BD388" t="s">
        <v>74</v>
      </c>
      <c r="BE388" t="s">
        <v>74</v>
      </c>
      <c r="BF388" t="s">
        <v>74</v>
      </c>
      <c r="BG388" t="s">
        <v>74</v>
      </c>
      <c r="BH388" t="s">
        <v>74</v>
      </c>
      <c r="BI388">
        <v>1</v>
      </c>
      <c r="BJ388" t="s">
        <v>4895</v>
      </c>
      <c r="BK388" t="s">
        <v>91</v>
      </c>
      <c r="BL388" t="s">
        <v>4895</v>
      </c>
      <c r="BM388" t="s">
        <v>7599</v>
      </c>
      <c r="BN388" t="s">
        <v>74</v>
      </c>
      <c r="BO388" t="s">
        <v>74</v>
      </c>
      <c r="BP388" t="s">
        <v>74</v>
      </c>
      <c r="BQ388" t="s">
        <v>74</v>
      </c>
      <c r="BR388" t="s">
        <v>93</v>
      </c>
      <c r="BS388" t="s">
        <v>7614</v>
      </c>
      <c r="BT388" t="str">
        <f>HYPERLINK("https%3A%2F%2Fwww.webofscience.com%2Fwos%2Fwoscc%2Ffull-record%2FWOS:000366175900012","View Full Record in Web of Science")</f>
        <v>View Full Record in Web of Science</v>
      </c>
    </row>
    <row r="389" spans="1:72" x14ac:dyDescent="0.15">
      <c r="A389" t="s">
        <v>72</v>
      </c>
      <c r="B389" t="s">
        <v>7615</v>
      </c>
      <c r="C389" t="s">
        <v>74</v>
      </c>
      <c r="D389" t="s">
        <v>74</v>
      </c>
      <c r="E389" t="s">
        <v>74</v>
      </c>
      <c r="F389" t="s">
        <v>7616</v>
      </c>
      <c r="G389" t="s">
        <v>74</v>
      </c>
      <c r="H389" t="s">
        <v>74</v>
      </c>
      <c r="I389" t="s">
        <v>7617</v>
      </c>
      <c r="J389" t="s">
        <v>7584</v>
      </c>
      <c r="K389" t="s">
        <v>74</v>
      </c>
      <c r="L389" t="s">
        <v>74</v>
      </c>
      <c r="M389" t="s">
        <v>7585</v>
      </c>
      <c r="N389" t="s">
        <v>5947</v>
      </c>
      <c r="O389" t="s">
        <v>74</v>
      </c>
      <c r="P389" t="s">
        <v>74</v>
      </c>
      <c r="Q389" t="s">
        <v>74</v>
      </c>
      <c r="R389" t="s">
        <v>74</v>
      </c>
      <c r="S389" t="s">
        <v>74</v>
      </c>
      <c r="T389" t="s">
        <v>74</v>
      </c>
      <c r="U389" t="s">
        <v>74</v>
      </c>
      <c r="V389" t="s">
        <v>74</v>
      </c>
      <c r="W389" t="s">
        <v>7618</v>
      </c>
      <c r="X389" t="s">
        <v>74</v>
      </c>
      <c r="Y389" t="s">
        <v>7619</v>
      </c>
      <c r="Z389" t="s">
        <v>74</v>
      </c>
      <c r="AA389" t="s">
        <v>74</v>
      </c>
      <c r="AB389" t="s">
        <v>74</v>
      </c>
      <c r="AC389" t="s">
        <v>74</v>
      </c>
      <c r="AD389" t="s">
        <v>74</v>
      </c>
      <c r="AE389" t="s">
        <v>74</v>
      </c>
      <c r="AF389" t="s">
        <v>74</v>
      </c>
      <c r="AG389">
        <v>0</v>
      </c>
      <c r="AH389">
        <v>0</v>
      </c>
      <c r="AI389">
        <v>0</v>
      </c>
      <c r="AJ389">
        <v>0</v>
      </c>
      <c r="AK389">
        <v>1</v>
      </c>
      <c r="AL389" t="s">
        <v>7592</v>
      </c>
      <c r="AM389" t="s">
        <v>2171</v>
      </c>
      <c r="AN389" t="s">
        <v>7593</v>
      </c>
      <c r="AO389" t="s">
        <v>7594</v>
      </c>
      <c r="AP389" t="s">
        <v>7595</v>
      </c>
      <c r="AQ389" t="s">
        <v>74</v>
      </c>
      <c r="AR389" t="s">
        <v>7596</v>
      </c>
      <c r="AS389" t="s">
        <v>7597</v>
      </c>
      <c r="AT389" t="s">
        <v>74</v>
      </c>
      <c r="AU389">
        <v>2015</v>
      </c>
      <c r="AV389">
        <v>81</v>
      </c>
      <c r="AW389">
        <v>6</v>
      </c>
      <c r="AX389" t="s">
        <v>74</v>
      </c>
      <c r="AY389" t="s">
        <v>74</v>
      </c>
      <c r="AZ389" t="s">
        <v>74</v>
      </c>
      <c r="BA389" t="s">
        <v>74</v>
      </c>
      <c r="BB389">
        <v>1007</v>
      </c>
      <c r="BC389">
        <v>1007</v>
      </c>
      <c r="BD389" t="s">
        <v>74</v>
      </c>
      <c r="BE389" t="s">
        <v>7620</v>
      </c>
      <c r="BF389" t="str">
        <f>HYPERLINK("http://dx.doi.org/10.2331/suisan.81.1007","http://dx.doi.org/10.2331/suisan.81.1007")</f>
        <v>http://dx.doi.org/10.2331/suisan.81.1007</v>
      </c>
      <c r="BG389" t="s">
        <v>74</v>
      </c>
      <c r="BH389" t="s">
        <v>74</v>
      </c>
      <c r="BI389">
        <v>1</v>
      </c>
      <c r="BJ389" t="s">
        <v>4895</v>
      </c>
      <c r="BK389" t="s">
        <v>91</v>
      </c>
      <c r="BL389" t="s">
        <v>4895</v>
      </c>
      <c r="BM389" t="s">
        <v>7599</v>
      </c>
      <c r="BN389" t="s">
        <v>74</v>
      </c>
      <c r="BO389" t="s">
        <v>375</v>
      </c>
      <c r="BP389" t="s">
        <v>74</v>
      </c>
      <c r="BQ389" t="s">
        <v>74</v>
      </c>
      <c r="BR389" t="s">
        <v>93</v>
      </c>
      <c r="BS389" t="s">
        <v>7621</v>
      </c>
      <c r="BT389" t="str">
        <f>HYPERLINK("https%3A%2F%2Fwww.webofscience.com%2Fwos%2Fwoscc%2Ffull-record%2FWOS:000366175900015","View Full Record in Web of Science")</f>
        <v>View Full Record in Web of Science</v>
      </c>
    </row>
    <row r="390" spans="1:72" x14ac:dyDescent="0.15">
      <c r="A390" t="s">
        <v>72</v>
      </c>
      <c r="B390" t="s">
        <v>7622</v>
      </c>
      <c r="C390" t="s">
        <v>74</v>
      </c>
      <c r="D390" t="s">
        <v>74</v>
      </c>
      <c r="E390" t="s">
        <v>74</v>
      </c>
      <c r="F390" t="s">
        <v>7623</v>
      </c>
      <c r="G390" t="s">
        <v>74</v>
      </c>
      <c r="H390" t="s">
        <v>74</v>
      </c>
      <c r="I390" t="s">
        <v>7624</v>
      </c>
      <c r="J390" t="s">
        <v>3436</v>
      </c>
      <c r="K390" t="s">
        <v>74</v>
      </c>
      <c r="L390" t="s">
        <v>74</v>
      </c>
      <c r="M390" t="s">
        <v>78</v>
      </c>
      <c r="N390" t="s">
        <v>99</v>
      </c>
      <c r="O390" t="s">
        <v>74</v>
      </c>
      <c r="P390" t="s">
        <v>74</v>
      </c>
      <c r="Q390" t="s">
        <v>74</v>
      </c>
      <c r="R390" t="s">
        <v>74</v>
      </c>
      <c r="S390" t="s">
        <v>74</v>
      </c>
      <c r="T390" t="s">
        <v>7625</v>
      </c>
      <c r="U390" t="s">
        <v>7626</v>
      </c>
      <c r="V390" t="s">
        <v>7627</v>
      </c>
      <c r="W390" t="s">
        <v>7628</v>
      </c>
      <c r="X390" t="s">
        <v>7629</v>
      </c>
      <c r="Y390" t="s">
        <v>7630</v>
      </c>
      <c r="Z390" t="s">
        <v>7631</v>
      </c>
      <c r="AA390" t="s">
        <v>7632</v>
      </c>
      <c r="AB390" t="s">
        <v>7633</v>
      </c>
      <c r="AC390" t="s">
        <v>7634</v>
      </c>
      <c r="AD390" t="s">
        <v>7635</v>
      </c>
      <c r="AE390" t="s">
        <v>7636</v>
      </c>
      <c r="AF390" t="s">
        <v>74</v>
      </c>
      <c r="AG390">
        <v>95</v>
      </c>
      <c r="AH390">
        <v>40</v>
      </c>
      <c r="AI390">
        <v>40</v>
      </c>
      <c r="AJ390">
        <v>0</v>
      </c>
      <c r="AK390">
        <v>16</v>
      </c>
      <c r="AL390" t="s">
        <v>2458</v>
      </c>
      <c r="AM390" t="s">
        <v>1411</v>
      </c>
      <c r="AN390" t="s">
        <v>2459</v>
      </c>
      <c r="AO390" t="s">
        <v>3449</v>
      </c>
      <c r="AP390" t="s">
        <v>3450</v>
      </c>
      <c r="AQ390" t="s">
        <v>74</v>
      </c>
      <c r="AR390" t="s">
        <v>3451</v>
      </c>
      <c r="AS390" t="s">
        <v>3452</v>
      </c>
      <c r="AT390" t="s">
        <v>200</v>
      </c>
      <c r="AU390">
        <v>2015</v>
      </c>
      <c r="AV390">
        <v>85</v>
      </c>
      <c r="AW390" t="s">
        <v>74</v>
      </c>
      <c r="AX390" t="s">
        <v>74</v>
      </c>
      <c r="AY390" t="s">
        <v>74</v>
      </c>
      <c r="AZ390" t="s">
        <v>74</v>
      </c>
      <c r="BA390" t="s">
        <v>74</v>
      </c>
      <c r="BB390">
        <v>1</v>
      </c>
      <c r="BC390">
        <v>15</v>
      </c>
      <c r="BD390" t="s">
        <v>74</v>
      </c>
      <c r="BE390" t="s">
        <v>7637</v>
      </c>
      <c r="BF390" t="str">
        <f>HYPERLINK("http://dx.doi.org/10.1016/j.ocemod.2014.10.001","http://dx.doi.org/10.1016/j.ocemod.2014.10.001")</f>
        <v>http://dx.doi.org/10.1016/j.ocemod.2014.10.001</v>
      </c>
      <c r="BG390" t="s">
        <v>74</v>
      </c>
      <c r="BH390" t="s">
        <v>74</v>
      </c>
      <c r="BI390">
        <v>15</v>
      </c>
      <c r="BJ390" t="s">
        <v>1537</v>
      </c>
      <c r="BK390" t="s">
        <v>91</v>
      </c>
      <c r="BL390" t="s">
        <v>1537</v>
      </c>
      <c r="BM390" t="s">
        <v>3454</v>
      </c>
      <c r="BN390" t="s">
        <v>74</v>
      </c>
      <c r="BO390" t="s">
        <v>74</v>
      </c>
      <c r="BP390" t="s">
        <v>74</v>
      </c>
      <c r="BQ390" t="s">
        <v>74</v>
      </c>
      <c r="BR390" t="s">
        <v>93</v>
      </c>
      <c r="BS390" t="s">
        <v>7638</v>
      </c>
      <c r="BT390" t="str">
        <f>HYPERLINK("https%3A%2F%2Fwww.webofscience.com%2Fwos%2Fwoscc%2Ffull-record%2FWOS:000346737500001","View Full Record in Web of Science")</f>
        <v>View Full Record in Web of Science</v>
      </c>
    </row>
    <row r="391" spans="1:72" x14ac:dyDescent="0.15">
      <c r="A391" t="s">
        <v>72</v>
      </c>
      <c r="B391" t="s">
        <v>7639</v>
      </c>
      <c r="C391" t="s">
        <v>74</v>
      </c>
      <c r="D391" t="s">
        <v>74</v>
      </c>
      <c r="E391" t="s">
        <v>74</v>
      </c>
      <c r="F391" t="s">
        <v>7640</v>
      </c>
      <c r="G391" t="s">
        <v>74</v>
      </c>
      <c r="H391" t="s">
        <v>74</v>
      </c>
      <c r="I391" t="s">
        <v>7641</v>
      </c>
      <c r="J391" t="s">
        <v>1521</v>
      </c>
      <c r="K391" t="s">
        <v>74</v>
      </c>
      <c r="L391" t="s">
        <v>74</v>
      </c>
      <c r="M391" t="s">
        <v>78</v>
      </c>
      <c r="N391" t="s">
        <v>99</v>
      </c>
      <c r="O391" t="s">
        <v>74</v>
      </c>
      <c r="P391" t="s">
        <v>74</v>
      </c>
      <c r="Q391" t="s">
        <v>74</v>
      </c>
      <c r="R391" t="s">
        <v>74</v>
      </c>
      <c r="S391" t="s">
        <v>74</v>
      </c>
      <c r="T391" t="s">
        <v>74</v>
      </c>
      <c r="U391" t="s">
        <v>7642</v>
      </c>
      <c r="V391" t="s">
        <v>7643</v>
      </c>
      <c r="W391" t="s">
        <v>7644</v>
      </c>
      <c r="X391" t="s">
        <v>7645</v>
      </c>
      <c r="Y391" t="s">
        <v>7646</v>
      </c>
      <c r="Z391" t="s">
        <v>7647</v>
      </c>
      <c r="AA391" t="s">
        <v>74</v>
      </c>
      <c r="AB391" t="s">
        <v>74</v>
      </c>
      <c r="AC391" t="s">
        <v>7648</v>
      </c>
      <c r="AD391" t="s">
        <v>7649</v>
      </c>
      <c r="AE391" t="s">
        <v>7650</v>
      </c>
      <c r="AF391" t="s">
        <v>74</v>
      </c>
      <c r="AG391">
        <v>75</v>
      </c>
      <c r="AH391">
        <v>7</v>
      </c>
      <c r="AI391">
        <v>7</v>
      </c>
      <c r="AJ391">
        <v>2</v>
      </c>
      <c r="AK391">
        <v>28</v>
      </c>
      <c r="AL391" t="s">
        <v>244</v>
      </c>
      <c r="AM391" t="s">
        <v>245</v>
      </c>
      <c r="AN391" t="s">
        <v>246</v>
      </c>
      <c r="AO391" t="s">
        <v>1533</v>
      </c>
      <c r="AP391" t="s">
        <v>74</v>
      </c>
      <c r="AQ391" t="s">
        <v>74</v>
      </c>
      <c r="AR391" t="s">
        <v>1534</v>
      </c>
      <c r="AS391" t="s">
        <v>1535</v>
      </c>
      <c r="AT391" t="s">
        <v>74</v>
      </c>
      <c r="AU391">
        <v>2015</v>
      </c>
      <c r="AV391">
        <v>11</v>
      </c>
      <c r="AW391">
        <v>2</v>
      </c>
      <c r="AX391" t="s">
        <v>74</v>
      </c>
      <c r="AY391" t="s">
        <v>74</v>
      </c>
      <c r="AZ391" t="s">
        <v>74</v>
      </c>
      <c r="BA391" t="s">
        <v>74</v>
      </c>
      <c r="BB391">
        <v>251</v>
      </c>
      <c r="BC391">
        <v>267</v>
      </c>
      <c r="BD391" t="s">
        <v>74</v>
      </c>
      <c r="BE391" t="s">
        <v>7651</v>
      </c>
      <c r="BF391" t="str">
        <f>HYPERLINK("http://dx.doi.org/10.5194/os-11-251-2015","http://dx.doi.org/10.5194/os-11-251-2015")</f>
        <v>http://dx.doi.org/10.5194/os-11-251-2015</v>
      </c>
      <c r="BG391" t="s">
        <v>74</v>
      </c>
      <c r="BH391" t="s">
        <v>74</v>
      </c>
      <c r="BI391">
        <v>17</v>
      </c>
      <c r="BJ391" t="s">
        <v>1537</v>
      </c>
      <c r="BK391" t="s">
        <v>91</v>
      </c>
      <c r="BL391" t="s">
        <v>1537</v>
      </c>
      <c r="BM391" t="s">
        <v>1538</v>
      </c>
      <c r="BN391" t="s">
        <v>74</v>
      </c>
      <c r="BO391" t="s">
        <v>255</v>
      </c>
      <c r="BP391" t="s">
        <v>74</v>
      </c>
      <c r="BQ391" t="s">
        <v>74</v>
      </c>
      <c r="BR391" t="s">
        <v>93</v>
      </c>
      <c r="BS391" t="s">
        <v>7652</v>
      </c>
      <c r="BT391" t="str">
        <f>HYPERLINK("https%3A%2F%2Fwww.webofscience.com%2Fwos%2Fwoscc%2Ffull-record%2FWOS:000352488400003","View Full Record in Web of Science")</f>
        <v>View Full Record in Web of Science</v>
      </c>
    </row>
    <row r="392" spans="1:72" x14ac:dyDescent="0.15">
      <c r="A392" t="s">
        <v>72</v>
      </c>
      <c r="B392" t="s">
        <v>7653</v>
      </c>
      <c r="C392" t="s">
        <v>74</v>
      </c>
      <c r="D392" t="s">
        <v>74</v>
      </c>
      <c r="E392" t="s">
        <v>74</v>
      </c>
      <c r="F392" t="s">
        <v>7654</v>
      </c>
      <c r="G392" t="s">
        <v>74</v>
      </c>
      <c r="H392" t="s">
        <v>74</v>
      </c>
      <c r="I392" t="s">
        <v>7655</v>
      </c>
      <c r="J392" t="s">
        <v>1521</v>
      </c>
      <c r="K392" t="s">
        <v>74</v>
      </c>
      <c r="L392" t="s">
        <v>74</v>
      </c>
      <c r="M392" t="s">
        <v>78</v>
      </c>
      <c r="N392" t="s">
        <v>99</v>
      </c>
      <c r="O392" t="s">
        <v>74</v>
      </c>
      <c r="P392" t="s">
        <v>74</v>
      </c>
      <c r="Q392" t="s">
        <v>74</v>
      </c>
      <c r="R392" t="s">
        <v>74</v>
      </c>
      <c r="S392" t="s">
        <v>74</v>
      </c>
      <c r="T392" t="s">
        <v>74</v>
      </c>
      <c r="U392" t="s">
        <v>7656</v>
      </c>
      <c r="V392" t="s">
        <v>7657</v>
      </c>
      <c r="W392" t="s">
        <v>7658</v>
      </c>
      <c r="X392" t="s">
        <v>7659</v>
      </c>
      <c r="Y392" t="s">
        <v>7660</v>
      </c>
      <c r="Z392" t="s">
        <v>7661</v>
      </c>
      <c r="AA392" t="s">
        <v>74</v>
      </c>
      <c r="AB392" t="s">
        <v>7662</v>
      </c>
      <c r="AC392" t="s">
        <v>7663</v>
      </c>
      <c r="AD392" t="s">
        <v>7664</v>
      </c>
      <c r="AE392" t="s">
        <v>7665</v>
      </c>
      <c r="AF392" t="s">
        <v>74</v>
      </c>
      <c r="AG392">
        <v>73</v>
      </c>
      <c r="AH392">
        <v>48</v>
      </c>
      <c r="AI392">
        <v>56</v>
      </c>
      <c r="AJ392">
        <v>0</v>
      </c>
      <c r="AK392">
        <v>19</v>
      </c>
      <c r="AL392" t="s">
        <v>244</v>
      </c>
      <c r="AM392" t="s">
        <v>245</v>
      </c>
      <c r="AN392" t="s">
        <v>246</v>
      </c>
      <c r="AO392" t="s">
        <v>1533</v>
      </c>
      <c r="AP392" t="s">
        <v>74</v>
      </c>
      <c r="AQ392" t="s">
        <v>74</v>
      </c>
      <c r="AR392" t="s">
        <v>1534</v>
      </c>
      <c r="AS392" t="s">
        <v>1535</v>
      </c>
      <c r="AT392" t="s">
        <v>74</v>
      </c>
      <c r="AU392">
        <v>2015</v>
      </c>
      <c r="AV392">
        <v>11</v>
      </c>
      <c r="AW392">
        <v>3</v>
      </c>
      <c r="AX392" t="s">
        <v>74</v>
      </c>
      <c r="AY392" t="s">
        <v>74</v>
      </c>
      <c r="AZ392" t="s">
        <v>74</v>
      </c>
      <c r="BA392" t="s">
        <v>74</v>
      </c>
      <c r="BB392">
        <v>483</v>
      </c>
      <c r="BC392">
        <v>502</v>
      </c>
      <c r="BD392" t="s">
        <v>74</v>
      </c>
      <c r="BE392" t="s">
        <v>7666</v>
      </c>
      <c r="BF392" t="str">
        <f>HYPERLINK("http://dx.doi.org/10.5194/os-11-483-2015","http://dx.doi.org/10.5194/os-11-483-2015")</f>
        <v>http://dx.doi.org/10.5194/os-11-483-2015</v>
      </c>
      <c r="BG392" t="s">
        <v>74</v>
      </c>
      <c r="BH392" t="s">
        <v>74</v>
      </c>
      <c r="BI392">
        <v>20</v>
      </c>
      <c r="BJ392" t="s">
        <v>1537</v>
      </c>
      <c r="BK392" t="s">
        <v>91</v>
      </c>
      <c r="BL392" t="s">
        <v>1537</v>
      </c>
      <c r="BM392" t="s">
        <v>7667</v>
      </c>
      <c r="BN392" t="s">
        <v>74</v>
      </c>
      <c r="BO392" t="s">
        <v>255</v>
      </c>
      <c r="BP392" t="s">
        <v>74</v>
      </c>
      <c r="BQ392" t="s">
        <v>74</v>
      </c>
      <c r="BR392" t="s">
        <v>93</v>
      </c>
      <c r="BS392" t="s">
        <v>7668</v>
      </c>
      <c r="BT392" t="str">
        <f>HYPERLINK("https%3A%2F%2Fwww.webofscience.com%2Fwos%2Fwoscc%2Ffull-record%2FWOS:000360655800002","View Full Record in Web of Science")</f>
        <v>View Full Record in Web of Science</v>
      </c>
    </row>
    <row r="393" spans="1:72" x14ac:dyDescent="0.15">
      <c r="A393" t="s">
        <v>840</v>
      </c>
      <c r="B393" t="s">
        <v>7669</v>
      </c>
      <c r="C393" t="s">
        <v>74</v>
      </c>
      <c r="D393" t="s">
        <v>7670</v>
      </c>
      <c r="E393" t="s">
        <v>74</v>
      </c>
      <c r="F393" t="s">
        <v>7671</v>
      </c>
      <c r="G393" t="s">
        <v>74</v>
      </c>
      <c r="H393" t="s">
        <v>74</v>
      </c>
      <c r="I393" t="s">
        <v>7672</v>
      </c>
      <c r="J393" t="s">
        <v>7673</v>
      </c>
      <c r="K393" t="s">
        <v>7674</v>
      </c>
      <c r="L393" t="s">
        <v>74</v>
      </c>
      <c r="M393" t="s">
        <v>78</v>
      </c>
      <c r="N393" t="s">
        <v>847</v>
      </c>
      <c r="O393" t="s">
        <v>74</v>
      </c>
      <c r="P393" t="s">
        <v>74</v>
      </c>
      <c r="Q393" t="s">
        <v>74</v>
      </c>
      <c r="R393" t="s">
        <v>74</v>
      </c>
      <c r="S393" t="s">
        <v>74</v>
      </c>
      <c r="T393" t="s">
        <v>74</v>
      </c>
      <c r="U393" t="s">
        <v>7675</v>
      </c>
      <c r="V393" t="s">
        <v>7676</v>
      </c>
      <c r="W393" t="s">
        <v>7677</v>
      </c>
      <c r="X393" t="s">
        <v>7678</v>
      </c>
      <c r="Y393" t="s">
        <v>7679</v>
      </c>
      <c r="Z393" t="s">
        <v>7680</v>
      </c>
      <c r="AA393" t="s">
        <v>7681</v>
      </c>
      <c r="AB393" t="s">
        <v>7682</v>
      </c>
      <c r="AC393" t="s">
        <v>7683</v>
      </c>
      <c r="AD393" t="s">
        <v>7684</v>
      </c>
      <c r="AE393" t="s">
        <v>74</v>
      </c>
      <c r="AF393" t="s">
        <v>74</v>
      </c>
      <c r="AG393">
        <v>353</v>
      </c>
      <c r="AH393">
        <v>76</v>
      </c>
      <c r="AI393">
        <v>79</v>
      </c>
      <c r="AJ393">
        <v>0</v>
      </c>
      <c r="AK393">
        <v>68</v>
      </c>
      <c r="AL393" t="s">
        <v>7685</v>
      </c>
      <c r="AM393" t="s">
        <v>7686</v>
      </c>
      <c r="AN393" t="s">
        <v>7687</v>
      </c>
      <c r="AO393" t="s">
        <v>7688</v>
      </c>
      <c r="AP393" t="s">
        <v>74</v>
      </c>
      <c r="AQ393" t="s">
        <v>7689</v>
      </c>
      <c r="AR393" t="s">
        <v>7690</v>
      </c>
      <c r="AS393" t="s">
        <v>7691</v>
      </c>
      <c r="AT393" t="s">
        <v>74</v>
      </c>
      <c r="AU393">
        <v>2015</v>
      </c>
      <c r="AV393">
        <v>53</v>
      </c>
      <c r="AW393" t="s">
        <v>74</v>
      </c>
      <c r="AX393" t="s">
        <v>74</v>
      </c>
      <c r="AY393" t="s">
        <v>74</v>
      </c>
      <c r="AZ393" t="s">
        <v>74</v>
      </c>
      <c r="BA393" t="s">
        <v>74</v>
      </c>
      <c r="BB393">
        <v>1</v>
      </c>
      <c r="BC393" t="s">
        <v>7272</v>
      </c>
      <c r="BD393" t="s">
        <v>74</v>
      </c>
      <c r="BE393" t="s">
        <v>74</v>
      </c>
      <c r="BF393" t="s">
        <v>74</v>
      </c>
      <c r="BG393" t="s">
        <v>7692</v>
      </c>
      <c r="BH393" t="s">
        <v>74</v>
      </c>
      <c r="BI393">
        <v>18</v>
      </c>
      <c r="BJ393" t="s">
        <v>2393</v>
      </c>
      <c r="BK393" t="s">
        <v>869</v>
      </c>
      <c r="BL393" t="s">
        <v>2393</v>
      </c>
      <c r="BM393" t="s">
        <v>7693</v>
      </c>
      <c r="BN393" t="s">
        <v>74</v>
      </c>
      <c r="BO393" t="s">
        <v>74</v>
      </c>
      <c r="BP393" t="s">
        <v>74</v>
      </c>
      <c r="BQ393" t="s">
        <v>74</v>
      </c>
      <c r="BR393" t="s">
        <v>93</v>
      </c>
      <c r="BS393" t="s">
        <v>7694</v>
      </c>
      <c r="BT393" t="str">
        <f>HYPERLINK("https%3A%2F%2Fwww.webofscience.com%2Fwos%2Fwoscc%2Ffull-record%2FWOS:000364174100001","View Full Record in Web of Science")</f>
        <v>View Full Record in Web of Science</v>
      </c>
    </row>
    <row r="394" spans="1:72" x14ac:dyDescent="0.15">
      <c r="A394" t="s">
        <v>72</v>
      </c>
      <c r="B394" t="s">
        <v>7695</v>
      </c>
      <c r="C394" t="s">
        <v>74</v>
      </c>
      <c r="D394" t="s">
        <v>74</v>
      </c>
      <c r="E394" t="s">
        <v>74</v>
      </c>
      <c r="F394" t="s">
        <v>7696</v>
      </c>
      <c r="G394" t="s">
        <v>74</v>
      </c>
      <c r="H394" t="s">
        <v>74</v>
      </c>
      <c r="I394" t="s">
        <v>7697</v>
      </c>
      <c r="J394" t="s">
        <v>7698</v>
      </c>
      <c r="K394" t="s">
        <v>74</v>
      </c>
      <c r="L394" t="s">
        <v>74</v>
      </c>
      <c r="M394" t="s">
        <v>78</v>
      </c>
      <c r="N394" t="s">
        <v>99</v>
      </c>
      <c r="O394" t="s">
        <v>74</v>
      </c>
      <c r="P394" t="s">
        <v>74</v>
      </c>
      <c r="Q394" t="s">
        <v>74</v>
      </c>
      <c r="R394" t="s">
        <v>74</v>
      </c>
      <c r="S394" t="s">
        <v>74</v>
      </c>
      <c r="T394" t="s">
        <v>7699</v>
      </c>
      <c r="U394" t="s">
        <v>74</v>
      </c>
      <c r="V394" t="s">
        <v>7700</v>
      </c>
      <c r="W394" t="s">
        <v>7701</v>
      </c>
      <c r="X394" t="s">
        <v>7702</v>
      </c>
      <c r="Y394" t="s">
        <v>7703</v>
      </c>
      <c r="Z394" t="s">
        <v>7704</v>
      </c>
      <c r="AA394" t="s">
        <v>74</v>
      </c>
      <c r="AB394" t="s">
        <v>74</v>
      </c>
      <c r="AC394" t="s">
        <v>74</v>
      </c>
      <c r="AD394" t="s">
        <v>74</v>
      </c>
      <c r="AE394" t="s">
        <v>74</v>
      </c>
      <c r="AF394" t="s">
        <v>74</v>
      </c>
      <c r="AG394">
        <v>25</v>
      </c>
      <c r="AH394">
        <v>5</v>
      </c>
      <c r="AI394">
        <v>5</v>
      </c>
      <c r="AJ394">
        <v>0</v>
      </c>
      <c r="AK394">
        <v>3</v>
      </c>
      <c r="AL394" t="s">
        <v>7705</v>
      </c>
      <c r="AM394" t="s">
        <v>7706</v>
      </c>
      <c r="AN394" t="s">
        <v>7707</v>
      </c>
      <c r="AO394" t="s">
        <v>7708</v>
      </c>
      <c r="AP394" t="s">
        <v>74</v>
      </c>
      <c r="AQ394" t="s">
        <v>74</v>
      </c>
      <c r="AR394" t="s">
        <v>7709</v>
      </c>
      <c r="AS394" t="s">
        <v>7710</v>
      </c>
      <c r="AT394" t="s">
        <v>74</v>
      </c>
      <c r="AU394">
        <v>2015</v>
      </c>
      <c r="AV394">
        <v>7</v>
      </c>
      <c r="AW394" t="s">
        <v>74</v>
      </c>
      <c r="AX394" t="s">
        <v>74</v>
      </c>
      <c r="AY394" t="s">
        <v>74</v>
      </c>
      <c r="AZ394" t="s">
        <v>74</v>
      </c>
      <c r="BA394" t="s">
        <v>74</v>
      </c>
      <c r="BB394">
        <v>17</v>
      </c>
      <c r="BC394">
        <v>20</v>
      </c>
      <c r="BD394" t="s">
        <v>74</v>
      </c>
      <c r="BE394" t="s">
        <v>7711</v>
      </c>
      <c r="BF394" t="str">
        <f>HYPERLINK("http://dx.doi.org/10.2147/OAEM.S75442","http://dx.doi.org/10.2147/OAEM.S75442")</f>
        <v>http://dx.doi.org/10.2147/OAEM.S75442</v>
      </c>
      <c r="BG394" t="s">
        <v>74</v>
      </c>
      <c r="BH394" t="s">
        <v>74</v>
      </c>
      <c r="BI394">
        <v>4</v>
      </c>
      <c r="BJ394" t="s">
        <v>7712</v>
      </c>
      <c r="BK394" t="s">
        <v>202</v>
      </c>
      <c r="BL394" t="s">
        <v>7712</v>
      </c>
      <c r="BM394" t="s">
        <v>7713</v>
      </c>
      <c r="BN394">
        <v>27147885</v>
      </c>
      <c r="BO394" t="s">
        <v>228</v>
      </c>
      <c r="BP394" t="s">
        <v>74</v>
      </c>
      <c r="BQ394" t="s">
        <v>74</v>
      </c>
      <c r="BR394" t="s">
        <v>93</v>
      </c>
      <c r="BS394" t="s">
        <v>7714</v>
      </c>
      <c r="BT394" t="str">
        <f>HYPERLINK("https%3A%2F%2Fwww.webofscience.com%2Fwos%2Fwoscc%2Ffull-record%2FWOS:000214498400003","View Full Record in Web of Science")</f>
        <v>View Full Record in Web of Science</v>
      </c>
    </row>
    <row r="395" spans="1:72" x14ac:dyDescent="0.15">
      <c r="A395" t="s">
        <v>840</v>
      </c>
      <c r="B395" t="s">
        <v>7715</v>
      </c>
      <c r="C395" t="s">
        <v>74</v>
      </c>
      <c r="D395" t="s">
        <v>7716</v>
      </c>
      <c r="E395" t="s">
        <v>74</v>
      </c>
      <c r="F395" t="s">
        <v>7717</v>
      </c>
      <c r="G395" t="s">
        <v>74</v>
      </c>
      <c r="H395" t="s">
        <v>74</v>
      </c>
      <c r="I395" t="s">
        <v>7718</v>
      </c>
      <c r="J395" t="s">
        <v>7719</v>
      </c>
      <c r="K395" t="s">
        <v>7720</v>
      </c>
      <c r="L395" t="s">
        <v>74</v>
      </c>
      <c r="M395" t="s">
        <v>78</v>
      </c>
      <c r="N395" t="s">
        <v>918</v>
      </c>
      <c r="O395" t="s">
        <v>74</v>
      </c>
      <c r="P395" t="s">
        <v>74</v>
      </c>
      <c r="Q395" t="s">
        <v>74</v>
      </c>
      <c r="R395" t="s">
        <v>74</v>
      </c>
      <c r="S395" t="s">
        <v>74</v>
      </c>
      <c r="T395" t="s">
        <v>74</v>
      </c>
      <c r="U395" t="s">
        <v>7721</v>
      </c>
      <c r="V395" t="s">
        <v>7722</v>
      </c>
      <c r="W395" t="s">
        <v>7723</v>
      </c>
      <c r="X395" t="s">
        <v>7724</v>
      </c>
      <c r="Y395" t="s">
        <v>7725</v>
      </c>
      <c r="Z395" t="s">
        <v>74</v>
      </c>
      <c r="AA395" t="s">
        <v>7726</v>
      </c>
      <c r="AB395" t="s">
        <v>7727</v>
      </c>
      <c r="AC395" t="s">
        <v>7728</v>
      </c>
      <c r="AD395" t="s">
        <v>7729</v>
      </c>
      <c r="AE395" t="s">
        <v>7730</v>
      </c>
      <c r="AF395" t="s">
        <v>74</v>
      </c>
      <c r="AG395">
        <v>47</v>
      </c>
      <c r="AH395">
        <v>6</v>
      </c>
      <c r="AI395">
        <v>7</v>
      </c>
      <c r="AJ395">
        <v>0</v>
      </c>
      <c r="AK395">
        <v>0</v>
      </c>
      <c r="AL395" t="s">
        <v>7731</v>
      </c>
      <c r="AM395" t="s">
        <v>6202</v>
      </c>
      <c r="AN395" t="s">
        <v>7732</v>
      </c>
      <c r="AO395" t="s">
        <v>7733</v>
      </c>
      <c r="AP395" t="s">
        <v>74</v>
      </c>
      <c r="AQ395" t="s">
        <v>7734</v>
      </c>
      <c r="AR395" t="s">
        <v>7735</v>
      </c>
      <c r="AS395" t="s">
        <v>74</v>
      </c>
      <c r="AT395" t="s">
        <v>74</v>
      </c>
      <c r="AU395">
        <v>2015</v>
      </c>
      <c r="AV395">
        <v>511</v>
      </c>
      <c r="AW395" t="s">
        <v>74</v>
      </c>
      <c r="AX395" t="s">
        <v>74</v>
      </c>
      <c r="AY395" t="s">
        <v>74</v>
      </c>
      <c r="AZ395" t="s">
        <v>74</v>
      </c>
      <c r="BA395" t="s">
        <v>74</v>
      </c>
      <c r="BB395">
        <v>195</v>
      </c>
      <c r="BC395">
        <v>220</v>
      </c>
      <c r="BD395" t="s">
        <v>74</v>
      </c>
      <c r="BE395" t="s">
        <v>7736</v>
      </c>
      <c r="BF395" t="str">
        <f>HYPERLINK("http://dx.doi.org/10.1130/2015.2511(11)","http://dx.doi.org/10.1130/2015.2511(11)")</f>
        <v>http://dx.doi.org/10.1130/2015.2511(11)</v>
      </c>
      <c r="BG395" t="s">
        <v>74</v>
      </c>
      <c r="BH395" t="s">
        <v>74</v>
      </c>
      <c r="BI395">
        <v>26</v>
      </c>
      <c r="BJ395" t="s">
        <v>7737</v>
      </c>
      <c r="BK395" t="s">
        <v>936</v>
      </c>
      <c r="BL395" t="s">
        <v>5074</v>
      </c>
      <c r="BM395" t="s">
        <v>7738</v>
      </c>
      <c r="BN395" t="s">
        <v>74</v>
      </c>
      <c r="BO395" t="s">
        <v>74</v>
      </c>
      <c r="BP395" t="s">
        <v>74</v>
      </c>
      <c r="BQ395" t="s">
        <v>74</v>
      </c>
      <c r="BR395" t="s">
        <v>93</v>
      </c>
      <c r="BS395" t="s">
        <v>7739</v>
      </c>
      <c r="BT395" t="str">
        <f>HYPERLINK("https%3A%2F%2Fwww.webofscience.com%2Fwos%2Fwoscc%2Ffull-record%2FWOS:000540462000012","View Full Record in Web of Science")</f>
        <v>View Full Record in Web of Science</v>
      </c>
    </row>
    <row r="396" spans="1:72" x14ac:dyDescent="0.15">
      <c r="A396" t="s">
        <v>72</v>
      </c>
      <c r="B396" t="s">
        <v>7740</v>
      </c>
      <c r="C396" t="s">
        <v>74</v>
      </c>
      <c r="D396" t="s">
        <v>74</v>
      </c>
      <c r="E396" t="s">
        <v>74</v>
      </c>
      <c r="F396" t="s">
        <v>7741</v>
      </c>
      <c r="G396" t="s">
        <v>74</v>
      </c>
      <c r="H396" t="s">
        <v>74</v>
      </c>
      <c r="I396" t="s">
        <v>7742</v>
      </c>
      <c r="J396" t="s">
        <v>2158</v>
      </c>
      <c r="K396" t="s">
        <v>74</v>
      </c>
      <c r="L396" t="s">
        <v>74</v>
      </c>
      <c r="M396" t="s">
        <v>78</v>
      </c>
      <c r="N396" t="s">
        <v>99</v>
      </c>
      <c r="O396" t="s">
        <v>74</v>
      </c>
      <c r="P396" t="s">
        <v>74</v>
      </c>
      <c r="Q396" t="s">
        <v>74</v>
      </c>
      <c r="R396" t="s">
        <v>74</v>
      </c>
      <c r="S396" t="s">
        <v>74</v>
      </c>
      <c r="T396" t="s">
        <v>7743</v>
      </c>
      <c r="U396" t="s">
        <v>7744</v>
      </c>
      <c r="V396" t="s">
        <v>7745</v>
      </c>
      <c r="W396" t="s">
        <v>7746</v>
      </c>
      <c r="X396" t="s">
        <v>7747</v>
      </c>
      <c r="Y396" t="s">
        <v>7748</v>
      </c>
      <c r="Z396" t="s">
        <v>7749</v>
      </c>
      <c r="AA396" t="s">
        <v>74</v>
      </c>
      <c r="AB396" t="s">
        <v>74</v>
      </c>
      <c r="AC396" t="s">
        <v>7750</v>
      </c>
      <c r="AD396" t="s">
        <v>7751</v>
      </c>
      <c r="AE396" t="s">
        <v>7752</v>
      </c>
      <c r="AF396" t="s">
        <v>74</v>
      </c>
      <c r="AG396">
        <v>46</v>
      </c>
      <c r="AH396">
        <v>5</v>
      </c>
      <c r="AI396">
        <v>10</v>
      </c>
      <c r="AJ396">
        <v>3</v>
      </c>
      <c r="AK396">
        <v>32</v>
      </c>
      <c r="AL396" t="s">
        <v>2170</v>
      </c>
      <c r="AM396" t="s">
        <v>2171</v>
      </c>
      <c r="AN396" t="s">
        <v>2172</v>
      </c>
      <c r="AO396" t="s">
        <v>2173</v>
      </c>
      <c r="AP396" t="s">
        <v>74</v>
      </c>
      <c r="AQ396" t="s">
        <v>74</v>
      </c>
      <c r="AR396" t="s">
        <v>2174</v>
      </c>
      <c r="AS396" t="s">
        <v>2175</v>
      </c>
      <c r="AT396" t="s">
        <v>200</v>
      </c>
      <c r="AU396">
        <v>2015</v>
      </c>
      <c r="AV396">
        <v>14</v>
      </c>
      <c r="AW396">
        <v>1</v>
      </c>
      <c r="AX396" t="s">
        <v>74</v>
      </c>
      <c r="AY396" t="s">
        <v>74</v>
      </c>
      <c r="AZ396" t="s">
        <v>74</v>
      </c>
      <c r="BA396" t="s">
        <v>74</v>
      </c>
      <c r="BB396">
        <v>3</v>
      </c>
      <c r="BC396">
        <v>11</v>
      </c>
      <c r="BD396" t="s">
        <v>74</v>
      </c>
      <c r="BE396" t="s">
        <v>7753</v>
      </c>
      <c r="BF396" t="str">
        <f>HYPERLINK("http://dx.doi.org/10.2326/osj.14.3","http://dx.doi.org/10.2326/osj.14.3")</f>
        <v>http://dx.doi.org/10.2326/osj.14.3</v>
      </c>
      <c r="BG396" t="s">
        <v>74</v>
      </c>
      <c r="BH396" t="s">
        <v>74</v>
      </c>
      <c r="BI396">
        <v>9</v>
      </c>
      <c r="BJ396" t="s">
        <v>422</v>
      </c>
      <c r="BK396" t="s">
        <v>91</v>
      </c>
      <c r="BL396" t="s">
        <v>423</v>
      </c>
      <c r="BM396" t="s">
        <v>2177</v>
      </c>
      <c r="BN396" t="s">
        <v>74</v>
      </c>
      <c r="BO396" t="s">
        <v>74</v>
      </c>
      <c r="BP396" t="s">
        <v>74</v>
      </c>
      <c r="BQ396" t="s">
        <v>74</v>
      </c>
      <c r="BR396" t="s">
        <v>93</v>
      </c>
      <c r="BS396" t="s">
        <v>7754</v>
      </c>
      <c r="BT396" t="str">
        <f>HYPERLINK("https%3A%2F%2Fwww.webofscience.com%2Fwos%2Fwoscc%2Ffull-record%2FWOS:000349459700002","View Full Record in Web of Science")</f>
        <v>View Full Record in Web of Science</v>
      </c>
    </row>
    <row r="397" spans="1:72" x14ac:dyDescent="0.15">
      <c r="A397" t="s">
        <v>72</v>
      </c>
      <c r="B397" t="s">
        <v>7755</v>
      </c>
      <c r="C397" t="s">
        <v>74</v>
      </c>
      <c r="D397" t="s">
        <v>74</v>
      </c>
      <c r="E397" t="s">
        <v>74</v>
      </c>
      <c r="F397" t="s">
        <v>7756</v>
      </c>
      <c r="G397" t="s">
        <v>74</v>
      </c>
      <c r="H397" t="s">
        <v>74</v>
      </c>
      <c r="I397" t="s">
        <v>7757</v>
      </c>
      <c r="J397" t="s">
        <v>2900</v>
      </c>
      <c r="K397" t="s">
        <v>74</v>
      </c>
      <c r="L397" t="s">
        <v>74</v>
      </c>
      <c r="M397" t="s">
        <v>78</v>
      </c>
      <c r="N397" t="s">
        <v>99</v>
      </c>
      <c r="O397" t="s">
        <v>74</v>
      </c>
      <c r="P397" t="s">
        <v>74</v>
      </c>
      <c r="Q397" t="s">
        <v>74</v>
      </c>
      <c r="R397" t="s">
        <v>74</v>
      </c>
      <c r="S397" t="s">
        <v>74</v>
      </c>
      <c r="T397" t="s">
        <v>7758</v>
      </c>
      <c r="U397" t="s">
        <v>7759</v>
      </c>
      <c r="V397" t="s">
        <v>7760</v>
      </c>
      <c r="W397" t="s">
        <v>7761</v>
      </c>
      <c r="X397" t="s">
        <v>7762</v>
      </c>
      <c r="Y397" t="s">
        <v>7763</v>
      </c>
      <c r="Z397" t="s">
        <v>7764</v>
      </c>
      <c r="AA397" t="s">
        <v>74</v>
      </c>
      <c r="AB397" t="s">
        <v>74</v>
      </c>
      <c r="AC397" t="s">
        <v>7765</v>
      </c>
      <c r="AD397" t="s">
        <v>7766</v>
      </c>
      <c r="AE397" t="s">
        <v>7767</v>
      </c>
      <c r="AF397" t="s">
        <v>74</v>
      </c>
      <c r="AG397">
        <v>66</v>
      </c>
      <c r="AH397">
        <v>22</v>
      </c>
      <c r="AI397">
        <v>24</v>
      </c>
      <c r="AJ397">
        <v>5</v>
      </c>
      <c r="AK397">
        <v>64</v>
      </c>
      <c r="AL397" t="s">
        <v>2640</v>
      </c>
      <c r="AM397" t="s">
        <v>1176</v>
      </c>
      <c r="AN397" t="s">
        <v>2641</v>
      </c>
      <c r="AO397" t="s">
        <v>2913</v>
      </c>
      <c r="AP397" t="s">
        <v>2914</v>
      </c>
      <c r="AQ397" t="s">
        <v>74</v>
      </c>
      <c r="AR397" t="s">
        <v>2915</v>
      </c>
      <c r="AS397" t="s">
        <v>2916</v>
      </c>
      <c r="AT397" t="s">
        <v>2464</v>
      </c>
      <c r="AU397">
        <v>2015</v>
      </c>
      <c r="AV397">
        <v>417</v>
      </c>
      <c r="AW397" t="s">
        <v>74</v>
      </c>
      <c r="AX397" t="s">
        <v>74</v>
      </c>
      <c r="AY397" t="s">
        <v>74</v>
      </c>
      <c r="AZ397" t="s">
        <v>74</v>
      </c>
      <c r="BA397" t="s">
        <v>74</v>
      </c>
      <c r="BB397">
        <v>445</v>
      </c>
      <c r="BC397">
        <v>457</v>
      </c>
      <c r="BD397" t="s">
        <v>74</v>
      </c>
      <c r="BE397" t="s">
        <v>7768</v>
      </c>
      <c r="BF397" t="str">
        <f>HYPERLINK("http://dx.doi.org/10.1016/j.palaeo.2014.10.005","http://dx.doi.org/10.1016/j.palaeo.2014.10.005")</f>
        <v>http://dx.doi.org/10.1016/j.palaeo.2014.10.005</v>
      </c>
      <c r="BG397" t="s">
        <v>74</v>
      </c>
      <c r="BH397" t="s">
        <v>74</v>
      </c>
      <c r="BI397">
        <v>13</v>
      </c>
      <c r="BJ397" t="s">
        <v>2918</v>
      </c>
      <c r="BK397" t="s">
        <v>91</v>
      </c>
      <c r="BL397" t="s">
        <v>2919</v>
      </c>
      <c r="BM397" t="s">
        <v>2920</v>
      </c>
      <c r="BN397" t="s">
        <v>74</v>
      </c>
      <c r="BO397" t="s">
        <v>74</v>
      </c>
      <c r="BP397" t="s">
        <v>74</v>
      </c>
      <c r="BQ397" t="s">
        <v>74</v>
      </c>
      <c r="BR397" t="s">
        <v>93</v>
      </c>
      <c r="BS397" t="s">
        <v>7769</v>
      </c>
      <c r="BT397" t="str">
        <f>HYPERLINK("https%3A%2F%2Fwww.webofscience.com%2Fwos%2Fwoscc%2Ffull-record%2FWOS:000347862400033","View Full Record in Web of Science")</f>
        <v>View Full Record in Web of Science</v>
      </c>
    </row>
    <row r="398" spans="1:72" x14ac:dyDescent="0.15">
      <c r="A398" t="s">
        <v>72</v>
      </c>
      <c r="B398" t="s">
        <v>7770</v>
      </c>
      <c r="C398" t="s">
        <v>74</v>
      </c>
      <c r="D398" t="s">
        <v>74</v>
      </c>
      <c r="E398" t="s">
        <v>74</v>
      </c>
      <c r="F398" t="s">
        <v>7771</v>
      </c>
      <c r="G398" t="s">
        <v>74</v>
      </c>
      <c r="H398" t="s">
        <v>74</v>
      </c>
      <c r="I398" t="s">
        <v>7772</v>
      </c>
      <c r="J398" t="s">
        <v>7773</v>
      </c>
      <c r="K398" t="s">
        <v>74</v>
      </c>
      <c r="L398" t="s">
        <v>74</v>
      </c>
      <c r="M398" t="s">
        <v>78</v>
      </c>
      <c r="N398" t="s">
        <v>454</v>
      </c>
      <c r="O398" t="s">
        <v>74</v>
      </c>
      <c r="P398" t="s">
        <v>74</v>
      </c>
      <c r="Q398" t="s">
        <v>74</v>
      </c>
      <c r="R398" t="s">
        <v>74</v>
      </c>
      <c r="S398" t="s">
        <v>74</v>
      </c>
      <c r="T398" t="s">
        <v>74</v>
      </c>
      <c r="U398" t="s">
        <v>7774</v>
      </c>
      <c r="V398" t="s">
        <v>7775</v>
      </c>
      <c r="W398" t="s">
        <v>7776</v>
      </c>
      <c r="X398" t="s">
        <v>7777</v>
      </c>
      <c r="Y398" t="s">
        <v>7778</v>
      </c>
      <c r="Z398" t="s">
        <v>7779</v>
      </c>
      <c r="AA398" t="s">
        <v>7780</v>
      </c>
      <c r="AB398" t="s">
        <v>7781</v>
      </c>
      <c r="AC398" t="s">
        <v>7782</v>
      </c>
      <c r="AD398" t="s">
        <v>7783</v>
      </c>
      <c r="AE398" t="s">
        <v>7784</v>
      </c>
      <c r="AF398" t="s">
        <v>74</v>
      </c>
      <c r="AG398">
        <v>282</v>
      </c>
      <c r="AH398">
        <v>33</v>
      </c>
      <c r="AI398">
        <v>33</v>
      </c>
      <c r="AJ398">
        <v>3</v>
      </c>
      <c r="AK398">
        <v>32</v>
      </c>
      <c r="AL398" t="s">
        <v>6375</v>
      </c>
      <c r="AM398" t="s">
        <v>219</v>
      </c>
      <c r="AN398" t="s">
        <v>6376</v>
      </c>
      <c r="AO398" t="s">
        <v>7785</v>
      </c>
      <c r="AP398" t="s">
        <v>7786</v>
      </c>
      <c r="AQ398" t="s">
        <v>74</v>
      </c>
      <c r="AR398" t="s">
        <v>7787</v>
      </c>
      <c r="AS398" t="s">
        <v>7788</v>
      </c>
      <c r="AT398" t="s">
        <v>74</v>
      </c>
      <c r="AU398">
        <v>2015</v>
      </c>
      <c r="AV398">
        <v>14</v>
      </c>
      <c r="AW398">
        <v>1</v>
      </c>
      <c r="AX398" t="s">
        <v>74</v>
      </c>
      <c r="AY398" t="s">
        <v>74</v>
      </c>
      <c r="AZ398" t="s">
        <v>74</v>
      </c>
      <c r="BA398" t="s">
        <v>74</v>
      </c>
      <c r="BB398">
        <v>19</v>
      </c>
      <c r="BC398">
        <v>52</v>
      </c>
      <c r="BD398" t="s">
        <v>74</v>
      </c>
      <c r="BE398" t="s">
        <v>7789</v>
      </c>
      <c r="BF398" t="str">
        <f>HYPERLINK("http://dx.doi.org/10.1039/c4pp90032d","http://dx.doi.org/10.1039/c4pp90032d")</f>
        <v>http://dx.doi.org/10.1039/c4pp90032d</v>
      </c>
      <c r="BG398" t="s">
        <v>74</v>
      </c>
      <c r="BH398" t="s">
        <v>74</v>
      </c>
      <c r="BI398">
        <v>34</v>
      </c>
      <c r="BJ398" t="s">
        <v>7790</v>
      </c>
      <c r="BK398" t="s">
        <v>91</v>
      </c>
      <c r="BL398" t="s">
        <v>7791</v>
      </c>
      <c r="BM398" t="s">
        <v>7792</v>
      </c>
      <c r="BN398">
        <v>25380284</v>
      </c>
      <c r="BO398" t="s">
        <v>375</v>
      </c>
      <c r="BP398" t="s">
        <v>74</v>
      </c>
      <c r="BQ398" t="s">
        <v>74</v>
      </c>
      <c r="BR398" t="s">
        <v>93</v>
      </c>
      <c r="BS398" t="s">
        <v>7793</v>
      </c>
      <c r="BT398" t="str">
        <f>HYPERLINK("https%3A%2F%2Fwww.webofscience.com%2Fwos%2Fwoscc%2Ffull-record%2FWOS:000346567000004","View Full Record in Web of Science")</f>
        <v>View Full Record in Web of Science</v>
      </c>
    </row>
    <row r="399" spans="1:72" x14ac:dyDescent="0.15">
      <c r="A399" t="s">
        <v>72</v>
      </c>
      <c r="B399" t="s">
        <v>7794</v>
      </c>
      <c r="C399" t="s">
        <v>74</v>
      </c>
      <c r="D399" t="s">
        <v>74</v>
      </c>
      <c r="E399" t="s">
        <v>74</v>
      </c>
      <c r="F399" t="s">
        <v>7795</v>
      </c>
      <c r="G399" t="s">
        <v>74</v>
      </c>
      <c r="H399" t="s">
        <v>74</v>
      </c>
      <c r="I399" t="s">
        <v>7796</v>
      </c>
      <c r="J399" t="s">
        <v>7797</v>
      </c>
      <c r="K399" t="s">
        <v>74</v>
      </c>
      <c r="L399" t="s">
        <v>74</v>
      </c>
      <c r="M399" t="s">
        <v>78</v>
      </c>
      <c r="N399" t="s">
        <v>99</v>
      </c>
      <c r="O399" t="s">
        <v>74</v>
      </c>
      <c r="P399" t="s">
        <v>74</v>
      </c>
      <c r="Q399" t="s">
        <v>74</v>
      </c>
      <c r="R399" t="s">
        <v>74</v>
      </c>
      <c r="S399" t="s">
        <v>74</v>
      </c>
      <c r="T399" t="s">
        <v>7798</v>
      </c>
      <c r="U399" t="s">
        <v>7799</v>
      </c>
      <c r="V399" t="s">
        <v>7800</v>
      </c>
      <c r="W399" t="s">
        <v>7801</v>
      </c>
      <c r="X399" t="s">
        <v>7802</v>
      </c>
      <c r="Y399" t="s">
        <v>7803</v>
      </c>
      <c r="Z399" t="s">
        <v>7804</v>
      </c>
      <c r="AA399" t="s">
        <v>7805</v>
      </c>
      <c r="AB399" t="s">
        <v>7806</v>
      </c>
      <c r="AC399" t="s">
        <v>7807</v>
      </c>
      <c r="AD399" t="s">
        <v>7808</v>
      </c>
      <c r="AE399" t="s">
        <v>7809</v>
      </c>
      <c r="AF399" t="s">
        <v>74</v>
      </c>
      <c r="AG399">
        <v>66</v>
      </c>
      <c r="AH399">
        <v>13</v>
      </c>
      <c r="AI399">
        <v>13</v>
      </c>
      <c r="AJ399">
        <v>1</v>
      </c>
      <c r="AK399">
        <v>15</v>
      </c>
      <c r="AL399" t="s">
        <v>82</v>
      </c>
      <c r="AM399" t="s">
        <v>83</v>
      </c>
      <c r="AN399" t="s">
        <v>150</v>
      </c>
      <c r="AO399" t="s">
        <v>7810</v>
      </c>
      <c r="AP399" t="s">
        <v>7811</v>
      </c>
      <c r="AQ399" t="s">
        <v>74</v>
      </c>
      <c r="AR399" t="s">
        <v>7797</v>
      </c>
      <c r="AS399" t="s">
        <v>7812</v>
      </c>
      <c r="AT399" t="s">
        <v>74</v>
      </c>
      <c r="AU399">
        <v>2015</v>
      </c>
      <c r="AV399">
        <v>54</v>
      </c>
      <c r="AW399">
        <v>4</v>
      </c>
      <c r="AX399" t="s">
        <v>74</v>
      </c>
      <c r="AY399" t="s">
        <v>74</v>
      </c>
      <c r="AZ399" t="s">
        <v>74</v>
      </c>
      <c r="BA399" t="s">
        <v>74</v>
      </c>
      <c r="BB399">
        <v>333</v>
      </c>
      <c r="BC399">
        <v>341</v>
      </c>
      <c r="BD399" t="s">
        <v>74</v>
      </c>
      <c r="BE399" t="s">
        <v>7813</v>
      </c>
      <c r="BF399" t="str">
        <f>HYPERLINK("http://dx.doi.org/10.2216/14-106.1","http://dx.doi.org/10.2216/14-106.1")</f>
        <v>http://dx.doi.org/10.2216/14-106.1</v>
      </c>
      <c r="BG399" t="s">
        <v>74</v>
      </c>
      <c r="BH399" t="s">
        <v>74</v>
      </c>
      <c r="BI399">
        <v>9</v>
      </c>
      <c r="BJ399" t="s">
        <v>90</v>
      </c>
      <c r="BK399" t="s">
        <v>91</v>
      </c>
      <c r="BL399" t="s">
        <v>90</v>
      </c>
      <c r="BM399" t="s">
        <v>7814</v>
      </c>
      <c r="BN399" t="s">
        <v>74</v>
      </c>
      <c r="BO399" t="s">
        <v>74</v>
      </c>
      <c r="BP399" t="s">
        <v>74</v>
      </c>
      <c r="BQ399" t="s">
        <v>74</v>
      </c>
      <c r="BR399" t="s">
        <v>93</v>
      </c>
      <c r="BS399" t="s">
        <v>7815</v>
      </c>
      <c r="BT399" t="str">
        <f>HYPERLINK("https%3A%2F%2Fwww.webofscience.com%2Fwos%2Fwoscc%2Ffull-record%2FWOS:000361617900002","View Full Record in Web of Science")</f>
        <v>View Full Record in Web of Science</v>
      </c>
    </row>
    <row r="400" spans="1:72" x14ac:dyDescent="0.15">
      <c r="A400" t="s">
        <v>72</v>
      </c>
      <c r="B400" t="s">
        <v>7816</v>
      </c>
      <c r="C400" t="s">
        <v>74</v>
      </c>
      <c r="D400" t="s">
        <v>74</v>
      </c>
      <c r="E400" t="s">
        <v>74</v>
      </c>
      <c r="F400" t="s">
        <v>7817</v>
      </c>
      <c r="G400" t="s">
        <v>74</v>
      </c>
      <c r="H400" t="s">
        <v>74</v>
      </c>
      <c r="I400" t="s">
        <v>7818</v>
      </c>
      <c r="J400" t="s">
        <v>7797</v>
      </c>
      <c r="K400" t="s">
        <v>74</v>
      </c>
      <c r="L400" t="s">
        <v>74</v>
      </c>
      <c r="M400" t="s">
        <v>78</v>
      </c>
      <c r="N400" t="s">
        <v>99</v>
      </c>
      <c r="O400" t="s">
        <v>74</v>
      </c>
      <c r="P400" t="s">
        <v>74</v>
      </c>
      <c r="Q400" t="s">
        <v>74</v>
      </c>
      <c r="R400" t="s">
        <v>74</v>
      </c>
      <c r="S400" t="s">
        <v>74</v>
      </c>
      <c r="T400" t="s">
        <v>7819</v>
      </c>
      <c r="U400" t="s">
        <v>7820</v>
      </c>
      <c r="V400" t="s">
        <v>7821</v>
      </c>
      <c r="W400" t="s">
        <v>7822</v>
      </c>
      <c r="X400" t="s">
        <v>7823</v>
      </c>
      <c r="Y400" t="s">
        <v>7824</v>
      </c>
      <c r="Z400" t="s">
        <v>7825</v>
      </c>
      <c r="AA400" t="s">
        <v>7826</v>
      </c>
      <c r="AB400" t="s">
        <v>7827</v>
      </c>
      <c r="AC400" t="s">
        <v>7828</v>
      </c>
      <c r="AD400" t="s">
        <v>7829</v>
      </c>
      <c r="AE400" t="s">
        <v>7830</v>
      </c>
      <c r="AF400" t="s">
        <v>74</v>
      </c>
      <c r="AG400">
        <v>60</v>
      </c>
      <c r="AH400">
        <v>16</v>
      </c>
      <c r="AI400">
        <v>17</v>
      </c>
      <c r="AJ400">
        <v>0</v>
      </c>
      <c r="AK400">
        <v>36</v>
      </c>
      <c r="AL400" t="s">
        <v>82</v>
      </c>
      <c r="AM400" t="s">
        <v>83</v>
      </c>
      <c r="AN400" t="s">
        <v>150</v>
      </c>
      <c r="AO400" t="s">
        <v>7810</v>
      </c>
      <c r="AP400" t="s">
        <v>7811</v>
      </c>
      <c r="AQ400" t="s">
        <v>74</v>
      </c>
      <c r="AR400" t="s">
        <v>7797</v>
      </c>
      <c r="AS400" t="s">
        <v>7812</v>
      </c>
      <c r="AT400" t="s">
        <v>74</v>
      </c>
      <c r="AU400">
        <v>2015</v>
      </c>
      <c r="AV400">
        <v>54</v>
      </c>
      <c r="AW400">
        <v>5</v>
      </c>
      <c r="AX400" t="s">
        <v>74</v>
      </c>
      <c r="AY400" t="s">
        <v>74</v>
      </c>
      <c r="AZ400" t="s">
        <v>74</v>
      </c>
      <c r="BA400" t="s">
        <v>74</v>
      </c>
      <c r="BB400">
        <v>530</v>
      </c>
      <c r="BC400">
        <v>544</v>
      </c>
      <c r="BD400" t="s">
        <v>74</v>
      </c>
      <c r="BE400" t="s">
        <v>7831</v>
      </c>
      <c r="BF400" t="str">
        <f>HYPERLINK("http://dx.doi.org/10.2216/15-39.1","http://dx.doi.org/10.2216/15-39.1")</f>
        <v>http://dx.doi.org/10.2216/15-39.1</v>
      </c>
      <c r="BG400" t="s">
        <v>74</v>
      </c>
      <c r="BH400" t="s">
        <v>74</v>
      </c>
      <c r="BI400">
        <v>15</v>
      </c>
      <c r="BJ400" t="s">
        <v>90</v>
      </c>
      <c r="BK400" t="s">
        <v>91</v>
      </c>
      <c r="BL400" t="s">
        <v>90</v>
      </c>
      <c r="BM400" t="s">
        <v>7832</v>
      </c>
      <c r="BN400" t="s">
        <v>74</v>
      </c>
      <c r="BO400" t="s">
        <v>74</v>
      </c>
      <c r="BP400" t="s">
        <v>74</v>
      </c>
      <c r="BQ400" t="s">
        <v>74</v>
      </c>
      <c r="BR400" t="s">
        <v>93</v>
      </c>
      <c r="BS400" t="s">
        <v>7833</v>
      </c>
      <c r="BT400" t="str">
        <f>HYPERLINK("https%3A%2F%2Fwww.webofscience.com%2Fwos%2Fwoscc%2Ffull-record%2FWOS:000365398100009","View Full Record in Web of Science")</f>
        <v>View Full Record in Web of Science</v>
      </c>
    </row>
    <row r="401" spans="1:72" x14ac:dyDescent="0.15">
      <c r="A401" t="s">
        <v>72</v>
      </c>
      <c r="B401" t="s">
        <v>7834</v>
      </c>
      <c r="C401" t="s">
        <v>74</v>
      </c>
      <c r="D401" t="s">
        <v>74</v>
      </c>
      <c r="E401" t="s">
        <v>74</v>
      </c>
      <c r="F401" t="s">
        <v>7835</v>
      </c>
      <c r="G401" t="s">
        <v>74</v>
      </c>
      <c r="H401" t="s">
        <v>74</v>
      </c>
      <c r="I401" t="s">
        <v>7836</v>
      </c>
      <c r="J401" t="s">
        <v>7797</v>
      </c>
      <c r="K401" t="s">
        <v>74</v>
      </c>
      <c r="L401" t="s">
        <v>74</v>
      </c>
      <c r="M401" t="s">
        <v>78</v>
      </c>
      <c r="N401" t="s">
        <v>99</v>
      </c>
      <c r="O401" t="s">
        <v>74</v>
      </c>
      <c r="P401" t="s">
        <v>74</v>
      </c>
      <c r="Q401" t="s">
        <v>74</v>
      </c>
      <c r="R401" t="s">
        <v>74</v>
      </c>
      <c r="S401" t="s">
        <v>74</v>
      </c>
      <c r="T401" t="s">
        <v>7837</v>
      </c>
      <c r="U401" t="s">
        <v>7838</v>
      </c>
      <c r="V401" t="s">
        <v>7839</v>
      </c>
      <c r="W401" t="s">
        <v>7840</v>
      </c>
      <c r="X401" t="s">
        <v>7841</v>
      </c>
      <c r="Y401" t="s">
        <v>7842</v>
      </c>
      <c r="Z401" t="s">
        <v>7843</v>
      </c>
      <c r="AA401" t="s">
        <v>7844</v>
      </c>
      <c r="AB401" t="s">
        <v>7845</v>
      </c>
      <c r="AC401" t="s">
        <v>7846</v>
      </c>
      <c r="AD401" t="s">
        <v>7847</v>
      </c>
      <c r="AE401" t="s">
        <v>7848</v>
      </c>
      <c r="AF401" t="s">
        <v>74</v>
      </c>
      <c r="AG401">
        <v>103</v>
      </c>
      <c r="AH401">
        <v>16</v>
      </c>
      <c r="AI401">
        <v>16</v>
      </c>
      <c r="AJ401">
        <v>0</v>
      </c>
      <c r="AK401">
        <v>31</v>
      </c>
      <c r="AL401" t="s">
        <v>82</v>
      </c>
      <c r="AM401" t="s">
        <v>83</v>
      </c>
      <c r="AN401" t="s">
        <v>150</v>
      </c>
      <c r="AO401" t="s">
        <v>7810</v>
      </c>
      <c r="AP401" t="s">
        <v>7811</v>
      </c>
      <c r="AQ401" t="s">
        <v>74</v>
      </c>
      <c r="AR401" t="s">
        <v>7797</v>
      </c>
      <c r="AS401" t="s">
        <v>7812</v>
      </c>
      <c r="AT401" t="s">
        <v>74</v>
      </c>
      <c r="AU401">
        <v>2015</v>
      </c>
      <c r="AV401">
        <v>54</v>
      </c>
      <c r="AW401">
        <v>6</v>
      </c>
      <c r="AX401" t="s">
        <v>74</v>
      </c>
      <c r="AY401" t="s">
        <v>74</v>
      </c>
      <c r="AZ401" t="s">
        <v>74</v>
      </c>
      <c r="BA401" t="s">
        <v>74</v>
      </c>
      <c r="BB401">
        <v>556</v>
      </c>
      <c r="BC401">
        <v>565</v>
      </c>
      <c r="BD401" t="s">
        <v>74</v>
      </c>
      <c r="BE401" t="s">
        <v>7849</v>
      </c>
      <c r="BF401" t="str">
        <f>HYPERLINK("http://dx.doi.org/10.2216/15-24.1","http://dx.doi.org/10.2216/15-24.1")</f>
        <v>http://dx.doi.org/10.2216/15-24.1</v>
      </c>
      <c r="BG401" t="s">
        <v>74</v>
      </c>
      <c r="BH401" t="s">
        <v>74</v>
      </c>
      <c r="BI401">
        <v>10</v>
      </c>
      <c r="BJ401" t="s">
        <v>90</v>
      </c>
      <c r="BK401" t="s">
        <v>91</v>
      </c>
      <c r="BL401" t="s">
        <v>90</v>
      </c>
      <c r="BM401" t="s">
        <v>7850</v>
      </c>
      <c r="BN401" t="s">
        <v>74</v>
      </c>
      <c r="BO401" t="s">
        <v>74</v>
      </c>
      <c r="BP401" t="s">
        <v>74</v>
      </c>
      <c r="BQ401" t="s">
        <v>74</v>
      </c>
      <c r="BR401" t="s">
        <v>93</v>
      </c>
      <c r="BS401" t="s">
        <v>7851</v>
      </c>
      <c r="BT401" t="str">
        <f>HYPERLINK("https%3A%2F%2Fwww.webofscience.com%2Fwos%2Fwoscc%2Ffull-record%2FWOS:000365995200002","View Full Record in Web of Science")</f>
        <v>View Full Record in Web of Science</v>
      </c>
    </row>
    <row r="402" spans="1:72" x14ac:dyDescent="0.15">
      <c r="A402" t="s">
        <v>72</v>
      </c>
      <c r="B402" t="s">
        <v>7852</v>
      </c>
      <c r="C402" t="s">
        <v>74</v>
      </c>
      <c r="D402" t="s">
        <v>74</v>
      </c>
      <c r="E402" t="s">
        <v>74</v>
      </c>
      <c r="F402" t="s">
        <v>7853</v>
      </c>
      <c r="G402" t="s">
        <v>74</v>
      </c>
      <c r="H402" t="s">
        <v>74</v>
      </c>
      <c r="I402" t="s">
        <v>7854</v>
      </c>
      <c r="J402" t="s">
        <v>7855</v>
      </c>
      <c r="K402" t="s">
        <v>74</v>
      </c>
      <c r="L402" t="s">
        <v>74</v>
      </c>
      <c r="M402" t="s">
        <v>78</v>
      </c>
      <c r="N402" t="s">
        <v>99</v>
      </c>
      <c r="O402" t="s">
        <v>74</v>
      </c>
      <c r="P402" t="s">
        <v>74</v>
      </c>
      <c r="Q402" t="s">
        <v>74</v>
      </c>
      <c r="R402" t="s">
        <v>74</v>
      </c>
      <c r="S402" t="s">
        <v>74</v>
      </c>
      <c r="T402" t="s">
        <v>7856</v>
      </c>
      <c r="U402" t="s">
        <v>7857</v>
      </c>
      <c r="V402" t="s">
        <v>7858</v>
      </c>
      <c r="W402" t="s">
        <v>7859</v>
      </c>
      <c r="X402" t="s">
        <v>7860</v>
      </c>
      <c r="Y402" t="s">
        <v>7861</v>
      </c>
      <c r="Z402" t="s">
        <v>7126</v>
      </c>
      <c r="AA402" t="s">
        <v>74</v>
      </c>
      <c r="AB402" t="s">
        <v>74</v>
      </c>
      <c r="AC402" t="s">
        <v>7862</v>
      </c>
      <c r="AD402" t="s">
        <v>7863</v>
      </c>
      <c r="AE402" t="s">
        <v>7864</v>
      </c>
      <c r="AF402" t="s">
        <v>74</v>
      </c>
      <c r="AG402">
        <v>45</v>
      </c>
      <c r="AH402">
        <v>2</v>
      </c>
      <c r="AI402">
        <v>4</v>
      </c>
      <c r="AJ402">
        <v>3</v>
      </c>
      <c r="AK402">
        <v>15</v>
      </c>
      <c r="AL402" t="s">
        <v>2439</v>
      </c>
      <c r="AM402" t="s">
        <v>1411</v>
      </c>
      <c r="AN402" t="s">
        <v>2440</v>
      </c>
      <c r="AO402" t="s">
        <v>7865</v>
      </c>
      <c r="AP402" t="s">
        <v>7866</v>
      </c>
      <c r="AQ402" t="s">
        <v>74</v>
      </c>
      <c r="AR402" t="s">
        <v>7867</v>
      </c>
      <c r="AS402" t="s">
        <v>7868</v>
      </c>
      <c r="AT402" t="s">
        <v>74</v>
      </c>
      <c r="AU402">
        <v>2015</v>
      </c>
      <c r="AV402" t="s">
        <v>7869</v>
      </c>
      <c r="AW402" t="s">
        <v>74</v>
      </c>
      <c r="AX402" t="s">
        <v>74</v>
      </c>
      <c r="AY402" t="s">
        <v>74</v>
      </c>
      <c r="AZ402" t="s">
        <v>74</v>
      </c>
      <c r="BA402" t="s">
        <v>74</v>
      </c>
      <c r="BB402">
        <v>119</v>
      </c>
      <c r="BC402">
        <v>125</v>
      </c>
      <c r="BD402" t="s">
        <v>74</v>
      </c>
      <c r="BE402" t="s">
        <v>7870</v>
      </c>
      <c r="BF402" t="str">
        <f>HYPERLINK("http://dx.doi.org/10.1016/j.pce.2015.08.014","http://dx.doi.org/10.1016/j.pce.2015.08.014")</f>
        <v>http://dx.doi.org/10.1016/j.pce.2015.08.014</v>
      </c>
      <c r="BG402" t="s">
        <v>74</v>
      </c>
      <c r="BH402" t="s">
        <v>74</v>
      </c>
      <c r="BI402">
        <v>7</v>
      </c>
      <c r="BJ402" t="s">
        <v>7461</v>
      </c>
      <c r="BK402" t="s">
        <v>91</v>
      </c>
      <c r="BL402" t="s">
        <v>7462</v>
      </c>
      <c r="BM402" t="s">
        <v>7871</v>
      </c>
      <c r="BN402" t="s">
        <v>74</v>
      </c>
      <c r="BO402" t="s">
        <v>74</v>
      </c>
      <c r="BP402" t="s">
        <v>74</v>
      </c>
      <c r="BQ402" t="s">
        <v>74</v>
      </c>
      <c r="BR402" t="s">
        <v>93</v>
      </c>
      <c r="BS402" t="s">
        <v>7872</v>
      </c>
      <c r="BT402" t="str">
        <f>HYPERLINK("https%3A%2F%2Fwww.webofscience.com%2Fwos%2Fwoscc%2Ffull-record%2FWOS:000367697200014","View Full Record in Web of Science")</f>
        <v>View Full Record in Web of Science</v>
      </c>
    </row>
    <row r="403" spans="1:72" x14ac:dyDescent="0.15">
      <c r="A403" t="s">
        <v>72</v>
      </c>
      <c r="B403" t="s">
        <v>7873</v>
      </c>
      <c r="C403" t="s">
        <v>74</v>
      </c>
      <c r="D403" t="s">
        <v>74</v>
      </c>
      <c r="E403" t="s">
        <v>74</v>
      </c>
      <c r="F403" t="s">
        <v>7874</v>
      </c>
      <c r="G403" t="s">
        <v>74</v>
      </c>
      <c r="H403" t="s">
        <v>74</v>
      </c>
      <c r="I403" t="s">
        <v>7875</v>
      </c>
      <c r="J403" t="s">
        <v>7876</v>
      </c>
      <c r="K403" t="s">
        <v>74</v>
      </c>
      <c r="L403" t="s">
        <v>74</v>
      </c>
      <c r="M403" t="s">
        <v>78</v>
      </c>
      <c r="N403" t="s">
        <v>99</v>
      </c>
      <c r="O403" t="s">
        <v>74</v>
      </c>
      <c r="P403" t="s">
        <v>74</v>
      </c>
      <c r="Q403" t="s">
        <v>74</v>
      </c>
      <c r="R403" t="s">
        <v>74</v>
      </c>
      <c r="S403" t="s">
        <v>74</v>
      </c>
      <c r="T403" t="s">
        <v>7877</v>
      </c>
      <c r="U403" t="s">
        <v>7878</v>
      </c>
      <c r="V403" t="s">
        <v>7879</v>
      </c>
      <c r="W403" t="s">
        <v>7880</v>
      </c>
      <c r="X403" t="s">
        <v>7881</v>
      </c>
      <c r="Y403" t="s">
        <v>7882</v>
      </c>
      <c r="Z403" t="s">
        <v>7883</v>
      </c>
      <c r="AA403" t="s">
        <v>74</v>
      </c>
      <c r="AB403" t="s">
        <v>74</v>
      </c>
      <c r="AC403" t="s">
        <v>7884</v>
      </c>
      <c r="AD403" t="s">
        <v>7684</v>
      </c>
      <c r="AE403" t="s">
        <v>74</v>
      </c>
      <c r="AF403" t="s">
        <v>74</v>
      </c>
      <c r="AG403">
        <v>134</v>
      </c>
      <c r="AH403">
        <v>12</v>
      </c>
      <c r="AI403">
        <v>13</v>
      </c>
      <c r="AJ403">
        <v>1</v>
      </c>
      <c r="AK403">
        <v>16</v>
      </c>
      <c r="AL403" t="s">
        <v>7885</v>
      </c>
      <c r="AM403" t="s">
        <v>7886</v>
      </c>
      <c r="AN403" t="s">
        <v>7887</v>
      </c>
      <c r="AO403" t="s">
        <v>7888</v>
      </c>
      <c r="AP403" t="s">
        <v>7889</v>
      </c>
      <c r="AQ403" t="s">
        <v>74</v>
      </c>
      <c r="AR403" t="s">
        <v>7890</v>
      </c>
      <c r="AS403" t="s">
        <v>7891</v>
      </c>
      <c r="AT403" t="s">
        <v>74</v>
      </c>
      <c r="AU403">
        <v>2015</v>
      </c>
      <c r="AV403">
        <v>148</v>
      </c>
      <c r="AW403">
        <v>3</v>
      </c>
      <c r="AX403" t="s">
        <v>74</v>
      </c>
      <c r="AY403" t="s">
        <v>74</v>
      </c>
      <c r="AZ403" t="s">
        <v>74</v>
      </c>
      <c r="BA403" t="s">
        <v>74</v>
      </c>
      <c r="BB403">
        <v>431</v>
      </c>
      <c r="BC403">
        <v>455</v>
      </c>
      <c r="BD403" t="s">
        <v>74</v>
      </c>
      <c r="BE403" t="s">
        <v>7892</v>
      </c>
      <c r="BF403" t="str">
        <f>HYPERLINK("http://dx.doi.org/10.5091/plecevo.2015.1103","http://dx.doi.org/10.5091/plecevo.2015.1103")</f>
        <v>http://dx.doi.org/10.5091/plecevo.2015.1103</v>
      </c>
      <c r="BG403" t="s">
        <v>74</v>
      </c>
      <c r="BH403" t="s">
        <v>74</v>
      </c>
      <c r="BI403">
        <v>25</v>
      </c>
      <c r="BJ403" t="s">
        <v>1015</v>
      </c>
      <c r="BK403" t="s">
        <v>91</v>
      </c>
      <c r="BL403" t="s">
        <v>1015</v>
      </c>
      <c r="BM403" t="s">
        <v>7893</v>
      </c>
      <c r="BN403" t="s">
        <v>74</v>
      </c>
      <c r="BO403" t="s">
        <v>228</v>
      </c>
      <c r="BP403" t="s">
        <v>74</v>
      </c>
      <c r="BQ403" t="s">
        <v>74</v>
      </c>
      <c r="BR403" t="s">
        <v>93</v>
      </c>
      <c r="BS403" t="s">
        <v>7894</v>
      </c>
      <c r="BT403" t="str">
        <f>HYPERLINK("https%3A%2F%2Fwww.webofscience.com%2Fwos%2Fwoscc%2Ffull-record%2FWOS:000366150800013","View Full Record in Web of Science")</f>
        <v>View Full Record in Web of Science</v>
      </c>
    </row>
    <row r="404" spans="1:72" x14ac:dyDescent="0.15">
      <c r="A404" t="s">
        <v>72</v>
      </c>
      <c r="B404" t="s">
        <v>7895</v>
      </c>
      <c r="C404" t="s">
        <v>74</v>
      </c>
      <c r="D404" t="s">
        <v>74</v>
      </c>
      <c r="E404" t="s">
        <v>74</v>
      </c>
      <c r="F404" t="s">
        <v>7896</v>
      </c>
      <c r="G404" t="s">
        <v>74</v>
      </c>
      <c r="H404" t="s">
        <v>74</v>
      </c>
      <c r="I404" t="s">
        <v>7897</v>
      </c>
      <c r="J404" t="s">
        <v>7898</v>
      </c>
      <c r="K404" t="s">
        <v>74</v>
      </c>
      <c r="L404" t="s">
        <v>74</v>
      </c>
      <c r="M404" t="s">
        <v>78</v>
      </c>
      <c r="N404" t="s">
        <v>99</v>
      </c>
      <c r="O404" t="s">
        <v>74</v>
      </c>
      <c r="P404" t="s">
        <v>74</v>
      </c>
      <c r="Q404" t="s">
        <v>74</v>
      </c>
      <c r="R404" t="s">
        <v>74</v>
      </c>
      <c r="S404" t="s">
        <v>74</v>
      </c>
      <c r="T404" t="s">
        <v>74</v>
      </c>
      <c r="U404" t="s">
        <v>7899</v>
      </c>
      <c r="V404" t="s">
        <v>7900</v>
      </c>
      <c r="W404" t="s">
        <v>7901</v>
      </c>
      <c r="X404" t="s">
        <v>7902</v>
      </c>
      <c r="Y404" t="s">
        <v>7903</v>
      </c>
      <c r="Z404" t="s">
        <v>7904</v>
      </c>
      <c r="AA404" t="s">
        <v>74</v>
      </c>
      <c r="AB404" t="s">
        <v>7905</v>
      </c>
      <c r="AC404" t="s">
        <v>7906</v>
      </c>
      <c r="AD404" t="s">
        <v>7907</v>
      </c>
      <c r="AE404" t="s">
        <v>7908</v>
      </c>
      <c r="AF404" t="s">
        <v>74</v>
      </c>
      <c r="AG404">
        <v>53</v>
      </c>
      <c r="AH404">
        <v>12</v>
      </c>
      <c r="AI404">
        <v>13</v>
      </c>
      <c r="AJ404">
        <v>0</v>
      </c>
      <c r="AK404">
        <v>5</v>
      </c>
      <c r="AL404" t="s">
        <v>6525</v>
      </c>
      <c r="AM404" t="s">
        <v>6526</v>
      </c>
      <c r="AN404" t="s">
        <v>6527</v>
      </c>
      <c r="AO404" t="s">
        <v>7909</v>
      </c>
      <c r="AP404" t="s">
        <v>7910</v>
      </c>
      <c r="AQ404" t="s">
        <v>74</v>
      </c>
      <c r="AR404" t="s">
        <v>7911</v>
      </c>
      <c r="AS404" t="s">
        <v>7912</v>
      </c>
      <c r="AT404" t="s">
        <v>74</v>
      </c>
      <c r="AU404">
        <v>2015</v>
      </c>
      <c r="AV404">
        <v>38</v>
      </c>
      <c r="AW404">
        <v>2</v>
      </c>
      <c r="AX404" t="s">
        <v>74</v>
      </c>
      <c r="AY404" t="s">
        <v>74</v>
      </c>
      <c r="AZ404" t="s">
        <v>74</v>
      </c>
      <c r="BA404" t="s">
        <v>74</v>
      </c>
      <c r="BB404">
        <v>89</v>
      </c>
      <c r="BC404">
        <v>106</v>
      </c>
      <c r="BD404" t="s">
        <v>74</v>
      </c>
      <c r="BE404" t="s">
        <v>7913</v>
      </c>
      <c r="BF404" t="str">
        <f>HYPERLINK("http://dx.doi.org/10.1080/1088937X.2015.1051158","http://dx.doi.org/10.1080/1088937X.2015.1051158")</f>
        <v>http://dx.doi.org/10.1080/1088937X.2015.1051158</v>
      </c>
      <c r="BG404" t="s">
        <v>74</v>
      </c>
      <c r="BH404" t="s">
        <v>74</v>
      </c>
      <c r="BI404">
        <v>18</v>
      </c>
      <c r="BJ404" t="s">
        <v>7914</v>
      </c>
      <c r="BK404" t="s">
        <v>202</v>
      </c>
      <c r="BL404" t="s">
        <v>7915</v>
      </c>
      <c r="BM404" t="s">
        <v>7916</v>
      </c>
      <c r="BN404" t="s">
        <v>74</v>
      </c>
      <c r="BO404" t="s">
        <v>574</v>
      </c>
      <c r="BP404" t="s">
        <v>74</v>
      </c>
      <c r="BQ404" t="s">
        <v>74</v>
      </c>
      <c r="BR404" t="s">
        <v>93</v>
      </c>
      <c r="BS404" t="s">
        <v>7917</v>
      </c>
      <c r="BT404" t="str">
        <f>HYPERLINK("https%3A%2F%2Fwww.webofscience.com%2Fwos%2Fwoscc%2Ffull-record%2FWOS:000211126300001","View Full Record in Web of Science")</f>
        <v>View Full Record in Web of Science</v>
      </c>
    </row>
    <row r="405" spans="1:72" x14ac:dyDescent="0.15">
      <c r="A405" t="s">
        <v>72</v>
      </c>
      <c r="B405" t="s">
        <v>7918</v>
      </c>
      <c r="C405" t="s">
        <v>74</v>
      </c>
      <c r="D405" t="s">
        <v>74</v>
      </c>
      <c r="E405" t="s">
        <v>74</v>
      </c>
      <c r="F405" t="s">
        <v>7919</v>
      </c>
      <c r="G405" t="s">
        <v>74</v>
      </c>
      <c r="H405" t="s">
        <v>74</v>
      </c>
      <c r="I405" t="s">
        <v>7920</v>
      </c>
      <c r="J405" t="s">
        <v>3576</v>
      </c>
      <c r="K405" t="s">
        <v>74</v>
      </c>
      <c r="L405" t="s">
        <v>74</v>
      </c>
      <c r="M405" t="s">
        <v>78</v>
      </c>
      <c r="N405" t="s">
        <v>99</v>
      </c>
      <c r="O405" t="s">
        <v>74</v>
      </c>
      <c r="P405" t="s">
        <v>74</v>
      </c>
      <c r="Q405" t="s">
        <v>74</v>
      </c>
      <c r="R405" t="s">
        <v>74</v>
      </c>
      <c r="S405" t="s">
        <v>74</v>
      </c>
      <c r="T405" t="s">
        <v>74</v>
      </c>
      <c r="U405" t="s">
        <v>7921</v>
      </c>
      <c r="V405" t="s">
        <v>7922</v>
      </c>
      <c r="W405" t="s">
        <v>7923</v>
      </c>
      <c r="X405" t="s">
        <v>7924</v>
      </c>
      <c r="Y405" t="s">
        <v>7925</v>
      </c>
      <c r="Z405" t="s">
        <v>7926</v>
      </c>
      <c r="AA405" t="s">
        <v>7927</v>
      </c>
      <c r="AB405" t="s">
        <v>7928</v>
      </c>
      <c r="AC405" t="s">
        <v>7929</v>
      </c>
      <c r="AD405" t="s">
        <v>7930</v>
      </c>
      <c r="AE405" t="s">
        <v>7931</v>
      </c>
      <c r="AF405" t="s">
        <v>74</v>
      </c>
      <c r="AG405">
        <v>57</v>
      </c>
      <c r="AH405">
        <v>7</v>
      </c>
      <c r="AI405">
        <v>8</v>
      </c>
      <c r="AJ405">
        <v>0</v>
      </c>
      <c r="AK405">
        <v>23</v>
      </c>
      <c r="AL405" t="s">
        <v>365</v>
      </c>
      <c r="AM405" t="s">
        <v>342</v>
      </c>
      <c r="AN405" t="s">
        <v>2314</v>
      </c>
      <c r="AO405" t="s">
        <v>3582</v>
      </c>
      <c r="AP405" t="s">
        <v>3583</v>
      </c>
      <c r="AQ405" t="s">
        <v>74</v>
      </c>
      <c r="AR405" t="s">
        <v>3584</v>
      </c>
      <c r="AS405" t="s">
        <v>3585</v>
      </c>
      <c r="AT405" t="s">
        <v>200</v>
      </c>
      <c r="AU405">
        <v>2015</v>
      </c>
      <c r="AV405">
        <v>51</v>
      </c>
      <c r="AW405">
        <v>1</v>
      </c>
      <c r="AX405" t="s">
        <v>74</v>
      </c>
      <c r="AY405" t="s">
        <v>74</v>
      </c>
      <c r="AZ405" t="s">
        <v>74</v>
      </c>
      <c r="BA405" t="s">
        <v>74</v>
      </c>
      <c r="BB405">
        <v>58</v>
      </c>
      <c r="BC405">
        <v>71</v>
      </c>
      <c r="BD405" t="s">
        <v>74</v>
      </c>
      <c r="BE405" t="s">
        <v>7932</v>
      </c>
      <c r="BF405" t="str">
        <f>HYPERLINK("http://dx.doi.org/10.1017/S003224741300065X","http://dx.doi.org/10.1017/S003224741300065X")</f>
        <v>http://dx.doi.org/10.1017/S003224741300065X</v>
      </c>
      <c r="BG405" t="s">
        <v>74</v>
      </c>
      <c r="BH405" t="s">
        <v>74</v>
      </c>
      <c r="BI405">
        <v>14</v>
      </c>
      <c r="BJ405" t="s">
        <v>3587</v>
      </c>
      <c r="BK405" t="s">
        <v>91</v>
      </c>
      <c r="BL405" t="s">
        <v>395</v>
      </c>
      <c r="BM405" t="s">
        <v>3588</v>
      </c>
      <c r="BN405" t="s">
        <v>74</v>
      </c>
      <c r="BO405" t="s">
        <v>375</v>
      </c>
      <c r="BP405" t="s">
        <v>74</v>
      </c>
      <c r="BQ405" t="s">
        <v>74</v>
      </c>
      <c r="BR405" t="s">
        <v>93</v>
      </c>
      <c r="BS405" t="s">
        <v>7933</v>
      </c>
      <c r="BT405" t="str">
        <f>HYPERLINK("https%3A%2F%2Fwww.webofscience.com%2Fwos%2Fwoscc%2Ffull-record%2FWOS:000346191200006","View Full Record in Web of Science")</f>
        <v>View Full Record in Web of Science</v>
      </c>
    </row>
    <row r="406" spans="1:72" x14ac:dyDescent="0.15">
      <c r="A406" t="s">
        <v>72</v>
      </c>
      <c r="B406" t="s">
        <v>7934</v>
      </c>
      <c r="C406" t="s">
        <v>74</v>
      </c>
      <c r="D406" t="s">
        <v>74</v>
      </c>
      <c r="E406" t="s">
        <v>74</v>
      </c>
      <c r="F406" t="s">
        <v>7935</v>
      </c>
      <c r="G406" t="s">
        <v>74</v>
      </c>
      <c r="H406" t="s">
        <v>74</v>
      </c>
      <c r="I406" t="s">
        <v>7936</v>
      </c>
      <c r="J406" t="s">
        <v>453</v>
      </c>
      <c r="K406" t="s">
        <v>74</v>
      </c>
      <c r="L406" t="s">
        <v>74</v>
      </c>
      <c r="M406" t="s">
        <v>78</v>
      </c>
      <c r="N406" t="s">
        <v>99</v>
      </c>
      <c r="O406" t="s">
        <v>74</v>
      </c>
      <c r="P406" t="s">
        <v>74</v>
      </c>
      <c r="Q406" t="s">
        <v>74</v>
      </c>
      <c r="R406" t="s">
        <v>74</v>
      </c>
      <c r="S406" t="s">
        <v>74</v>
      </c>
      <c r="T406" t="s">
        <v>7937</v>
      </c>
      <c r="U406" t="s">
        <v>7938</v>
      </c>
      <c r="V406" t="s">
        <v>7939</v>
      </c>
      <c r="W406" t="s">
        <v>7940</v>
      </c>
      <c r="X406" t="s">
        <v>7941</v>
      </c>
      <c r="Y406" t="s">
        <v>7942</v>
      </c>
      <c r="Z406" t="s">
        <v>7943</v>
      </c>
      <c r="AA406" t="s">
        <v>7944</v>
      </c>
      <c r="AB406" t="s">
        <v>7945</v>
      </c>
      <c r="AC406" t="s">
        <v>7946</v>
      </c>
      <c r="AD406" t="s">
        <v>7947</v>
      </c>
      <c r="AE406" t="s">
        <v>7948</v>
      </c>
      <c r="AF406" t="s">
        <v>74</v>
      </c>
      <c r="AG406">
        <v>135</v>
      </c>
      <c r="AH406">
        <v>17</v>
      </c>
      <c r="AI406">
        <v>18</v>
      </c>
      <c r="AJ406">
        <v>2</v>
      </c>
      <c r="AK406">
        <v>44</v>
      </c>
      <c r="AL406" t="s">
        <v>82</v>
      </c>
      <c r="AM406" t="s">
        <v>83</v>
      </c>
      <c r="AN406" t="s">
        <v>150</v>
      </c>
      <c r="AO406" t="s">
        <v>467</v>
      </c>
      <c r="AP406" t="s">
        <v>468</v>
      </c>
      <c r="AQ406" t="s">
        <v>74</v>
      </c>
      <c r="AR406" t="s">
        <v>469</v>
      </c>
      <c r="AS406" t="s">
        <v>470</v>
      </c>
      <c r="AT406" t="s">
        <v>74</v>
      </c>
      <c r="AU406">
        <v>2015</v>
      </c>
      <c r="AV406">
        <v>34</v>
      </c>
      <c r="AW406" t="s">
        <v>74</v>
      </c>
      <c r="AX406" t="s">
        <v>74</v>
      </c>
      <c r="AY406" t="s">
        <v>74</v>
      </c>
      <c r="AZ406" t="s">
        <v>74</v>
      </c>
      <c r="BA406" t="s">
        <v>74</v>
      </c>
      <c r="BB406" t="s">
        <v>74</v>
      </c>
      <c r="BC406" t="s">
        <v>74</v>
      </c>
      <c r="BD406">
        <v>21412</v>
      </c>
      <c r="BE406" t="s">
        <v>7949</v>
      </c>
      <c r="BF406" t="str">
        <f>HYPERLINK("http://dx.doi.org/10.3402/polar.v34.21412","http://dx.doi.org/10.3402/polar.v34.21412")</f>
        <v>http://dx.doi.org/10.3402/polar.v34.21412</v>
      </c>
      <c r="BG406" t="s">
        <v>74</v>
      </c>
      <c r="BH406" t="s">
        <v>74</v>
      </c>
      <c r="BI406">
        <v>17</v>
      </c>
      <c r="BJ406" t="s">
        <v>472</v>
      </c>
      <c r="BK406" t="s">
        <v>91</v>
      </c>
      <c r="BL406" t="s">
        <v>473</v>
      </c>
      <c r="BM406" t="s">
        <v>7950</v>
      </c>
      <c r="BN406" t="s">
        <v>74</v>
      </c>
      <c r="BO406" t="s">
        <v>475</v>
      </c>
      <c r="BP406" t="s">
        <v>74</v>
      </c>
      <c r="BQ406" t="s">
        <v>74</v>
      </c>
      <c r="BR406" t="s">
        <v>93</v>
      </c>
      <c r="BS406" t="s">
        <v>7951</v>
      </c>
      <c r="BT406" t="str">
        <f>HYPERLINK("https%3A%2F%2Fwww.webofscience.com%2Fwos%2Fwoscc%2Ffull-record%2FWOS:000352421300001","View Full Record in Web of Science")</f>
        <v>View Full Record in Web of Science</v>
      </c>
    </row>
    <row r="407" spans="1:72" x14ac:dyDescent="0.15">
      <c r="A407" t="s">
        <v>72</v>
      </c>
      <c r="B407" t="s">
        <v>7952</v>
      </c>
      <c r="C407" t="s">
        <v>74</v>
      </c>
      <c r="D407" t="s">
        <v>74</v>
      </c>
      <c r="E407" t="s">
        <v>74</v>
      </c>
      <c r="F407" t="s">
        <v>7953</v>
      </c>
      <c r="G407" t="s">
        <v>74</v>
      </c>
      <c r="H407" t="s">
        <v>74</v>
      </c>
      <c r="I407" t="s">
        <v>7954</v>
      </c>
      <c r="J407" t="s">
        <v>453</v>
      </c>
      <c r="K407" t="s">
        <v>74</v>
      </c>
      <c r="L407" t="s">
        <v>74</v>
      </c>
      <c r="M407" t="s">
        <v>78</v>
      </c>
      <c r="N407" t="s">
        <v>99</v>
      </c>
      <c r="O407" t="s">
        <v>74</v>
      </c>
      <c r="P407" t="s">
        <v>74</v>
      </c>
      <c r="Q407" t="s">
        <v>74</v>
      </c>
      <c r="R407" t="s">
        <v>74</v>
      </c>
      <c r="S407" t="s">
        <v>74</v>
      </c>
      <c r="T407" t="s">
        <v>7955</v>
      </c>
      <c r="U407" t="s">
        <v>7956</v>
      </c>
      <c r="V407" t="s">
        <v>7957</v>
      </c>
      <c r="W407" t="s">
        <v>7958</v>
      </c>
      <c r="X407" t="s">
        <v>7959</v>
      </c>
      <c r="Y407" t="s">
        <v>7960</v>
      </c>
      <c r="Z407" t="s">
        <v>7961</v>
      </c>
      <c r="AA407" t="s">
        <v>74</v>
      </c>
      <c r="AB407" t="s">
        <v>74</v>
      </c>
      <c r="AC407" t="s">
        <v>74</v>
      </c>
      <c r="AD407" t="s">
        <v>74</v>
      </c>
      <c r="AE407" t="s">
        <v>74</v>
      </c>
      <c r="AF407" t="s">
        <v>74</v>
      </c>
      <c r="AG407">
        <v>166</v>
      </c>
      <c r="AH407">
        <v>39</v>
      </c>
      <c r="AI407">
        <v>42</v>
      </c>
      <c r="AJ407">
        <v>4</v>
      </c>
      <c r="AK407">
        <v>108</v>
      </c>
      <c r="AL407" t="s">
        <v>82</v>
      </c>
      <c r="AM407" t="s">
        <v>83</v>
      </c>
      <c r="AN407" t="s">
        <v>150</v>
      </c>
      <c r="AO407" t="s">
        <v>467</v>
      </c>
      <c r="AP407" t="s">
        <v>468</v>
      </c>
      <c r="AQ407" t="s">
        <v>74</v>
      </c>
      <c r="AR407" t="s">
        <v>469</v>
      </c>
      <c r="AS407" t="s">
        <v>470</v>
      </c>
      <c r="AT407" t="s">
        <v>74</v>
      </c>
      <c r="AU407">
        <v>2015</v>
      </c>
      <c r="AV407">
        <v>34</v>
      </c>
      <c r="AW407" t="s">
        <v>74</v>
      </c>
      <c r="AX407" t="s">
        <v>74</v>
      </c>
      <c r="AY407" t="s">
        <v>74</v>
      </c>
      <c r="AZ407" t="s">
        <v>74</v>
      </c>
      <c r="BA407" t="s">
        <v>74</v>
      </c>
      <c r="BB407" t="s">
        <v>74</v>
      </c>
      <c r="BC407" t="s">
        <v>74</v>
      </c>
      <c r="BD407">
        <v>24492</v>
      </c>
      <c r="BE407" t="s">
        <v>7962</v>
      </c>
      <c r="BF407" t="str">
        <f>HYPERLINK("http://dx.doi.org/10.3402/polar.v34.24492","http://dx.doi.org/10.3402/polar.v34.24492")</f>
        <v>http://dx.doi.org/10.3402/polar.v34.24492</v>
      </c>
      <c r="BG407" t="s">
        <v>74</v>
      </c>
      <c r="BH407" t="s">
        <v>74</v>
      </c>
      <c r="BI407">
        <v>19</v>
      </c>
      <c r="BJ407" t="s">
        <v>472</v>
      </c>
      <c r="BK407" t="s">
        <v>91</v>
      </c>
      <c r="BL407" t="s">
        <v>473</v>
      </c>
      <c r="BM407" t="s">
        <v>7963</v>
      </c>
      <c r="BN407" t="s">
        <v>74</v>
      </c>
      <c r="BO407" t="s">
        <v>1971</v>
      </c>
      <c r="BP407" t="s">
        <v>74</v>
      </c>
      <c r="BQ407" t="s">
        <v>74</v>
      </c>
      <c r="BR407" t="s">
        <v>93</v>
      </c>
      <c r="BS407" t="s">
        <v>7964</v>
      </c>
      <c r="BT407" t="str">
        <f>HYPERLINK("https%3A%2F%2Fwww.webofscience.com%2Fwos%2Fwoscc%2Ffull-record%2FWOS:000360917900001","View Full Record in Web of Science")</f>
        <v>View Full Record in Web of Science</v>
      </c>
    </row>
    <row r="408" spans="1:72" x14ac:dyDescent="0.15">
      <c r="A408" t="s">
        <v>72</v>
      </c>
      <c r="B408" t="s">
        <v>7965</v>
      </c>
      <c r="C408" t="s">
        <v>74</v>
      </c>
      <c r="D408" t="s">
        <v>74</v>
      </c>
      <c r="E408" t="s">
        <v>74</v>
      </c>
      <c r="F408" t="s">
        <v>7966</v>
      </c>
      <c r="G408" t="s">
        <v>74</v>
      </c>
      <c r="H408" t="s">
        <v>74</v>
      </c>
      <c r="I408" t="s">
        <v>7967</v>
      </c>
      <c r="J408" t="s">
        <v>453</v>
      </c>
      <c r="K408" t="s">
        <v>74</v>
      </c>
      <c r="L408" t="s">
        <v>74</v>
      </c>
      <c r="M408" t="s">
        <v>78</v>
      </c>
      <c r="N408" t="s">
        <v>99</v>
      </c>
      <c r="O408" t="s">
        <v>74</v>
      </c>
      <c r="P408" t="s">
        <v>74</v>
      </c>
      <c r="Q408" t="s">
        <v>74</v>
      </c>
      <c r="R408" t="s">
        <v>74</v>
      </c>
      <c r="S408" t="s">
        <v>74</v>
      </c>
      <c r="T408" t="s">
        <v>7968</v>
      </c>
      <c r="U408" t="s">
        <v>7969</v>
      </c>
      <c r="V408" t="s">
        <v>7970</v>
      </c>
      <c r="W408" t="s">
        <v>7971</v>
      </c>
      <c r="X408" t="s">
        <v>4616</v>
      </c>
      <c r="Y408" t="s">
        <v>7972</v>
      </c>
      <c r="Z408" t="s">
        <v>7973</v>
      </c>
      <c r="AA408" t="s">
        <v>7974</v>
      </c>
      <c r="AB408" t="s">
        <v>7975</v>
      </c>
      <c r="AC408" t="s">
        <v>7976</v>
      </c>
      <c r="AD408" t="s">
        <v>7977</v>
      </c>
      <c r="AE408" t="s">
        <v>7978</v>
      </c>
      <c r="AF408" t="s">
        <v>74</v>
      </c>
      <c r="AG408">
        <v>46</v>
      </c>
      <c r="AH408">
        <v>37</v>
      </c>
      <c r="AI408">
        <v>37</v>
      </c>
      <c r="AJ408">
        <v>1</v>
      </c>
      <c r="AK408">
        <v>32</v>
      </c>
      <c r="AL408" t="s">
        <v>7979</v>
      </c>
      <c r="AM408" t="s">
        <v>7980</v>
      </c>
      <c r="AN408" t="s">
        <v>7981</v>
      </c>
      <c r="AO408" t="s">
        <v>467</v>
      </c>
      <c r="AP408" t="s">
        <v>468</v>
      </c>
      <c r="AQ408" t="s">
        <v>74</v>
      </c>
      <c r="AR408" t="s">
        <v>469</v>
      </c>
      <c r="AS408" t="s">
        <v>470</v>
      </c>
      <c r="AT408" t="s">
        <v>74</v>
      </c>
      <c r="AU408">
        <v>2015</v>
      </c>
      <c r="AV408">
        <v>34</v>
      </c>
      <c r="AW408" t="s">
        <v>74</v>
      </c>
      <c r="AX408" t="s">
        <v>74</v>
      </c>
      <c r="AY408" t="s">
        <v>74</v>
      </c>
      <c r="AZ408" t="s">
        <v>74</v>
      </c>
      <c r="BA408" t="s">
        <v>74</v>
      </c>
      <c r="BB408" t="s">
        <v>74</v>
      </c>
      <c r="BC408" t="s">
        <v>74</v>
      </c>
      <c r="BD408">
        <v>25633</v>
      </c>
      <c r="BE408" t="s">
        <v>7982</v>
      </c>
      <c r="BF408" t="str">
        <f>HYPERLINK("http://dx.doi.org/10.3402/polar.v34.25633","http://dx.doi.org/10.3402/polar.v34.25633")</f>
        <v>http://dx.doi.org/10.3402/polar.v34.25633</v>
      </c>
      <c r="BG408" t="s">
        <v>74</v>
      </c>
      <c r="BH408" t="s">
        <v>74</v>
      </c>
      <c r="BI408">
        <v>8</v>
      </c>
      <c r="BJ408" t="s">
        <v>472</v>
      </c>
      <c r="BK408" t="s">
        <v>91</v>
      </c>
      <c r="BL408" t="s">
        <v>473</v>
      </c>
      <c r="BM408" t="s">
        <v>7983</v>
      </c>
      <c r="BN408" t="s">
        <v>74</v>
      </c>
      <c r="BO408" t="s">
        <v>475</v>
      </c>
      <c r="BP408" t="s">
        <v>74</v>
      </c>
      <c r="BQ408" t="s">
        <v>74</v>
      </c>
      <c r="BR408" t="s">
        <v>93</v>
      </c>
      <c r="BS408" t="s">
        <v>7984</v>
      </c>
      <c r="BT408" t="str">
        <f>HYPERLINK("https%3A%2F%2Fwww.webofscience.com%2Fwos%2Fwoscc%2Ffull-record%2FWOS:000363404700001","View Full Record in Web of Science")</f>
        <v>View Full Record in Web of Science</v>
      </c>
    </row>
    <row r="409" spans="1:72" x14ac:dyDescent="0.15">
      <c r="A409" t="s">
        <v>72</v>
      </c>
      <c r="B409" t="s">
        <v>7985</v>
      </c>
      <c r="C409" t="s">
        <v>74</v>
      </c>
      <c r="D409" t="s">
        <v>74</v>
      </c>
      <c r="E409" t="s">
        <v>74</v>
      </c>
      <c r="F409" t="s">
        <v>7986</v>
      </c>
      <c r="G409" t="s">
        <v>74</v>
      </c>
      <c r="H409" t="s">
        <v>74</v>
      </c>
      <c r="I409" t="s">
        <v>7987</v>
      </c>
      <c r="J409" t="s">
        <v>453</v>
      </c>
      <c r="K409" t="s">
        <v>74</v>
      </c>
      <c r="L409" t="s">
        <v>74</v>
      </c>
      <c r="M409" t="s">
        <v>78</v>
      </c>
      <c r="N409" t="s">
        <v>99</v>
      </c>
      <c r="O409" t="s">
        <v>74</v>
      </c>
      <c r="P409" t="s">
        <v>74</v>
      </c>
      <c r="Q409" t="s">
        <v>74</v>
      </c>
      <c r="R409" t="s">
        <v>74</v>
      </c>
      <c r="S409" t="s">
        <v>74</v>
      </c>
      <c r="T409" t="s">
        <v>7988</v>
      </c>
      <c r="U409" t="s">
        <v>7989</v>
      </c>
      <c r="V409" t="s">
        <v>7990</v>
      </c>
      <c r="W409" t="s">
        <v>7991</v>
      </c>
      <c r="X409" t="s">
        <v>7992</v>
      </c>
      <c r="Y409" t="s">
        <v>7993</v>
      </c>
      <c r="Z409" t="s">
        <v>7994</v>
      </c>
      <c r="AA409" t="s">
        <v>74</v>
      </c>
      <c r="AB409" t="s">
        <v>7995</v>
      </c>
      <c r="AC409" t="s">
        <v>74</v>
      </c>
      <c r="AD409" t="s">
        <v>74</v>
      </c>
      <c r="AE409" t="s">
        <v>74</v>
      </c>
      <c r="AF409" t="s">
        <v>74</v>
      </c>
      <c r="AG409">
        <v>50</v>
      </c>
      <c r="AH409">
        <v>13</v>
      </c>
      <c r="AI409">
        <v>15</v>
      </c>
      <c r="AJ409">
        <v>2</v>
      </c>
      <c r="AK409">
        <v>26</v>
      </c>
      <c r="AL409" t="s">
        <v>906</v>
      </c>
      <c r="AM409" t="s">
        <v>907</v>
      </c>
      <c r="AN409" t="s">
        <v>908</v>
      </c>
      <c r="AO409" t="s">
        <v>467</v>
      </c>
      <c r="AP409" t="s">
        <v>468</v>
      </c>
      <c r="AQ409" t="s">
        <v>74</v>
      </c>
      <c r="AR409" t="s">
        <v>469</v>
      </c>
      <c r="AS409" t="s">
        <v>470</v>
      </c>
      <c r="AT409" t="s">
        <v>74</v>
      </c>
      <c r="AU409">
        <v>2015</v>
      </c>
      <c r="AV409">
        <v>34</v>
      </c>
      <c r="AW409" t="s">
        <v>74</v>
      </c>
      <c r="AX409" t="s">
        <v>74</v>
      </c>
      <c r="AY409" t="s">
        <v>74</v>
      </c>
      <c r="AZ409" t="s">
        <v>74</v>
      </c>
      <c r="BA409" t="s">
        <v>74</v>
      </c>
      <c r="BB409" t="s">
        <v>74</v>
      </c>
      <c r="BC409" t="s">
        <v>74</v>
      </c>
      <c r="BD409">
        <v>27364</v>
      </c>
      <c r="BE409" t="s">
        <v>7996</v>
      </c>
      <c r="BF409" t="str">
        <f>HYPERLINK("http://dx.doi.org/10.3402/polar.v34.27364","http://dx.doi.org/10.3402/polar.v34.27364")</f>
        <v>http://dx.doi.org/10.3402/polar.v34.27364</v>
      </c>
      <c r="BG409" t="s">
        <v>74</v>
      </c>
      <c r="BH409" t="s">
        <v>74</v>
      </c>
      <c r="BI409">
        <v>6</v>
      </c>
      <c r="BJ409" t="s">
        <v>472</v>
      </c>
      <c r="BK409" t="s">
        <v>91</v>
      </c>
      <c r="BL409" t="s">
        <v>473</v>
      </c>
      <c r="BM409" t="s">
        <v>7997</v>
      </c>
      <c r="BN409" t="s">
        <v>74</v>
      </c>
      <c r="BO409" t="s">
        <v>1393</v>
      </c>
      <c r="BP409" t="s">
        <v>74</v>
      </c>
      <c r="BQ409" t="s">
        <v>74</v>
      </c>
      <c r="BR409" t="s">
        <v>93</v>
      </c>
      <c r="BS409" t="s">
        <v>7998</v>
      </c>
      <c r="BT409" t="str">
        <f>HYPERLINK("https%3A%2F%2Fwww.webofscience.com%2Fwos%2Fwoscc%2Ffull-record%2FWOS:000361471200001","View Full Record in Web of Science")</f>
        <v>View Full Record in Web of Science</v>
      </c>
    </row>
    <row r="410" spans="1:72" x14ac:dyDescent="0.15">
      <c r="A410" t="s">
        <v>72</v>
      </c>
      <c r="B410" t="s">
        <v>7999</v>
      </c>
      <c r="C410" t="s">
        <v>74</v>
      </c>
      <c r="D410" t="s">
        <v>74</v>
      </c>
      <c r="E410" t="s">
        <v>74</v>
      </c>
      <c r="F410" t="s">
        <v>8000</v>
      </c>
      <c r="G410" t="s">
        <v>74</v>
      </c>
      <c r="H410" t="s">
        <v>74</v>
      </c>
      <c r="I410" t="s">
        <v>8001</v>
      </c>
      <c r="J410" t="s">
        <v>453</v>
      </c>
      <c r="K410" t="s">
        <v>74</v>
      </c>
      <c r="L410" t="s">
        <v>74</v>
      </c>
      <c r="M410" t="s">
        <v>78</v>
      </c>
      <c r="N410" t="s">
        <v>454</v>
      </c>
      <c r="O410" t="s">
        <v>74</v>
      </c>
      <c r="P410" t="s">
        <v>74</v>
      </c>
      <c r="Q410" t="s">
        <v>74</v>
      </c>
      <c r="R410" t="s">
        <v>74</v>
      </c>
      <c r="S410" t="s">
        <v>74</v>
      </c>
      <c r="T410" t="s">
        <v>8002</v>
      </c>
      <c r="U410" t="s">
        <v>8003</v>
      </c>
      <c r="V410" t="s">
        <v>8004</v>
      </c>
      <c r="W410" t="s">
        <v>8005</v>
      </c>
      <c r="X410" t="s">
        <v>8006</v>
      </c>
      <c r="Y410" t="s">
        <v>8007</v>
      </c>
      <c r="Z410" t="s">
        <v>8008</v>
      </c>
      <c r="AA410" t="s">
        <v>8009</v>
      </c>
      <c r="AB410" t="s">
        <v>8010</v>
      </c>
      <c r="AC410" t="s">
        <v>8011</v>
      </c>
      <c r="AD410" t="s">
        <v>8012</v>
      </c>
      <c r="AE410" t="s">
        <v>8013</v>
      </c>
      <c r="AF410" t="s">
        <v>74</v>
      </c>
      <c r="AG410">
        <v>193</v>
      </c>
      <c r="AH410">
        <v>17</v>
      </c>
      <c r="AI410">
        <v>18</v>
      </c>
      <c r="AJ410">
        <v>3</v>
      </c>
      <c r="AK410">
        <v>102</v>
      </c>
      <c r="AL410" t="s">
        <v>906</v>
      </c>
      <c r="AM410" t="s">
        <v>907</v>
      </c>
      <c r="AN410" t="s">
        <v>908</v>
      </c>
      <c r="AO410" t="s">
        <v>467</v>
      </c>
      <c r="AP410" t="s">
        <v>468</v>
      </c>
      <c r="AQ410" t="s">
        <v>74</v>
      </c>
      <c r="AR410" t="s">
        <v>469</v>
      </c>
      <c r="AS410" t="s">
        <v>470</v>
      </c>
      <c r="AT410" t="s">
        <v>74</v>
      </c>
      <c r="AU410">
        <v>2015</v>
      </c>
      <c r="AV410">
        <v>34</v>
      </c>
      <c r="AW410" t="s">
        <v>74</v>
      </c>
      <c r="AX410" t="s">
        <v>74</v>
      </c>
      <c r="AY410" t="s">
        <v>74</v>
      </c>
      <c r="AZ410" t="s">
        <v>74</v>
      </c>
      <c r="BA410" t="s">
        <v>74</v>
      </c>
      <c r="BB410" t="s">
        <v>74</v>
      </c>
      <c r="BC410" t="s">
        <v>74</v>
      </c>
      <c r="BD410">
        <v>24252</v>
      </c>
      <c r="BE410" t="s">
        <v>8014</v>
      </c>
      <c r="BF410" t="str">
        <f>HYPERLINK("http://dx.doi.org/10.3402/polar.v34.24252","http://dx.doi.org/10.3402/polar.v34.24252")</f>
        <v>http://dx.doi.org/10.3402/polar.v34.24252</v>
      </c>
      <c r="BG410" t="s">
        <v>74</v>
      </c>
      <c r="BH410" t="s">
        <v>74</v>
      </c>
      <c r="BI410">
        <v>27</v>
      </c>
      <c r="BJ410" t="s">
        <v>472</v>
      </c>
      <c r="BK410" t="s">
        <v>91</v>
      </c>
      <c r="BL410" t="s">
        <v>473</v>
      </c>
      <c r="BM410" t="s">
        <v>8015</v>
      </c>
      <c r="BN410" t="s">
        <v>74</v>
      </c>
      <c r="BO410" t="s">
        <v>549</v>
      </c>
      <c r="BP410" t="s">
        <v>74</v>
      </c>
      <c r="BQ410" t="s">
        <v>74</v>
      </c>
      <c r="BR410" t="s">
        <v>93</v>
      </c>
      <c r="BS410" t="s">
        <v>8016</v>
      </c>
      <c r="BT410" t="str">
        <f>HYPERLINK("https%3A%2F%2Fwww.webofscience.com%2Fwos%2Fwoscc%2Ffull-record%2FWOS:000353050900001","View Full Record in Web of Science")</f>
        <v>View Full Record in Web of Science</v>
      </c>
    </row>
    <row r="411" spans="1:72" x14ac:dyDescent="0.15">
      <c r="A411" t="s">
        <v>72</v>
      </c>
      <c r="B411" t="s">
        <v>8017</v>
      </c>
      <c r="C411" t="s">
        <v>74</v>
      </c>
      <c r="D411" t="s">
        <v>74</v>
      </c>
      <c r="E411" t="s">
        <v>74</v>
      </c>
      <c r="F411" t="s">
        <v>8018</v>
      </c>
      <c r="G411" t="s">
        <v>74</v>
      </c>
      <c r="H411" t="s">
        <v>74</v>
      </c>
      <c r="I411" t="s">
        <v>8019</v>
      </c>
      <c r="J411" t="s">
        <v>453</v>
      </c>
      <c r="K411" t="s">
        <v>74</v>
      </c>
      <c r="L411" t="s">
        <v>74</v>
      </c>
      <c r="M411" t="s">
        <v>78</v>
      </c>
      <c r="N411" t="s">
        <v>99</v>
      </c>
      <c r="O411" t="s">
        <v>74</v>
      </c>
      <c r="P411" t="s">
        <v>74</v>
      </c>
      <c r="Q411" t="s">
        <v>74</v>
      </c>
      <c r="R411" t="s">
        <v>74</v>
      </c>
      <c r="S411" t="s">
        <v>74</v>
      </c>
      <c r="T411" t="s">
        <v>8020</v>
      </c>
      <c r="U411" t="s">
        <v>8021</v>
      </c>
      <c r="V411" t="s">
        <v>8022</v>
      </c>
      <c r="W411" t="s">
        <v>8023</v>
      </c>
      <c r="X411" t="s">
        <v>8024</v>
      </c>
      <c r="Y411" t="s">
        <v>8025</v>
      </c>
      <c r="Z411" t="s">
        <v>8026</v>
      </c>
      <c r="AA411" t="s">
        <v>8027</v>
      </c>
      <c r="AB411" t="s">
        <v>8028</v>
      </c>
      <c r="AC411" t="s">
        <v>8029</v>
      </c>
      <c r="AD411" t="s">
        <v>8030</v>
      </c>
      <c r="AE411" t="s">
        <v>8031</v>
      </c>
      <c r="AF411" t="s">
        <v>74</v>
      </c>
      <c r="AG411">
        <v>46</v>
      </c>
      <c r="AH411">
        <v>17</v>
      </c>
      <c r="AI411">
        <v>19</v>
      </c>
      <c r="AJ411">
        <v>0</v>
      </c>
      <c r="AK411">
        <v>5</v>
      </c>
      <c r="AL411" t="s">
        <v>906</v>
      </c>
      <c r="AM411" t="s">
        <v>907</v>
      </c>
      <c r="AN411" t="s">
        <v>908</v>
      </c>
      <c r="AO411" t="s">
        <v>467</v>
      </c>
      <c r="AP411" t="s">
        <v>468</v>
      </c>
      <c r="AQ411" t="s">
        <v>74</v>
      </c>
      <c r="AR411" t="s">
        <v>469</v>
      </c>
      <c r="AS411" t="s">
        <v>470</v>
      </c>
      <c r="AT411" t="s">
        <v>74</v>
      </c>
      <c r="AU411">
        <v>2015</v>
      </c>
      <c r="AV411">
        <v>34</v>
      </c>
      <c r="AW411" t="s">
        <v>74</v>
      </c>
      <c r="AX411" t="s">
        <v>74</v>
      </c>
      <c r="AY411" t="s">
        <v>74</v>
      </c>
      <c r="AZ411" t="s">
        <v>74</v>
      </c>
      <c r="BA411" t="s">
        <v>74</v>
      </c>
      <c r="BB411" t="s">
        <v>74</v>
      </c>
      <c r="BC411" t="s">
        <v>74</v>
      </c>
      <c r="BD411">
        <v>26365</v>
      </c>
      <c r="BE411" t="s">
        <v>8032</v>
      </c>
      <c r="BF411" t="str">
        <f>HYPERLINK("http://dx.doi.org/10.3402/polar.v34.26365","http://dx.doi.org/10.3402/polar.v34.26365")</f>
        <v>http://dx.doi.org/10.3402/polar.v34.26365</v>
      </c>
      <c r="BG411" t="s">
        <v>74</v>
      </c>
      <c r="BH411" t="s">
        <v>74</v>
      </c>
      <c r="BI411">
        <v>8</v>
      </c>
      <c r="BJ411" t="s">
        <v>472</v>
      </c>
      <c r="BK411" t="s">
        <v>91</v>
      </c>
      <c r="BL411" t="s">
        <v>473</v>
      </c>
      <c r="BM411" t="s">
        <v>8033</v>
      </c>
      <c r="BN411" t="s">
        <v>74</v>
      </c>
      <c r="BO411" t="s">
        <v>1393</v>
      </c>
      <c r="BP411" t="s">
        <v>74</v>
      </c>
      <c r="BQ411" t="s">
        <v>74</v>
      </c>
      <c r="BR411" t="s">
        <v>93</v>
      </c>
      <c r="BS411" t="s">
        <v>8034</v>
      </c>
      <c r="BT411" t="str">
        <f>HYPERLINK("https%3A%2F%2Fwww.webofscience.com%2Fwos%2Fwoscc%2Ffull-record%2FWOS:000366517300001","View Full Record in Web of Science")</f>
        <v>View Full Record in Web of Science</v>
      </c>
    </row>
    <row r="412" spans="1:72" x14ac:dyDescent="0.15">
      <c r="A412" t="s">
        <v>72</v>
      </c>
      <c r="B412" t="s">
        <v>8035</v>
      </c>
      <c r="C412" t="s">
        <v>74</v>
      </c>
      <c r="D412" t="s">
        <v>74</v>
      </c>
      <c r="E412" t="s">
        <v>74</v>
      </c>
      <c r="F412" t="s">
        <v>8036</v>
      </c>
      <c r="G412" t="s">
        <v>74</v>
      </c>
      <c r="H412" t="s">
        <v>74</v>
      </c>
      <c r="I412" t="s">
        <v>8037</v>
      </c>
      <c r="J412" t="s">
        <v>453</v>
      </c>
      <c r="K412" t="s">
        <v>74</v>
      </c>
      <c r="L412" t="s">
        <v>74</v>
      </c>
      <c r="M412" t="s">
        <v>78</v>
      </c>
      <c r="N412" t="s">
        <v>454</v>
      </c>
      <c r="O412" t="s">
        <v>74</v>
      </c>
      <c r="P412" t="s">
        <v>74</v>
      </c>
      <c r="Q412" t="s">
        <v>74</v>
      </c>
      <c r="R412" t="s">
        <v>74</v>
      </c>
      <c r="S412" t="s">
        <v>74</v>
      </c>
      <c r="T412" t="s">
        <v>8038</v>
      </c>
      <c r="U412" t="s">
        <v>8039</v>
      </c>
      <c r="V412" t="s">
        <v>8040</v>
      </c>
      <c r="W412" t="s">
        <v>8041</v>
      </c>
      <c r="X412" t="s">
        <v>8042</v>
      </c>
      <c r="Y412" t="s">
        <v>8043</v>
      </c>
      <c r="Z412" t="s">
        <v>8044</v>
      </c>
      <c r="AA412" t="s">
        <v>8045</v>
      </c>
      <c r="AB412" t="s">
        <v>8046</v>
      </c>
      <c r="AC412" t="s">
        <v>8047</v>
      </c>
      <c r="AD412" t="s">
        <v>8048</v>
      </c>
      <c r="AE412" t="s">
        <v>8049</v>
      </c>
      <c r="AF412" t="s">
        <v>74</v>
      </c>
      <c r="AG412">
        <v>37</v>
      </c>
      <c r="AH412">
        <v>5</v>
      </c>
      <c r="AI412">
        <v>6</v>
      </c>
      <c r="AJ412">
        <v>2</v>
      </c>
      <c r="AK412">
        <v>17</v>
      </c>
      <c r="AL412" t="s">
        <v>906</v>
      </c>
      <c r="AM412" t="s">
        <v>907</v>
      </c>
      <c r="AN412" t="s">
        <v>908</v>
      </c>
      <c r="AO412" t="s">
        <v>467</v>
      </c>
      <c r="AP412" t="s">
        <v>468</v>
      </c>
      <c r="AQ412" t="s">
        <v>74</v>
      </c>
      <c r="AR412" t="s">
        <v>1812</v>
      </c>
      <c r="AS412" t="s">
        <v>470</v>
      </c>
      <c r="AT412" t="s">
        <v>74</v>
      </c>
      <c r="AU412">
        <v>2015</v>
      </c>
      <c r="AV412">
        <v>34</v>
      </c>
      <c r="AW412" t="s">
        <v>74</v>
      </c>
      <c r="AX412" t="s">
        <v>74</v>
      </c>
      <c r="AY412" t="s">
        <v>74</v>
      </c>
      <c r="AZ412" t="s">
        <v>74</v>
      </c>
      <c r="BA412" t="s">
        <v>74</v>
      </c>
      <c r="BB412" t="s">
        <v>74</v>
      </c>
      <c r="BC412" t="s">
        <v>74</v>
      </c>
      <c r="BD412">
        <v>23584</v>
      </c>
      <c r="BE412" t="s">
        <v>8050</v>
      </c>
      <c r="BF412" t="str">
        <f>HYPERLINK("http://dx.doi.org/10.3402/polar.v34.23584","http://dx.doi.org/10.3402/polar.v34.23584")</f>
        <v>http://dx.doi.org/10.3402/polar.v34.23584</v>
      </c>
      <c r="BG412" t="s">
        <v>74</v>
      </c>
      <c r="BH412" t="s">
        <v>74</v>
      </c>
      <c r="BI412">
        <v>12</v>
      </c>
      <c r="BJ412" t="s">
        <v>472</v>
      </c>
      <c r="BK412" t="s">
        <v>91</v>
      </c>
      <c r="BL412" t="s">
        <v>473</v>
      </c>
      <c r="BM412" t="s">
        <v>8051</v>
      </c>
      <c r="BN412" t="s">
        <v>74</v>
      </c>
      <c r="BO412" t="s">
        <v>1393</v>
      </c>
      <c r="BP412" t="s">
        <v>74</v>
      </c>
      <c r="BQ412" t="s">
        <v>74</v>
      </c>
      <c r="BR412" t="s">
        <v>93</v>
      </c>
      <c r="BS412" t="s">
        <v>8052</v>
      </c>
      <c r="BT412" t="str">
        <f>HYPERLINK("https%3A%2F%2Fwww.webofscience.com%2Fwos%2Fwoscc%2Ffull-record%2FWOS:000349342400001","View Full Record in Web of Science")</f>
        <v>View Full Record in Web of Science</v>
      </c>
    </row>
    <row r="413" spans="1:72" x14ac:dyDescent="0.15">
      <c r="A413" t="s">
        <v>72</v>
      </c>
      <c r="B413" t="s">
        <v>8053</v>
      </c>
      <c r="C413" t="s">
        <v>74</v>
      </c>
      <c r="D413" t="s">
        <v>74</v>
      </c>
      <c r="E413" t="s">
        <v>74</v>
      </c>
      <c r="F413" t="s">
        <v>8054</v>
      </c>
      <c r="G413" t="s">
        <v>74</v>
      </c>
      <c r="H413" t="s">
        <v>74</v>
      </c>
      <c r="I413" t="s">
        <v>8055</v>
      </c>
      <c r="J413" t="s">
        <v>453</v>
      </c>
      <c r="K413" t="s">
        <v>74</v>
      </c>
      <c r="L413" t="s">
        <v>74</v>
      </c>
      <c r="M413" t="s">
        <v>78</v>
      </c>
      <c r="N413" t="s">
        <v>99</v>
      </c>
      <c r="O413" t="s">
        <v>74</v>
      </c>
      <c r="P413" t="s">
        <v>74</v>
      </c>
      <c r="Q413" t="s">
        <v>74</v>
      </c>
      <c r="R413" t="s">
        <v>74</v>
      </c>
      <c r="S413" t="s">
        <v>74</v>
      </c>
      <c r="T413" t="s">
        <v>8056</v>
      </c>
      <c r="U413" t="s">
        <v>8057</v>
      </c>
      <c r="V413" t="s">
        <v>8058</v>
      </c>
      <c r="W413" t="s">
        <v>8059</v>
      </c>
      <c r="X413" t="s">
        <v>8060</v>
      </c>
      <c r="Y413" t="s">
        <v>8061</v>
      </c>
      <c r="Z413" t="s">
        <v>8062</v>
      </c>
      <c r="AA413" t="s">
        <v>8063</v>
      </c>
      <c r="AB413" t="s">
        <v>74</v>
      </c>
      <c r="AC413" t="s">
        <v>8064</v>
      </c>
      <c r="AD413" t="s">
        <v>8065</v>
      </c>
      <c r="AE413" t="s">
        <v>8066</v>
      </c>
      <c r="AF413" t="s">
        <v>74</v>
      </c>
      <c r="AG413">
        <v>69</v>
      </c>
      <c r="AH413">
        <v>33</v>
      </c>
      <c r="AI413">
        <v>39</v>
      </c>
      <c r="AJ413">
        <v>1</v>
      </c>
      <c r="AK413">
        <v>73</v>
      </c>
      <c r="AL413" t="s">
        <v>7979</v>
      </c>
      <c r="AM413" t="s">
        <v>7980</v>
      </c>
      <c r="AN413" t="s">
        <v>7981</v>
      </c>
      <c r="AO413" t="s">
        <v>467</v>
      </c>
      <c r="AP413" t="s">
        <v>468</v>
      </c>
      <c r="AQ413" t="s">
        <v>74</v>
      </c>
      <c r="AR413" t="s">
        <v>469</v>
      </c>
      <c r="AS413" t="s">
        <v>470</v>
      </c>
      <c r="AT413" t="s">
        <v>74</v>
      </c>
      <c r="AU413">
        <v>2015</v>
      </c>
      <c r="AV413">
        <v>34</v>
      </c>
      <c r="AW413" t="s">
        <v>74</v>
      </c>
      <c r="AX413" t="s">
        <v>74</v>
      </c>
      <c r="AY413" t="s">
        <v>74</v>
      </c>
      <c r="AZ413" t="s">
        <v>74</v>
      </c>
      <c r="BA413" t="s">
        <v>74</v>
      </c>
      <c r="BB413" t="s">
        <v>74</v>
      </c>
      <c r="BC413" t="s">
        <v>74</v>
      </c>
      <c r="BD413">
        <v>24289</v>
      </c>
      <c r="BE413" t="s">
        <v>8067</v>
      </c>
      <c r="BF413" t="str">
        <f>HYPERLINK("http://dx.doi.org/10.3402/polar.v34.24289","http://dx.doi.org/10.3402/polar.v34.24289")</f>
        <v>http://dx.doi.org/10.3402/polar.v34.24289</v>
      </c>
      <c r="BG413" t="s">
        <v>74</v>
      </c>
      <c r="BH413" t="s">
        <v>74</v>
      </c>
      <c r="BI413">
        <v>13</v>
      </c>
      <c r="BJ413" t="s">
        <v>472</v>
      </c>
      <c r="BK413" t="s">
        <v>91</v>
      </c>
      <c r="BL413" t="s">
        <v>473</v>
      </c>
      <c r="BM413" t="s">
        <v>8068</v>
      </c>
      <c r="BN413" t="s">
        <v>74</v>
      </c>
      <c r="BO413" t="s">
        <v>1393</v>
      </c>
      <c r="BP413" t="s">
        <v>74</v>
      </c>
      <c r="BQ413" t="s">
        <v>74</v>
      </c>
      <c r="BR413" t="s">
        <v>93</v>
      </c>
      <c r="BS413" t="s">
        <v>8069</v>
      </c>
      <c r="BT413" t="str">
        <f>HYPERLINK("https%3A%2F%2Fwww.webofscience.com%2Fwos%2Fwoscc%2Ffull-record%2FWOS:000354101000001","View Full Record in Web of Science")</f>
        <v>View Full Record in Web of Science</v>
      </c>
    </row>
    <row r="414" spans="1:72" x14ac:dyDescent="0.15">
      <c r="A414" t="s">
        <v>72</v>
      </c>
      <c r="B414" t="s">
        <v>8070</v>
      </c>
      <c r="C414" t="s">
        <v>74</v>
      </c>
      <c r="D414" t="s">
        <v>74</v>
      </c>
      <c r="E414" t="s">
        <v>74</v>
      </c>
      <c r="F414" t="s">
        <v>8071</v>
      </c>
      <c r="G414" t="s">
        <v>74</v>
      </c>
      <c r="H414" t="s">
        <v>74</v>
      </c>
      <c r="I414" t="s">
        <v>8072</v>
      </c>
      <c r="J414" t="s">
        <v>453</v>
      </c>
      <c r="K414" t="s">
        <v>74</v>
      </c>
      <c r="L414" t="s">
        <v>74</v>
      </c>
      <c r="M414" t="s">
        <v>78</v>
      </c>
      <c r="N414" t="s">
        <v>99</v>
      </c>
      <c r="O414" t="s">
        <v>74</v>
      </c>
      <c r="P414" t="s">
        <v>74</v>
      </c>
      <c r="Q414" t="s">
        <v>74</v>
      </c>
      <c r="R414" t="s">
        <v>74</v>
      </c>
      <c r="S414" t="s">
        <v>74</v>
      </c>
      <c r="T414" t="s">
        <v>8073</v>
      </c>
      <c r="U414" t="s">
        <v>8074</v>
      </c>
      <c r="V414" t="s">
        <v>8075</v>
      </c>
      <c r="W414" t="s">
        <v>8076</v>
      </c>
      <c r="X414" t="s">
        <v>74</v>
      </c>
      <c r="Y414" t="s">
        <v>8077</v>
      </c>
      <c r="Z414" t="s">
        <v>8078</v>
      </c>
      <c r="AA414" t="s">
        <v>8079</v>
      </c>
      <c r="AB414" t="s">
        <v>8080</v>
      </c>
      <c r="AC414" t="s">
        <v>8081</v>
      </c>
      <c r="AD414" t="s">
        <v>8082</v>
      </c>
      <c r="AE414" t="s">
        <v>8083</v>
      </c>
      <c r="AF414" t="s">
        <v>74</v>
      </c>
      <c r="AG414">
        <v>56</v>
      </c>
      <c r="AH414">
        <v>16</v>
      </c>
      <c r="AI414">
        <v>16</v>
      </c>
      <c r="AJ414">
        <v>0</v>
      </c>
      <c r="AK414">
        <v>14</v>
      </c>
      <c r="AL414" t="s">
        <v>906</v>
      </c>
      <c r="AM414" t="s">
        <v>907</v>
      </c>
      <c r="AN414" t="s">
        <v>908</v>
      </c>
      <c r="AO414" t="s">
        <v>467</v>
      </c>
      <c r="AP414" t="s">
        <v>468</v>
      </c>
      <c r="AQ414" t="s">
        <v>74</v>
      </c>
      <c r="AR414" t="s">
        <v>469</v>
      </c>
      <c r="AS414" t="s">
        <v>470</v>
      </c>
      <c r="AT414" t="s">
        <v>74</v>
      </c>
      <c r="AU414">
        <v>2015</v>
      </c>
      <c r="AV414">
        <v>34</v>
      </c>
      <c r="AW414" t="s">
        <v>74</v>
      </c>
      <c r="AX414" t="s">
        <v>74</v>
      </c>
      <c r="AY414" t="s">
        <v>74</v>
      </c>
      <c r="AZ414" t="s">
        <v>74</v>
      </c>
      <c r="BA414" t="s">
        <v>74</v>
      </c>
      <c r="BB414" t="s">
        <v>74</v>
      </c>
      <c r="BC414" t="s">
        <v>74</v>
      </c>
      <c r="BD414">
        <v>27443</v>
      </c>
      <c r="BE414" t="s">
        <v>8084</v>
      </c>
      <c r="BF414" t="str">
        <f>HYPERLINK("http://dx.doi.org/10.3402/polar.v34.27443","http://dx.doi.org/10.3402/polar.v34.27443")</f>
        <v>http://dx.doi.org/10.3402/polar.v34.27443</v>
      </c>
      <c r="BG414" t="s">
        <v>74</v>
      </c>
      <c r="BH414" t="s">
        <v>74</v>
      </c>
      <c r="BI414">
        <v>12</v>
      </c>
      <c r="BJ414" t="s">
        <v>472</v>
      </c>
      <c r="BK414" t="s">
        <v>91</v>
      </c>
      <c r="BL414" t="s">
        <v>473</v>
      </c>
      <c r="BM414" t="s">
        <v>8085</v>
      </c>
      <c r="BN414" t="s">
        <v>74</v>
      </c>
      <c r="BO414" t="s">
        <v>475</v>
      </c>
      <c r="BP414" t="s">
        <v>74</v>
      </c>
      <c r="BQ414" t="s">
        <v>74</v>
      </c>
      <c r="BR414" t="s">
        <v>93</v>
      </c>
      <c r="BS414" t="s">
        <v>8086</v>
      </c>
      <c r="BT414" t="str">
        <f>HYPERLINK("https%3A%2F%2Fwww.webofscience.com%2Fwos%2Fwoscc%2Ffull-record%2FWOS:000366517600001","View Full Record in Web of Science")</f>
        <v>View Full Record in Web of Science</v>
      </c>
    </row>
    <row r="415" spans="1:72" x14ac:dyDescent="0.15">
      <c r="A415" t="s">
        <v>72</v>
      </c>
      <c r="B415" t="s">
        <v>8087</v>
      </c>
      <c r="C415" t="s">
        <v>74</v>
      </c>
      <c r="D415" t="s">
        <v>74</v>
      </c>
      <c r="E415" t="s">
        <v>74</v>
      </c>
      <c r="F415" t="s">
        <v>8088</v>
      </c>
      <c r="G415" t="s">
        <v>74</v>
      </c>
      <c r="H415" t="s">
        <v>74</v>
      </c>
      <c r="I415" t="s">
        <v>8089</v>
      </c>
      <c r="J415" t="s">
        <v>453</v>
      </c>
      <c r="K415" t="s">
        <v>74</v>
      </c>
      <c r="L415" t="s">
        <v>74</v>
      </c>
      <c r="M415" t="s">
        <v>78</v>
      </c>
      <c r="N415" t="s">
        <v>99</v>
      </c>
      <c r="O415" t="s">
        <v>74</v>
      </c>
      <c r="P415" t="s">
        <v>74</v>
      </c>
      <c r="Q415" t="s">
        <v>74</v>
      </c>
      <c r="R415" t="s">
        <v>74</v>
      </c>
      <c r="S415" t="s">
        <v>74</v>
      </c>
      <c r="T415" t="s">
        <v>8090</v>
      </c>
      <c r="U415" t="s">
        <v>8091</v>
      </c>
      <c r="V415" t="s">
        <v>8092</v>
      </c>
      <c r="W415" t="s">
        <v>8093</v>
      </c>
      <c r="X415" t="s">
        <v>8094</v>
      </c>
      <c r="Y415" t="s">
        <v>8095</v>
      </c>
      <c r="Z415" t="s">
        <v>8096</v>
      </c>
      <c r="AA415" t="s">
        <v>8097</v>
      </c>
      <c r="AB415" t="s">
        <v>8098</v>
      </c>
      <c r="AC415" t="s">
        <v>8099</v>
      </c>
      <c r="AD415" t="s">
        <v>8100</v>
      </c>
      <c r="AE415" t="s">
        <v>8101</v>
      </c>
      <c r="AF415" t="s">
        <v>74</v>
      </c>
      <c r="AG415">
        <v>78</v>
      </c>
      <c r="AH415">
        <v>22</v>
      </c>
      <c r="AI415">
        <v>23</v>
      </c>
      <c r="AJ415">
        <v>1</v>
      </c>
      <c r="AK415">
        <v>18</v>
      </c>
      <c r="AL415" t="s">
        <v>906</v>
      </c>
      <c r="AM415" t="s">
        <v>907</v>
      </c>
      <c r="AN415" t="s">
        <v>908</v>
      </c>
      <c r="AO415" t="s">
        <v>467</v>
      </c>
      <c r="AP415" t="s">
        <v>468</v>
      </c>
      <c r="AQ415" t="s">
        <v>74</v>
      </c>
      <c r="AR415" t="s">
        <v>1812</v>
      </c>
      <c r="AS415" t="s">
        <v>470</v>
      </c>
      <c r="AT415" t="s">
        <v>74</v>
      </c>
      <c r="AU415">
        <v>2015</v>
      </c>
      <c r="AV415">
        <v>34</v>
      </c>
      <c r="AW415" t="s">
        <v>74</v>
      </c>
      <c r="AX415" t="s">
        <v>74</v>
      </c>
      <c r="AY415" t="s">
        <v>74</v>
      </c>
      <c r="AZ415" t="s">
        <v>74</v>
      </c>
      <c r="BA415" t="s">
        <v>74</v>
      </c>
      <c r="BB415" t="s">
        <v>74</v>
      </c>
      <c r="BC415" t="s">
        <v>74</v>
      </c>
      <c r="BD415">
        <v>25629</v>
      </c>
      <c r="BE415" t="s">
        <v>8102</v>
      </c>
      <c r="BF415" t="str">
        <f>HYPERLINK("http://dx.doi.org/10.3402/polar.v34.25629","http://dx.doi.org/10.3402/polar.v34.25629")</f>
        <v>http://dx.doi.org/10.3402/polar.v34.25629</v>
      </c>
      <c r="BG415" t="s">
        <v>74</v>
      </c>
      <c r="BH415" t="s">
        <v>74</v>
      </c>
      <c r="BI415">
        <v>13</v>
      </c>
      <c r="BJ415" t="s">
        <v>472</v>
      </c>
      <c r="BK415" t="s">
        <v>91</v>
      </c>
      <c r="BL415" t="s">
        <v>473</v>
      </c>
      <c r="BM415" t="s">
        <v>8103</v>
      </c>
      <c r="BN415" t="s">
        <v>74</v>
      </c>
      <c r="BO415" t="s">
        <v>6089</v>
      </c>
      <c r="BP415" t="s">
        <v>74</v>
      </c>
      <c r="BQ415" t="s">
        <v>74</v>
      </c>
      <c r="BR415" t="s">
        <v>93</v>
      </c>
      <c r="BS415" t="s">
        <v>8104</v>
      </c>
      <c r="BT415" t="str">
        <f>HYPERLINK("https%3A%2F%2Fwww.webofscience.com%2Fwos%2Fwoscc%2Ffull-record%2FWOS:000357870000001","View Full Record in Web of Science")</f>
        <v>View Full Record in Web of Science</v>
      </c>
    </row>
    <row r="416" spans="1:72" x14ac:dyDescent="0.15">
      <c r="A416" t="s">
        <v>295</v>
      </c>
      <c r="B416" t="s">
        <v>8105</v>
      </c>
      <c r="C416" t="s">
        <v>74</v>
      </c>
      <c r="D416" t="s">
        <v>8106</v>
      </c>
      <c r="E416" t="s">
        <v>74</v>
      </c>
      <c r="F416" t="s">
        <v>8107</v>
      </c>
      <c r="G416" t="s">
        <v>74</v>
      </c>
      <c r="H416" t="s">
        <v>74</v>
      </c>
      <c r="I416" t="s">
        <v>8108</v>
      </c>
      <c r="J416" t="s">
        <v>8109</v>
      </c>
      <c r="K416" t="s">
        <v>8110</v>
      </c>
      <c r="L416" t="s">
        <v>74</v>
      </c>
      <c r="M416" t="s">
        <v>78</v>
      </c>
      <c r="N416" t="s">
        <v>301</v>
      </c>
      <c r="O416" t="s">
        <v>8111</v>
      </c>
      <c r="P416" t="s">
        <v>8112</v>
      </c>
      <c r="Q416" t="s">
        <v>8113</v>
      </c>
      <c r="R416" t="s">
        <v>74</v>
      </c>
      <c r="S416" t="s">
        <v>74</v>
      </c>
      <c r="T416" t="s">
        <v>8114</v>
      </c>
      <c r="U416" t="s">
        <v>74</v>
      </c>
      <c r="V416" t="s">
        <v>8115</v>
      </c>
      <c r="W416" t="s">
        <v>8116</v>
      </c>
      <c r="X416" t="s">
        <v>8117</v>
      </c>
      <c r="Y416" t="s">
        <v>8118</v>
      </c>
      <c r="Z416" t="s">
        <v>8119</v>
      </c>
      <c r="AA416" t="s">
        <v>8120</v>
      </c>
      <c r="AB416" t="s">
        <v>8121</v>
      </c>
      <c r="AC416" t="s">
        <v>74</v>
      </c>
      <c r="AD416" t="s">
        <v>74</v>
      </c>
      <c r="AE416" t="s">
        <v>74</v>
      </c>
      <c r="AF416" t="s">
        <v>74</v>
      </c>
      <c r="AG416">
        <v>13</v>
      </c>
      <c r="AH416">
        <v>0</v>
      </c>
      <c r="AI416">
        <v>0</v>
      </c>
      <c r="AJ416">
        <v>0</v>
      </c>
      <c r="AK416">
        <v>5</v>
      </c>
      <c r="AL416" t="s">
        <v>8122</v>
      </c>
      <c r="AM416" t="s">
        <v>8123</v>
      </c>
      <c r="AN416" t="s">
        <v>8124</v>
      </c>
      <c r="AO416" t="s">
        <v>8125</v>
      </c>
      <c r="AP416" t="s">
        <v>74</v>
      </c>
      <c r="AQ416" t="s">
        <v>8126</v>
      </c>
      <c r="AR416" t="s">
        <v>8127</v>
      </c>
      <c r="AS416" t="s">
        <v>74</v>
      </c>
      <c r="AT416" t="s">
        <v>74</v>
      </c>
      <c r="AU416">
        <v>2015</v>
      </c>
      <c r="AV416">
        <v>8</v>
      </c>
      <c r="AW416" t="s">
        <v>74</v>
      </c>
      <c r="AX416" t="s">
        <v>74</v>
      </c>
      <c r="AY416" t="s">
        <v>74</v>
      </c>
      <c r="AZ416" t="s">
        <v>74</v>
      </c>
      <c r="BA416" t="s">
        <v>74</v>
      </c>
      <c r="BB416">
        <v>522</v>
      </c>
      <c r="BC416">
        <v>525</v>
      </c>
      <c r="BD416" t="s">
        <v>74</v>
      </c>
      <c r="BE416" t="s">
        <v>74</v>
      </c>
      <c r="BF416" t="s">
        <v>74</v>
      </c>
      <c r="BG416" t="s">
        <v>74</v>
      </c>
      <c r="BH416" t="s">
        <v>74</v>
      </c>
      <c r="BI416">
        <v>4</v>
      </c>
      <c r="BJ416" t="s">
        <v>8128</v>
      </c>
      <c r="BK416" t="s">
        <v>320</v>
      </c>
      <c r="BL416" t="s">
        <v>8129</v>
      </c>
      <c r="BM416" t="s">
        <v>8130</v>
      </c>
      <c r="BN416" t="s">
        <v>74</v>
      </c>
      <c r="BO416" t="s">
        <v>74</v>
      </c>
      <c r="BP416" t="s">
        <v>74</v>
      </c>
      <c r="BQ416" t="s">
        <v>74</v>
      </c>
      <c r="BR416" t="s">
        <v>93</v>
      </c>
      <c r="BS416" t="s">
        <v>8131</v>
      </c>
      <c r="BT416" t="str">
        <f>HYPERLINK("https%3A%2F%2Fwww.webofscience.com%2Fwos%2Fwoscc%2Ffull-record%2FWOS:000359443600120","View Full Record in Web of Science")</f>
        <v>View Full Record in Web of Science</v>
      </c>
    </row>
    <row r="417" spans="1:72" x14ac:dyDescent="0.15">
      <c r="A417" t="s">
        <v>72</v>
      </c>
      <c r="B417" t="s">
        <v>8132</v>
      </c>
      <c r="C417" t="s">
        <v>74</v>
      </c>
      <c r="D417" t="s">
        <v>74</v>
      </c>
      <c r="E417" t="s">
        <v>74</v>
      </c>
      <c r="F417" t="s">
        <v>8133</v>
      </c>
      <c r="G417" t="s">
        <v>74</v>
      </c>
      <c r="H417" t="s">
        <v>74</v>
      </c>
      <c r="I417" t="s">
        <v>8134</v>
      </c>
      <c r="J417" t="s">
        <v>2428</v>
      </c>
      <c r="K417" t="s">
        <v>74</v>
      </c>
      <c r="L417" t="s">
        <v>74</v>
      </c>
      <c r="M417" t="s">
        <v>78</v>
      </c>
      <c r="N417" t="s">
        <v>454</v>
      </c>
      <c r="O417" t="s">
        <v>74</v>
      </c>
      <c r="P417" t="s">
        <v>74</v>
      </c>
      <c r="Q417" t="s">
        <v>74</v>
      </c>
      <c r="R417" t="s">
        <v>74</v>
      </c>
      <c r="S417" t="s">
        <v>74</v>
      </c>
      <c r="T417" t="s">
        <v>74</v>
      </c>
      <c r="U417" t="s">
        <v>8135</v>
      </c>
      <c r="V417" t="s">
        <v>8136</v>
      </c>
      <c r="W417" t="s">
        <v>8137</v>
      </c>
      <c r="X417" t="s">
        <v>8138</v>
      </c>
      <c r="Y417" t="s">
        <v>8139</v>
      </c>
      <c r="Z417" t="s">
        <v>8140</v>
      </c>
      <c r="AA417" t="s">
        <v>8141</v>
      </c>
      <c r="AB417" t="s">
        <v>8142</v>
      </c>
      <c r="AC417" t="s">
        <v>8143</v>
      </c>
      <c r="AD417" t="s">
        <v>8144</v>
      </c>
      <c r="AE417" t="s">
        <v>8145</v>
      </c>
      <c r="AF417" t="s">
        <v>74</v>
      </c>
      <c r="AG417">
        <v>100</v>
      </c>
      <c r="AH417">
        <v>12</v>
      </c>
      <c r="AI417">
        <v>12</v>
      </c>
      <c r="AJ417">
        <v>0</v>
      </c>
      <c r="AK417">
        <v>16</v>
      </c>
      <c r="AL417" t="s">
        <v>2439</v>
      </c>
      <c r="AM417" t="s">
        <v>1411</v>
      </c>
      <c r="AN417" t="s">
        <v>2440</v>
      </c>
      <c r="AO417" t="s">
        <v>2441</v>
      </c>
      <c r="AP417" t="s">
        <v>74</v>
      </c>
      <c r="AQ417" t="s">
        <v>74</v>
      </c>
      <c r="AR417" t="s">
        <v>2442</v>
      </c>
      <c r="AS417" t="s">
        <v>2443</v>
      </c>
      <c r="AT417" t="s">
        <v>200</v>
      </c>
      <c r="AU417">
        <v>2015</v>
      </c>
      <c r="AV417">
        <v>130</v>
      </c>
      <c r="AW417" t="s">
        <v>74</v>
      </c>
      <c r="AX417" t="s">
        <v>74</v>
      </c>
      <c r="AY417" t="s">
        <v>74</v>
      </c>
      <c r="AZ417" t="s">
        <v>74</v>
      </c>
      <c r="BA417" t="s">
        <v>74</v>
      </c>
      <c r="BB417">
        <v>47</v>
      </c>
      <c r="BC417">
        <v>64</v>
      </c>
      <c r="BD417" t="s">
        <v>74</v>
      </c>
      <c r="BE417" t="s">
        <v>8146</v>
      </c>
      <c r="BF417" t="str">
        <f>HYPERLINK("http://dx.doi.org/10.1016/j.pocean.2014.09.006","http://dx.doi.org/10.1016/j.pocean.2014.09.006")</f>
        <v>http://dx.doi.org/10.1016/j.pocean.2014.09.006</v>
      </c>
      <c r="BG417" t="s">
        <v>74</v>
      </c>
      <c r="BH417" t="s">
        <v>74</v>
      </c>
      <c r="BI417">
        <v>18</v>
      </c>
      <c r="BJ417" t="s">
        <v>2054</v>
      </c>
      <c r="BK417" t="s">
        <v>91</v>
      </c>
      <c r="BL417" t="s">
        <v>2054</v>
      </c>
      <c r="BM417" t="s">
        <v>2445</v>
      </c>
      <c r="BN417" t="s">
        <v>74</v>
      </c>
      <c r="BO417" t="s">
        <v>8147</v>
      </c>
      <c r="BP417" t="s">
        <v>74</v>
      </c>
      <c r="BQ417" t="s">
        <v>74</v>
      </c>
      <c r="BR417" t="s">
        <v>93</v>
      </c>
      <c r="BS417" t="s">
        <v>8148</v>
      </c>
      <c r="BT417" t="str">
        <f>HYPERLINK("https%3A%2F%2Fwww.webofscience.com%2Fwos%2Fwoscc%2Ffull-record%2FWOS:000349059800004","View Full Record in Web of Science")</f>
        <v>View Full Record in Web of Science</v>
      </c>
    </row>
    <row r="418" spans="1:72" x14ac:dyDescent="0.15">
      <c r="A418" t="s">
        <v>72</v>
      </c>
      <c r="B418" t="s">
        <v>8149</v>
      </c>
      <c r="C418" t="s">
        <v>74</v>
      </c>
      <c r="D418" t="s">
        <v>74</v>
      </c>
      <c r="E418" t="s">
        <v>74</v>
      </c>
      <c r="F418" t="s">
        <v>8150</v>
      </c>
      <c r="G418" t="s">
        <v>74</v>
      </c>
      <c r="H418" t="s">
        <v>74</v>
      </c>
      <c r="I418" t="s">
        <v>8151</v>
      </c>
      <c r="J418" t="s">
        <v>2428</v>
      </c>
      <c r="K418" t="s">
        <v>74</v>
      </c>
      <c r="L418" t="s">
        <v>74</v>
      </c>
      <c r="M418" t="s">
        <v>78</v>
      </c>
      <c r="N418" t="s">
        <v>454</v>
      </c>
      <c r="O418" t="s">
        <v>74</v>
      </c>
      <c r="P418" t="s">
        <v>74</v>
      </c>
      <c r="Q418" t="s">
        <v>74</v>
      </c>
      <c r="R418" t="s">
        <v>74</v>
      </c>
      <c r="S418" t="s">
        <v>74</v>
      </c>
      <c r="T418" t="s">
        <v>74</v>
      </c>
      <c r="U418" t="s">
        <v>8152</v>
      </c>
      <c r="V418" t="s">
        <v>8153</v>
      </c>
      <c r="W418" t="s">
        <v>8154</v>
      </c>
      <c r="X418" t="s">
        <v>8155</v>
      </c>
      <c r="Y418" t="s">
        <v>8156</v>
      </c>
      <c r="Z418" t="s">
        <v>8157</v>
      </c>
      <c r="AA418" t="s">
        <v>8158</v>
      </c>
      <c r="AB418" t="s">
        <v>8159</v>
      </c>
      <c r="AC418" t="s">
        <v>8160</v>
      </c>
      <c r="AD418" t="s">
        <v>8161</v>
      </c>
      <c r="AE418" t="s">
        <v>8162</v>
      </c>
      <c r="AF418" t="s">
        <v>74</v>
      </c>
      <c r="AG418">
        <v>76</v>
      </c>
      <c r="AH418">
        <v>294</v>
      </c>
      <c r="AI418">
        <v>314</v>
      </c>
      <c r="AJ418">
        <v>3</v>
      </c>
      <c r="AK418">
        <v>112</v>
      </c>
      <c r="AL418" t="s">
        <v>2439</v>
      </c>
      <c r="AM418" t="s">
        <v>1411</v>
      </c>
      <c r="AN418" t="s">
        <v>2440</v>
      </c>
      <c r="AO418" t="s">
        <v>2441</v>
      </c>
      <c r="AP418" t="s">
        <v>8163</v>
      </c>
      <c r="AQ418" t="s">
        <v>74</v>
      </c>
      <c r="AR418" t="s">
        <v>2442</v>
      </c>
      <c r="AS418" t="s">
        <v>2443</v>
      </c>
      <c r="AT418" t="s">
        <v>200</v>
      </c>
      <c r="AU418">
        <v>2015</v>
      </c>
      <c r="AV418">
        <v>130</v>
      </c>
      <c r="AW418" t="s">
        <v>74</v>
      </c>
      <c r="AX418" t="s">
        <v>74</v>
      </c>
      <c r="AY418" t="s">
        <v>74</v>
      </c>
      <c r="AZ418" t="s">
        <v>74</v>
      </c>
      <c r="BA418" t="s">
        <v>74</v>
      </c>
      <c r="BB418">
        <v>91</v>
      </c>
      <c r="BC418">
        <v>111</v>
      </c>
      <c r="BD418" t="s">
        <v>74</v>
      </c>
      <c r="BE418" t="s">
        <v>8164</v>
      </c>
      <c r="BF418" t="str">
        <f>HYPERLINK("http://dx.doi.org/10.1016/j.pocean.2014.10.006","http://dx.doi.org/10.1016/j.pocean.2014.10.006")</f>
        <v>http://dx.doi.org/10.1016/j.pocean.2014.10.006</v>
      </c>
      <c r="BG418" t="s">
        <v>74</v>
      </c>
      <c r="BH418" t="s">
        <v>74</v>
      </c>
      <c r="BI418">
        <v>21</v>
      </c>
      <c r="BJ418" t="s">
        <v>2054</v>
      </c>
      <c r="BK418" t="s">
        <v>91</v>
      </c>
      <c r="BL418" t="s">
        <v>2054</v>
      </c>
      <c r="BM418" t="s">
        <v>2445</v>
      </c>
      <c r="BN418" t="s">
        <v>74</v>
      </c>
      <c r="BO418" t="s">
        <v>4631</v>
      </c>
      <c r="BP418" t="s">
        <v>5654</v>
      </c>
      <c r="BQ418" t="s">
        <v>5655</v>
      </c>
      <c r="BR418" t="s">
        <v>93</v>
      </c>
      <c r="BS418" t="s">
        <v>8165</v>
      </c>
      <c r="BT418" t="str">
        <f>HYPERLINK("https%3A%2F%2Fwww.webofscience.com%2Fwos%2Fwoscc%2Ffull-record%2FWOS:000349059800007","View Full Record in Web of Science")</f>
        <v>View Full Record in Web of Science</v>
      </c>
    </row>
    <row r="419" spans="1:72" x14ac:dyDescent="0.15">
      <c r="A419" t="s">
        <v>72</v>
      </c>
      <c r="B419" t="s">
        <v>8166</v>
      </c>
      <c r="C419" t="s">
        <v>74</v>
      </c>
      <c r="D419" t="s">
        <v>74</v>
      </c>
      <c r="E419" t="s">
        <v>74</v>
      </c>
      <c r="F419" t="s">
        <v>8167</v>
      </c>
      <c r="G419" t="s">
        <v>74</v>
      </c>
      <c r="H419" t="s">
        <v>74</v>
      </c>
      <c r="I419" t="s">
        <v>8168</v>
      </c>
      <c r="J419" t="s">
        <v>2428</v>
      </c>
      <c r="K419" t="s">
        <v>74</v>
      </c>
      <c r="L419" t="s">
        <v>74</v>
      </c>
      <c r="M419" t="s">
        <v>78</v>
      </c>
      <c r="N419" t="s">
        <v>454</v>
      </c>
      <c r="O419" t="s">
        <v>74</v>
      </c>
      <c r="P419" t="s">
        <v>74</v>
      </c>
      <c r="Q419" t="s">
        <v>74</v>
      </c>
      <c r="R419" t="s">
        <v>74</v>
      </c>
      <c r="S419" t="s">
        <v>74</v>
      </c>
      <c r="T419" t="s">
        <v>74</v>
      </c>
      <c r="U419" t="s">
        <v>8169</v>
      </c>
      <c r="V419" t="s">
        <v>8170</v>
      </c>
      <c r="W419" t="s">
        <v>8171</v>
      </c>
      <c r="X419" t="s">
        <v>8172</v>
      </c>
      <c r="Y419" t="s">
        <v>8173</v>
      </c>
      <c r="Z419" t="s">
        <v>8174</v>
      </c>
      <c r="AA419" t="s">
        <v>74</v>
      </c>
      <c r="AB419" t="s">
        <v>74</v>
      </c>
      <c r="AC419" t="s">
        <v>74</v>
      </c>
      <c r="AD419" t="s">
        <v>74</v>
      </c>
      <c r="AE419" t="s">
        <v>74</v>
      </c>
      <c r="AF419" t="s">
        <v>74</v>
      </c>
      <c r="AG419">
        <v>831</v>
      </c>
      <c r="AH419">
        <v>526</v>
      </c>
      <c r="AI419">
        <v>591</v>
      </c>
      <c r="AJ419">
        <v>45</v>
      </c>
      <c r="AK419">
        <v>820</v>
      </c>
      <c r="AL419" t="s">
        <v>2439</v>
      </c>
      <c r="AM419" t="s">
        <v>1411</v>
      </c>
      <c r="AN419" t="s">
        <v>2440</v>
      </c>
      <c r="AO419" t="s">
        <v>2441</v>
      </c>
      <c r="AP419" t="s">
        <v>74</v>
      </c>
      <c r="AQ419" t="s">
        <v>74</v>
      </c>
      <c r="AR419" t="s">
        <v>2442</v>
      </c>
      <c r="AS419" t="s">
        <v>2443</v>
      </c>
      <c r="AT419" t="s">
        <v>200</v>
      </c>
      <c r="AU419">
        <v>2015</v>
      </c>
      <c r="AV419">
        <v>130</v>
      </c>
      <c r="AW419" t="s">
        <v>74</v>
      </c>
      <c r="AX419" t="s">
        <v>74</v>
      </c>
      <c r="AY419" t="s">
        <v>74</v>
      </c>
      <c r="AZ419" t="s">
        <v>74</v>
      </c>
      <c r="BA419" t="s">
        <v>74</v>
      </c>
      <c r="BB419">
        <v>205</v>
      </c>
      <c r="BC419">
        <v>248</v>
      </c>
      <c r="BD419" t="s">
        <v>74</v>
      </c>
      <c r="BE419" t="s">
        <v>8175</v>
      </c>
      <c r="BF419" t="str">
        <f>HYPERLINK("http://dx.doi.org/10.1016/j.pocean.2014.08.005","http://dx.doi.org/10.1016/j.pocean.2014.08.005")</f>
        <v>http://dx.doi.org/10.1016/j.pocean.2014.08.005</v>
      </c>
      <c r="BG419" t="s">
        <v>74</v>
      </c>
      <c r="BH419" t="s">
        <v>74</v>
      </c>
      <c r="BI419">
        <v>44</v>
      </c>
      <c r="BJ419" t="s">
        <v>2054</v>
      </c>
      <c r="BK419" t="s">
        <v>91</v>
      </c>
      <c r="BL419" t="s">
        <v>2054</v>
      </c>
      <c r="BM419" t="s">
        <v>2445</v>
      </c>
      <c r="BN419" t="s">
        <v>74</v>
      </c>
      <c r="BO419" t="s">
        <v>74</v>
      </c>
      <c r="BP419" t="s">
        <v>5654</v>
      </c>
      <c r="BQ419" t="s">
        <v>5655</v>
      </c>
      <c r="BR419" t="s">
        <v>93</v>
      </c>
      <c r="BS419" t="s">
        <v>8176</v>
      </c>
      <c r="BT419" t="str">
        <f>HYPERLINK("https%3A%2F%2Fwww.webofscience.com%2Fwos%2Fwoscc%2Ffull-record%2FWOS:000349059800014","View Full Record in Web of Science")</f>
        <v>View Full Record in Web of Science</v>
      </c>
    </row>
    <row r="420" spans="1:72" x14ac:dyDescent="0.15">
      <c r="A420" t="s">
        <v>72</v>
      </c>
      <c r="B420" t="s">
        <v>8177</v>
      </c>
      <c r="C420" t="s">
        <v>74</v>
      </c>
      <c r="D420" t="s">
        <v>74</v>
      </c>
      <c r="E420" t="s">
        <v>74</v>
      </c>
      <c r="F420" t="s">
        <v>8178</v>
      </c>
      <c r="G420" t="s">
        <v>74</v>
      </c>
      <c r="H420" t="s">
        <v>74</v>
      </c>
      <c r="I420" t="s">
        <v>8179</v>
      </c>
      <c r="J420" t="s">
        <v>3005</v>
      </c>
      <c r="K420" t="s">
        <v>74</v>
      </c>
      <c r="L420" t="s">
        <v>74</v>
      </c>
      <c r="M420" t="s">
        <v>78</v>
      </c>
      <c r="N420" t="s">
        <v>99</v>
      </c>
      <c r="O420" t="s">
        <v>74</v>
      </c>
      <c r="P420" t="s">
        <v>74</v>
      </c>
      <c r="Q420" t="s">
        <v>74</v>
      </c>
      <c r="R420" t="s">
        <v>74</v>
      </c>
      <c r="S420" t="s">
        <v>74</v>
      </c>
      <c r="T420" t="s">
        <v>8180</v>
      </c>
      <c r="U420" t="s">
        <v>8181</v>
      </c>
      <c r="V420" t="s">
        <v>8182</v>
      </c>
      <c r="W420" t="s">
        <v>8183</v>
      </c>
      <c r="X420" t="s">
        <v>8184</v>
      </c>
      <c r="Y420" t="s">
        <v>8185</v>
      </c>
      <c r="Z420" t="s">
        <v>8186</v>
      </c>
      <c r="AA420" t="s">
        <v>8187</v>
      </c>
      <c r="AB420" t="s">
        <v>8188</v>
      </c>
      <c r="AC420" t="s">
        <v>8189</v>
      </c>
      <c r="AD420" t="s">
        <v>8190</v>
      </c>
      <c r="AE420" t="s">
        <v>8191</v>
      </c>
      <c r="AF420" t="s">
        <v>74</v>
      </c>
      <c r="AG420">
        <v>68</v>
      </c>
      <c r="AH420">
        <v>83</v>
      </c>
      <c r="AI420">
        <v>94</v>
      </c>
      <c r="AJ420">
        <v>0</v>
      </c>
      <c r="AK420">
        <v>56</v>
      </c>
      <c r="AL420" t="s">
        <v>2439</v>
      </c>
      <c r="AM420" t="s">
        <v>1411</v>
      </c>
      <c r="AN420" t="s">
        <v>2440</v>
      </c>
      <c r="AO420" t="s">
        <v>3014</v>
      </c>
      <c r="AP420" t="s">
        <v>74</v>
      </c>
      <c r="AQ420" t="s">
        <v>74</v>
      </c>
      <c r="AR420" t="s">
        <v>3016</v>
      </c>
      <c r="AS420" t="s">
        <v>3017</v>
      </c>
      <c r="AT420" t="s">
        <v>2464</v>
      </c>
      <c r="AU420">
        <v>2015</v>
      </c>
      <c r="AV420">
        <v>107</v>
      </c>
      <c r="AW420" t="s">
        <v>74</v>
      </c>
      <c r="AX420" t="s">
        <v>74</v>
      </c>
      <c r="AY420" t="s">
        <v>74</v>
      </c>
      <c r="AZ420" t="s">
        <v>74</v>
      </c>
      <c r="BA420" t="s">
        <v>74</v>
      </c>
      <c r="BB420">
        <v>182</v>
      </c>
      <c r="BC420">
        <v>196</v>
      </c>
      <c r="BD420" t="s">
        <v>74</v>
      </c>
      <c r="BE420" t="s">
        <v>8192</v>
      </c>
      <c r="BF420" t="str">
        <f>HYPERLINK("http://dx.doi.org/10.1016/j.quascirev.2014.10.025","http://dx.doi.org/10.1016/j.quascirev.2014.10.025")</f>
        <v>http://dx.doi.org/10.1016/j.quascirev.2014.10.025</v>
      </c>
      <c r="BG420" t="s">
        <v>74</v>
      </c>
      <c r="BH420" t="s">
        <v>74</v>
      </c>
      <c r="BI420">
        <v>15</v>
      </c>
      <c r="BJ420" t="s">
        <v>372</v>
      </c>
      <c r="BK420" t="s">
        <v>91</v>
      </c>
      <c r="BL420" t="s">
        <v>373</v>
      </c>
      <c r="BM420" t="s">
        <v>3019</v>
      </c>
      <c r="BN420" t="s">
        <v>74</v>
      </c>
      <c r="BO420" t="s">
        <v>74</v>
      </c>
      <c r="BP420" t="s">
        <v>74</v>
      </c>
      <c r="BQ420" t="s">
        <v>74</v>
      </c>
      <c r="BR420" t="s">
        <v>93</v>
      </c>
      <c r="BS420" t="s">
        <v>8193</v>
      </c>
      <c r="BT420" t="str">
        <f>HYPERLINK("https%3A%2F%2Fwww.webofscience.com%2Fwos%2Fwoscc%2Ffull-record%2FWOS:000347586100012","View Full Record in Web of Science")</f>
        <v>View Full Record in Web of Science</v>
      </c>
    </row>
    <row r="421" spans="1:72" x14ac:dyDescent="0.15">
      <c r="A421" t="s">
        <v>72</v>
      </c>
      <c r="B421" t="s">
        <v>8194</v>
      </c>
      <c r="C421" t="s">
        <v>74</v>
      </c>
      <c r="D421" t="s">
        <v>74</v>
      </c>
      <c r="E421" t="s">
        <v>74</v>
      </c>
      <c r="F421" t="s">
        <v>8195</v>
      </c>
      <c r="G421" t="s">
        <v>74</v>
      </c>
      <c r="H421" t="s">
        <v>74</v>
      </c>
      <c r="I421" t="s">
        <v>8196</v>
      </c>
      <c r="J421" t="s">
        <v>8197</v>
      </c>
      <c r="K421" t="s">
        <v>74</v>
      </c>
      <c r="L421" t="s">
        <v>74</v>
      </c>
      <c r="M421" t="s">
        <v>78</v>
      </c>
      <c r="N421" t="s">
        <v>99</v>
      </c>
      <c r="O421" t="s">
        <v>74</v>
      </c>
      <c r="P421" t="s">
        <v>74</v>
      </c>
      <c r="Q421" t="s">
        <v>74</v>
      </c>
      <c r="R421" t="s">
        <v>74</v>
      </c>
      <c r="S421" t="s">
        <v>74</v>
      </c>
      <c r="T421" t="s">
        <v>8198</v>
      </c>
      <c r="U421" t="s">
        <v>8199</v>
      </c>
      <c r="V421" t="s">
        <v>8200</v>
      </c>
      <c r="W421" t="s">
        <v>8201</v>
      </c>
      <c r="X421" t="s">
        <v>8202</v>
      </c>
      <c r="Y421" t="s">
        <v>8203</v>
      </c>
      <c r="Z421" t="s">
        <v>8204</v>
      </c>
      <c r="AA421" t="s">
        <v>8205</v>
      </c>
      <c r="AB421" t="s">
        <v>8206</v>
      </c>
      <c r="AC421" t="s">
        <v>8207</v>
      </c>
      <c r="AD421" t="s">
        <v>8208</v>
      </c>
      <c r="AE421" t="s">
        <v>8209</v>
      </c>
      <c r="AF421" t="s">
        <v>74</v>
      </c>
      <c r="AG421">
        <v>18</v>
      </c>
      <c r="AH421">
        <v>9</v>
      </c>
      <c r="AI421">
        <v>12</v>
      </c>
      <c r="AJ421">
        <v>0</v>
      </c>
      <c r="AK421">
        <v>12</v>
      </c>
      <c r="AL421" t="s">
        <v>1945</v>
      </c>
      <c r="AM421" t="s">
        <v>1946</v>
      </c>
      <c r="AN421" t="s">
        <v>1947</v>
      </c>
      <c r="AO421" t="s">
        <v>8210</v>
      </c>
      <c r="AP421" t="s">
        <v>8211</v>
      </c>
      <c r="AQ421" t="s">
        <v>74</v>
      </c>
      <c r="AR421" t="s">
        <v>8212</v>
      </c>
      <c r="AS421" t="s">
        <v>8213</v>
      </c>
      <c r="AT421" t="s">
        <v>200</v>
      </c>
      <c r="AU421">
        <v>2015</v>
      </c>
      <c r="AV421">
        <v>50</v>
      </c>
      <c r="AW421">
        <v>1</v>
      </c>
      <c r="AX421" t="s">
        <v>74</v>
      </c>
      <c r="AY421" t="s">
        <v>74</v>
      </c>
      <c r="AZ421" t="s">
        <v>74</v>
      </c>
      <c r="BA421" t="s">
        <v>74</v>
      </c>
      <c r="BB421">
        <v>1</v>
      </c>
      <c r="BC421">
        <v>17</v>
      </c>
      <c r="BD421" t="s">
        <v>74</v>
      </c>
      <c r="BE421" t="s">
        <v>8214</v>
      </c>
      <c r="BF421" t="str">
        <f>HYPERLINK("http://dx.doi.org/10.1002/2013RS005315","http://dx.doi.org/10.1002/2013RS005315")</f>
        <v>http://dx.doi.org/10.1002/2013RS005315</v>
      </c>
      <c r="BG421" t="s">
        <v>74</v>
      </c>
      <c r="BH421" t="s">
        <v>74</v>
      </c>
      <c r="BI421">
        <v>17</v>
      </c>
      <c r="BJ421" t="s">
        <v>8215</v>
      </c>
      <c r="BK421" t="s">
        <v>91</v>
      </c>
      <c r="BL421" t="s">
        <v>8215</v>
      </c>
      <c r="BM421" t="s">
        <v>8216</v>
      </c>
      <c r="BN421" t="s">
        <v>74</v>
      </c>
      <c r="BO421" t="s">
        <v>574</v>
      </c>
      <c r="BP421" t="s">
        <v>74</v>
      </c>
      <c r="BQ421" t="s">
        <v>74</v>
      </c>
      <c r="BR421" t="s">
        <v>93</v>
      </c>
      <c r="BS421" t="s">
        <v>8217</v>
      </c>
      <c r="BT421" t="str">
        <f>HYPERLINK("https%3A%2F%2Fwww.webofscience.com%2Fwos%2Fwoscc%2Ffull-record%2FWOS:000349891700001","View Full Record in Web of Science")</f>
        <v>View Full Record in Web of Science</v>
      </c>
    </row>
    <row r="422" spans="1:72" x14ac:dyDescent="0.15">
      <c r="A422" t="s">
        <v>72</v>
      </c>
      <c r="B422" t="s">
        <v>8218</v>
      </c>
      <c r="C422" t="s">
        <v>74</v>
      </c>
      <c r="D422" t="s">
        <v>74</v>
      </c>
      <c r="E422" t="s">
        <v>74</v>
      </c>
      <c r="F422" t="s">
        <v>8219</v>
      </c>
      <c r="G422" t="s">
        <v>74</v>
      </c>
      <c r="H422" t="s">
        <v>74</v>
      </c>
      <c r="I422" t="s">
        <v>8220</v>
      </c>
      <c r="J422" t="s">
        <v>3041</v>
      </c>
      <c r="K422" t="s">
        <v>74</v>
      </c>
      <c r="L422" t="s">
        <v>74</v>
      </c>
      <c r="M422" t="s">
        <v>78</v>
      </c>
      <c r="N422" t="s">
        <v>99</v>
      </c>
      <c r="O422" t="s">
        <v>74</v>
      </c>
      <c r="P422" t="s">
        <v>74</v>
      </c>
      <c r="Q422" t="s">
        <v>74</v>
      </c>
      <c r="R422" t="s">
        <v>74</v>
      </c>
      <c r="S422" t="s">
        <v>74</v>
      </c>
      <c r="T422" t="s">
        <v>8221</v>
      </c>
      <c r="U422" t="s">
        <v>8222</v>
      </c>
      <c r="V422" t="s">
        <v>8223</v>
      </c>
      <c r="W422" t="s">
        <v>8224</v>
      </c>
      <c r="X422" t="s">
        <v>8225</v>
      </c>
      <c r="Y422" t="s">
        <v>8226</v>
      </c>
      <c r="Z422" t="s">
        <v>74</v>
      </c>
      <c r="AA422" t="s">
        <v>74</v>
      </c>
      <c r="AB422" t="s">
        <v>74</v>
      </c>
      <c r="AC422" t="s">
        <v>8227</v>
      </c>
      <c r="AD422" t="s">
        <v>4292</v>
      </c>
      <c r="AE422" t="s">
        <v>8228</v>
      </c>
      <c r="AF422" t="s">
        <v>74</v>
      </c>
      <c r="AG422">
        <v>30</v>
      </c>
      <c r="AH422">
        <v>29</v>
      </c>
      <c r="AI422">
        <v>31</v>
      </c>
      <c r="AJ422">
        <v>1</v>
      </c>
      <c r="AK422">
        <v>52</v>
      </c>
      <c r="AL422" t="s">
        <v>3052</v>
      </c>
      <c r="AM422" t="s">
        <v>342</v>
      </c>
      <c r="AN422" t="s">
        <v>3053</v>
      </c>
      <c r="AO422" t="s">
        <v>3054</v>
      </c>
      <c r="AP422" t="s">
        <v>3055</v>
      </c>
      <c r="AQ422" t="s">
        <v>74</v>
      </c>
      <c r="AR422" t="s">
        <v>3056</v>
      </c>
      <c r="AS422" t="s">
        <v>3057</v>
      </c>
      <c r="AT422" t="s">
        <v>200</v>
      </c>
      <c r="AU422">
        <v>2015</v>
      </c>
      <c r="AV422">
        <v>156</v>
      </c>
      <c r="AW422" t="s">
        <v>74</v>
      </c>
      <c r="AX422" t="s">
        <v>74</v>
      </c>
      <c r="AY422" t="s">
        <v>74</v>
      </c>
      <c r="AZ422" t="s">
        <v>74</v>
      </c>
      <c r="BA422" t="s">
        <v>74</v>
      </c>
      <c r="BB422">
        <v>448</v>
      </c>
      <c r="BC422">
        <v>456</v>
      </c>
      <c r="BD422" t="s">
        <v>74</v>
      </c>
      <c r="BE422" t="s">
        <v>8229</v>
      </c>
      <c r="BF422" t="str">
        <f>HYPERLINK("http://dx.doi.org/10.1016/j.rse.2014.10.011","http://dx.doi.org/10.1016/j.rse.2014.10.011")</f>
        <v>http://dx.doi.org/10.1016/j.rse.2014.10.011</v>
      </c>
      <c r="BG422" t="s">
        <v>74</v>
      </c>
      <c r="BH422" t="s">
        <v>74</v>
      </c>
      <c r="BI422">
        <v>9</v>
      </c>
      <c r="BJ422" t="s">
        <v>3059</v>
      </c>
      <c r="BK422" t="s">
        <v>91</v>
      </c>
      <c r="BL422" t="s">
        <v>3060</v>
      </c>
      <c r="BM422" t="s">
        <v>3061</v>
      </c>
      <c r="BN422" t="s">
        <v>74</v>
      </c>
      <c r="BO422" t="s">
        <v>8230</v>
      </c>
      <c r="BP422" t="s">
        <v>74</v>
      </c>
      <c r="BQ422" t="s">
        <v>74</v>
      </c>
      <c r="BR422" t="s">
        <v>93</v>
      </c>
      <c r="BS422" t="s">
        <v>8231</v>
      </c>
      <c r="BT422" t="str">
        <f>HYPERLINK("https%3A%2F%2Fwww.webofscience.com%2Fwos%2Fwoscc%2Ffull-record%2FWOS:000347579900037","View Full Record in Web of Science")</f>
        <v>View Full Record in Web of Science</v>
      </c>
    </row>
    <row r="423" spans="1:72" x14ac:dyDescent="0.15">
      <c r="A423" t="s">
        <v>1395</v>
      </c>
      <c r="B423" t="s">
        <v>8232</v>
      </c>
      <c r="C423" t="s">
        <v>74</v>
      </c>
      <c r="D423" t="s">
        <v>8233</v>
      </c>
      <c r="E423" t="s">
        <v>74</v>
      </c>
      <c r="F423" t="s">
        <v>8234</v>
      </c>
      <c r="G423" t="s">
        <v>74</v>
      </c>
      <c r="H423" t="s">
        <v>74</v>
      </c>
      <c r="I423" t="s">
        <v>8235</v>
      </c>
      <c r="J423" t="s">
        <v>8236</v>
      </c>
      <c r="K423" t="s">
        <v>74</v>
      </c>
      <c r="L423" t="s">
        <v>74</v>
      </c>
      <c r="M423" t="s">
        <v>78</v>
      </c>
      <c r="N423" t="s">
        <v>918</v>
      </c>
      <c r="O423" t="s">
        <v>74</v>
      </c>
      <c r="P423" t="s">
        <v>74</v>
      </c>
      <c r="Q423" t="s">
        <v>74</v>
      </c>
      <c r="R423" t="s">
        <v>74</v>
      </c>
      <c r="S423" t="s">
        <v>74</v>
      </c>
      <c r="T423" t="s">
        <v>74</v>
      </c>
      <c r="U423" t="s">
        <v>8237</v>
      </c>
      <c r="V423" t="s">
        <v>8238</v>
      </c>
      <c r="W423" t="s">
        <v>8239</v>
      </c>
      <c r="X423" t="s">
        <v>8240</v>
      </c>
      <c r="Y423" t="s">
        <v>8241</v>
      </c>
      <c r="Z423" t="s">
        <v>8242</v>
      </c>
      <c r="AA423" t="s">
        <v>8243</v>
      </c>
      <c r="AB423" t="s">
        <v>8244</v>
      </c>
      <c r="AC423" t="s">
        <v>74</v>
      </c>
      <c r="AD423" t="s">
        <v>74</v>
      </c>
      <c r="AE423" t="s">
        <v>74</v>
      </c>
      <c r="AF423" t="s">
        <v>74</v>
      </c>
      <c r="AG423">
        <v>91</v>
      </c>
      <c r="AH423">
        <v>3</v>
      </c>
      <c r="AI423">
        <v>3</v>
      </c>
      <c r="AJ423">
        <v>0</v>
      </c>
      <c r="AK423">
        <v>0</v>
      </c>
      <c r="AL423" t="s">
        <v>6351</v>
      </c>
      <c r="AM423" t="s">
        <v>6352</v>
      </c>
      <c r="AN423" t="s">
        <v>6353</v>
      </c>
      <c r="AO423" t="s">
        <v>74</v>
      </c>
      <c r="AP423" t="s">
        <v>74</v>
      </c>
      <c r="AQ423" t="s">
        <v>8245</v>
      </c>
      <c r="AR423" t="s">
        <v>74</v>
      </c>
      <c r="AS423" t="s">
        <v>74</v>
      </c>
      <c r="AT423" t="s">
        <v>74</v>
      </c>
      <c r="AU423">
        <v>2015</v>
      </c>
      <c r="AV423" t="s">
        <v>74</v>
      </c>
      <c r="AW423" t="s">
        <v>74</v>
      </c>
      <c r="AX423" t="s">
        <v>74</v>
      </c>
      <c r="AY423" t="s">
        <v>74</v>
      </c>
      <c r="AZ423" t="s">
        <v>74</v>
      </c>
      <c r="BA423" t="s">
        <v>74</v>
      </c>
      <c r="BB423">
        <v>157</v>
      </c>
      <c r="BC423">
        <v>186</v>
      </c>
      <c r="BD423" t="s">
        <v>74</v>
      </c>
      <c r="BE423" t="s">
        <v>74</v>
      </c>
      <c r="BF423" t="s">
        <v>74</v>
      </c>
      <c r="BG423" t="s">
        <v>8246</v>
      </c>
      <c r="BH423" t="s">
        <v>74</v>
      </c>
      <c r="BI423">
        <v>30</v>
      </c>
      <c r="BJ423" t="s">
        <v>8247</v>
      </c>
      <c r="BK423" t="s">
        <v>936</v>
      </c>
      <c r="BL423" t="s">
        <v>8248</v>
      </c>
      <c r="BM423" t="s">
        <v>8249</v>
      </c>
      <c r="BN423" t="s">
        <v>74</v>
      </c>
      <c r="BO423" t="s">
        <v>74</v>
      </c>
      <c r="BP423" t="s">
        <v>74</v>
      </c>
      <c r="BQ423" t="s">
        <v>74</v>
      </c>
      <c r="BR423" t="s">
        <v>93</v>
      </c>
      <c r="BS423" t="s">
        <v>8250</v>
      </c>
      <c r="BT423" t="str">
        <f>HYPERLINK("https%3A%2F%2Fwww.webofscience.com%2Fwos%2Fwoscc%2Ffull-record%2FWOS:000470842400010","View Full Record in Web of Science")</f>
        <v>View Full Record in Web of Science</v>
      </c>
    </row>
    <row r="424" spans="1:72" x14ac:dyDescent="0.15">
      <c r="A424" t="s">
        <v>1395</v>
      </c>
      <c r="B424" t="s">
        <v>8251</v>
      </c>
      <c r="C424" t="s">
        <v>74</v>
      </c>
      <c r="D424" t="s">
        <v>8233</v>
      </c>
      <c r="E424" t="s">
        <v>74</v>
      </c>
      <c r="F424" t="s">
        <v>8252</v>
      </c>
      <c r="G424" t="s">
        <v>74</v>
      </c>
      <c r="H424" t="s">
        <v>74</v>
      </c>
      <c r="I424" t="s">
        <v>8253</v>
      </c>
      <c r="J424" t="s">
        <v>8236</v>
      </c>
      <c r="K424" t="s">
        <v>74</v>
      </c>
      <c r="L424" t="s">
        <v>74</v>
      </c>
      <c r="M424" t="s">
        <v>78</v>
      </c>
      <c r="N424" t="s">
        <v>918</v>
      </c>
      <c r="O424" t="s">
        <v>74</v>
      </c>
      <c r="P424" t="s">
        <v>74</v>
      </c>
      <c r="Q424" t="s">
        <v>74</v>
      </c>
      <c r="R424" t="s">
        <v>74</v>
      </c>
      <c r="S424" t="s">
        <v>74</v>
      </c>
      <c r="T424" t="s">
        <v>74</v>
      </c>
      <c r="U424" t="s">
        <v>8254</v>
      </c>
      <c r="V424" t="s">
        <v>8255</v>
      </c>
      <c r="W424" t="s">
        <v>8256</v>
      </c>
      <c r="X424" t="s">
        <v>8257</v>
      </c>
      <c r="Y424" t="s">
        <v>8258</v>
      </c>
      <c r="Z424" t="s">
        <v>8259</v>
      </c>
      <c r="AA424" t="s">
        <v>8260</v>
      </c>
      <c r="AB424" t="s">
        <v>8261</v>
      </c>
      <c r="AC424" t="s">
        <v>74</v>
      </c>
      <c r="AD424" t="s">
        <v>74</v>
      </c>
      <c r="AE424" t="s">
        <v>74</v>
      </c>
      <c r="AF424" t="s">
        <v>74</v>
      </c>
      <c r="AG424">
        <v>58</v>
      </c>
      <c r="AH424">
        <v>5</v>
      </c>
      <c r="AI424">
        <v>5</v>
      </c>
      <c r="AJ424">
        <v>0</v>
      </c>
      <c r="AK424">
        <v>0</v>
      </c>
      <c r="AL424" t="s">
        <v>6351</v>
      </c>
      <c r="AM424" t="s">
        <v>6352</v>
      </c>
      <c r="AN424" t="s">
        <v>6353</v>
      </c>
      <c r="AO424" t="s">
        <v>74</v>
      </c>
      <c r="AP424" t="s">
        <v>74</v>
      </c>
      <c r="AQ424" t="s">
        <v>8245</v>
      </c>
      <c r="AR424" t="s">
        <v>74</v>
      </c>
      <c r="AS424" t="s">
        <v>74</v>
      </c>
      <c r="AT424" t="s">
        <v>74</v>
      </c>
      <c r="AU424">
        <v>2015</v>
      </c>
      <c r="AV424" t="s">
        <v>74</v>
      </c>
      <c r="AW424" t="s">
        <v>74</v>
      </c>
      <c r="AX424" t="s">
        <v>74</v>
      </c>
      <c r="AY424" t="s">
        <v>74</v>
      </c>
      <c r="AZ424" t="s">
        <v>74</v>
      </c>
      <c r="BA424" t="s">
        <v>74</v>
      </c>
      <c r="BB424">
        <v>248</v>
      </c>
      <c r="BC424">
        <v>272</v>
      </c>
      <c r="BD424" t="s">
        <v>74</v>
      </c>
      <c r="BE424" t="s">
        <v>74</v>
      </c>
      <c r="BF424" t="s">
        <v>74</v>
      </c>
      <c r="BG424" t="s">
        <v>8246</v>
      </c>
      <c r="BH424" t="s">
        <v>74</v>
      </c>
      <c r="BI424">
        <v>25</v>
      </c>
      <c r="BJ424" t="s">
        <v>8247</v>
      </c>
      <c r="BK424" t="s">
        <v>936</v>
      </c>
      <c r="BL424" t="s">
        <v>8248</v>
      </c>
      <c r="BM424" t="s">
        <v>8249</v>
      </c>
      <c r="BN424" t="s">
        <v>74</v>
      </c>
      <c r="BO424" t="s">
        <v>74</v>
      </c>
      <c r="BP424" t="s">
        <v>74</v>
      </c>
      <c r="BQ424" t="s">
        <v>74</v>
      </c>
      <c r="BR424" t="s">
        <v>93</v>
      </c>
      <c r="BS424" t="s">
        <v>8262</v>
      </c>
      <c r="BT424" t="str">
        <f>HYPERLINK("https%3A%2F%2Fwww.webofscience.com%2Fwos%2Fwoscc%2Ffull-record%2FWOS:000470842400013","View Full Record in Web of Science")</f>
        <v>View Full Record in Web of Science</v>
      </c>
    </row>
    <row r="425" spans="1:72" x14ac:dyDescent="0.15">
      <c r="A425" t="s">
        <v>72</v>
      </c>
      <c r="B425" t="s">
        <v>8263</v>
      </c>
      <c r="C425" t="s">
        <v>74</v>
      </c>
      <c r="D425" t="s">
        <v>74</v>
      </c>
      <c r="E425" t="s">
        <v>74</v>
      </c>
      <c r="F425" t="s">
        <v>8264</v>
      </c>
      <c r="G425" t="s">
        <v>74</v>
      </c>
      <c r="H425" t="s">
        <v>74</v>
      </c>
      <c r="I425" t="s">
        <v>8265</v>
      </c>
      <c r="J425" t="s">
        <v>8266</v>
      </c>
      <c r="K425" t="s">
        <v>74</v>
      </c>
      <c r="L425" t="s">
        <v>74</v>
      </c>
      <c r="M425" t="s">
        <v>78</v>
      </c>
      <c r="N425" t="s">
        <v>99</v>
      </c>
      <c r="O425" t="s">
        <v>74</v>
      </c>
      <c r="P425" t="s">
        <v>74</v>
      </c>
      <c r="Q425" t="s">
        <v>74</v>
      </c>
      <c r="R425" t="s">
        <v>74</v>
      </c>
      <c r="S425" t="s">
        <v>74</v>
      </c>
      <c r="T425" t="s">
        <v>8267</v>
      </c>
      <c r="U425" t="s">
        <v>8268</v>
      </c>
      <c r="V425" t="s">
        <v>8269</v>
      </c>
      <c r="W425" t="s">
        <v>8270</v>
      </c>
      <c r="X425" t="s">
        <v>8271</v>
      </c>
      <c r="Y425" t="s">
        <v>8272</v>
      </c>
      <c r="Z425" t="s">
        <v>8273</v>
      </c>
      <c r="AA425" t="s">
        <v>8274</v>
      </c>
      <c r="AB425" t="s">
        <v>8275</v>
      </c>
      <c r="AC425" t="s">
        <v>8276</v>
      </c>
      <c r="AD425" t="s">
        <v>8277</v>
      </c>
      <c r="AE425" t="s">
        <v>8278</v>
      </c>
      <c r="AF425" t="s">
        <v>74</v>
      </c>
      <c r="AG425">
        <v>1040</v>
      </c>
      <c r="AH425">
        <v>206</v>
      </c>
      <c r="AI425">
        <v>226</v>
      </c>
      <c r="AJ425">
        <v>17</v>
      </c>
      <c r="AK425">
        <v>171</v>
      </c>
      <c r="AL425" t="s">
        <v>6525</v>
      </c>
      <c r="AM425" t="s">
        <v>6526</v>
      </c>
      <c r="AN425" t="s">
        <v>6527</v>
      </c>
      <c r="AO425" t="s">
        <v>8279</v>
      </c>
      <c r="AP425" t="s">
        <v>8280</v>
      </c>
      <c r="AQ425" t="s">
        <v>74</v>
      </c>
      <c r="AR425" t="s">
        <v>8281</v>
      </c>
      <c r="AS425" t="s">
        <v>8282</v>
      </c>
      <c r="AT425" t="s">
        <v>74</v>
      </c>
      <c r="AU425">
        <v>2015</v>
      </c>
      <c r="AV425">
        <v>23</v>
      </c>
      <c r="AW425">
        <v>2</v>
      </c>
      <c r="AX425" t="s">
        <v>74</v>
      </c>
      <c r="AY425" t="s">
        <v>74</v>
      </c>
      <c r="AZ425" t="s">
        <v>1437</v>
      </c>
      <c r="BA425" t="s">
        <v>74</v>
      </c>
      <c r="BB425">
        <v>92</v>
      </c>
      <c r="BC425">
        <v>252</v>
      </c>
      <c r="BD425" t="s">
        <v>74</v>
      </c>
      <c r="BE425" t="s">
        <v>8283</v>
      </c>
      <c r="BF425" t="str">
        <f>HYPERLINK("http://dx.doi.org/10.1080/23308249.2015.1026226","http://dx.doi.org/10.1080/23308249.2015.1026226")</f>
        <v>http://dx.doi.org/10.1080/23308249.2015.1026226</v>
      </c>
      <c r="BG425" t="s">
        <v>74</v>
      </c>
      <c r="BH425" t="s">
        <v>74</v>
      </c>
      <c r="BI425">
        <v>161</v>
      </c>
      <c r="BJ425" t="s">
        <v>4895</v>
      </c>
      <c r="BK425" t="s">
        <v>91</v>
      </c>
      <c r="BL425" t="s">
        <v>4895</v>
      </c>
      <c r="BM425" t="s">
        <v>8284</v>
      </c>
      <c r="BN425" t="s">
        <v>74</v>
      </c>
      <c r="BO425" t="s">
        <v>8285</v>
      </c>
      <c r="BP425" t="s">
        <v>5654</v>
      </c>
      <c r="BQ425" t="s">
        <v>5655</v>
      </c>
      <c r="BR425" t="s">
        <v>93</v>
      </c>
      <c r="BS425" t="s">
        <v>8286</v>
      </c>
      <c r="BT425" t="str">
        <f>HYPERLINK("https%3A%2F%2Fwww.webofscience.com%2Fwos%2Fwoscc%2Ffull-record%2FWOS:000356018800002","View Full Record in Web of Science")</f>
        <v>View Full Record in Web of Science</v>
      </c>
    </row>
    <row r="426" spans="1:72" x14ac:dyDescent="0.15">
      <c r="A426" t="s">
        <v>72</v>
      </c>
      <c r="B426" t="s">
        <v>8287</v>
      </c>
      <c r="C426" t="s">
        <v>74</v>
      </c>
      <c r="D426" t="s">
        <v>74</v>
      </c>
      <c r="E426" t="s">
        <v>74</v>
      </c>
      <c r="F426" t="s">
        <v>8288</v>
      </c>
      <c r="G426" t="s">
        <v>74</v>
      </c>
      <c r="H426" t="s">
        <v>74</v>
      </c>
      <c r="I426" t="s">
        <v>8289</v>
      </c>
      <c r="J426" t="s">
        <v>8290</v>
      </c>
      <c r="K426" t="s">
        <v>74</v>
      </c>
      <c r="L426" t="s">
        <v>74</v>
      </c>
      <c r="M426" t="s">
        <v>3714</v>
      </c>
      <c r="N426" t="s">
        <v>99</v>
      </c>
      <c r="O426" t="s">
        <v>74</v>
      </c>
      <c r="P426" t="s">
        <v>74</v>
      </c>
      <c r="Q426" t="s">
        <v>74</v>
      </c>
      <c r="R426" t="s">
        <v>74</v>
      </c>
      <c r="S426" t="s">
        <v>74</v>
      </c>
      <c r="T426" t="s">
        <v>8291</v>
      </c>
      <c r="U426" t="s">
        <v>74</v>
      </c>
      <c r="V426" t="s">
        <v>8292</v>
      </c>
      <c r="W426" t="s">
        <v>8293</v>
      </c>
      <c r="X426" t="s">
        <v>8294</v>
      </c>
      <c r="Y426" t="s">
        <v>8295</v>
      </c>
      <c r="Z426" t="s">
        <v>8296</v>
      </c>
      <c r="AA426" t="s">
        <v>74</v>
      </c>
      <c r="AB426" t="s">
        <v>74</v>
      </c>
      <c r="AC426" t="s">
        <v>74</v>
      </c>
      <c r="AD426" t="s">
        <v>74</v>
      </c>
      <c r="AE426" t="s">
        <v>74</v>
      </c>
      <c r="AF426" t="s">
        <v>74</v>
      </c>
      <c r="AG426">
        <v>52</v>
      </c>
      <c r="AH426">
        <v>0</v>
      </c>
      <c r="AI426">
        <v>0</v>
      </c>
      <c r="AJ426">
        <v>0</v>
      </c>
      <c r="AK426">
        <v>2</v>
      </c>
      <c r="AL426" t="s">
        <v>8297</v>
      </c>
      <c r="AM426" t="s">
        <v>8298</v>
      </c>
      <c r="AN426" t="s">
        <v>8299</v>
      </c>
      <c r="AO426" t="s">
        <v>8300</v>
      </c>
      <c r="AP426" t="s">
        <v>8301</v>
      </c>
      <c r="AQ426" t="s">
        <v>74</v>
      </c>
      <c r="AR426" t="s">
        <v>8302</v>
      </c>
      <c r="AS426" t="s">
        <v>8303</v>
      </c>
      <c r="AT426" t="s">
        <v>74</v>
      </c>
      <c r="AU426">
        <v>2015</v>
      </c>
      <c r="AV426">
        <v>3</v>
      </c>
      <c r="AW426">
        <v>2</v>
      </c>
      <c r="AX426" t="s">
        <v>74</v>
      </c>
      <c r="AY426" t="s">
        <v>74</v>
      </c>
      <c r="AZ426" t="s">
        <v>74</v>
      </c>
      <c r="BA426" t="s">
        <v>74</v>
      </c>
      <c r="BB426">
        <v>108</v>
      </c>
      <c r="BC426">
        <v>131</v>
      </c>
      <c r="BD426" t="s">
        <v>74</v>
      </c>
      <c r="BE426" t="s">
        <v>74</v>
      </c>
      <c r="BF426" t="s">
        <v>74</v>
      </c>
      <c r="BG426" t="s">
        <v>74</v>
      </c>
      <c r="BH426" t="s">
        <v>74</v>
      </c>
      <c r="BI426">
        <v>24</v>
      </c>
      <c r="BJ426" t="s">
        <v>8304</v>
      </c>
      <c r="BK426" t="s">
        <v>202</v>
      </c>
      <c r="BL426" t="s">
        <v>8304</v>
      </c>
      <c r="BM426" t="s">
        <v>8305</v>
      </c>
      <c r="BN426" t="s">
        <v>74</v>
      </c>
      <c r="BO426" t="s">
        <v>74</v>
      </c>
      <c r="BP426" t="s">
        <v>74</v>
      </c>
      <c r="BQ426" t="s">
        <v>74</v>
      </c>
      <c r="BR426" t="s">
        <v>93</v>
      </c>
      <c r="BS426" t="s">
        <v>8306</v>
      </c>
      <c r="BT426" t="str">
        <f>HYPERLINK("https%3A%2F%2Fwww.webofscience.com%2Fwos%2Fwoscc%2Ffull-record%2FWOS:000446519100007","View Full Record in Web of Science")</f>
        <v>View Full Record in Web of Science</v>
      </c>
    </row>
    <row r="427" spans="1:72" x14ac:dyDescent="0.15">
      <c r="A427" t="s">
        <v>72</v>
      </c>
      <c r="B427" t="s">
        <v>8307</v>
      </c>
      <c r="C427" t="s">
        <v>74</v>
      </c>
      <c r="D427" t="s">
        <v>74</v>
      </c>
      <c r="E427" t="s">
        <v>74</v>
      </c>
      <c r="F427" t="s">
        <v>8308</v>
      </c>
      <c r="G427" t="s">
        <v>74</v>
      </c>
      <c r="H427" t="s">
        <v>74</v>
      </c>
      <c r="I427" t="s">
        <v>8309</v>
      </c>
      <c r="J427" t="s">
        <v>8310</v>
      </c>
      <c r="K427" t="s">
        <v>74</v>
      </c>
      <c r="L427" t="s">
        <v>74</v>
      </c>
      <c r="M427" t="s">
        <v>78</v>
      </c>
      <c r="N427" t="s">
        <v>99</v>
      </c>
      <c r="O427" t="s">
        <v>74</v>
      </c>
      <c r="P427" t="s">
        <v>74</v>
      </c>
      <c r="Q427" t="s">
        <v>74</v>
      </c>
      <c r="R427" t="s">
        <v>74</v>
      </c>
      <c r="S427" t="s">
        <v>74</v>
      </c>
      <c r="T427" t="s">
        <v>74</v>
      </c>
      <c r="U427" t="s">
        <v>8311</v>
      </c>
      <c r="V427" t="s">
        <v>8312</v>
      </c>
      <c r="W427" t="s">
        <v>8313</v>
      </c>
      <c r="X427" t="s">
        <v>8314</v>
      </c>
      <c r="Y427" t="s">
        <v>8315</v>
      </c>
      <c r="Z427" t="s">
        <v>8316</v>
      </c>
      <c r="AA427" t="s">
        <v>8317</v>
      </c>
      <c r="AB427" t="s">
        <v>8318</v>
      </c>
      <c r="AC427" t="s">
        <v>8319</v>
      </c>
      <c r="AD427" t="s">
        <v>8320</v>
      </c>
      <c r="AE427" t="s">
        <v>8321</v>
      </c>
      <c r="AF427" t="s">
        <v>74</v>
      </c>
      <c r="AG427">
        <v>29</v>
      </c>
      <c r="AH427">
        <v>37</v>
      </c>
      <c r="AI427">
        <v>39</v>
      </c>
      <c r="AJ427">
        <v>0</v>
      </c>
      <c r="AK427">
        <v>8</v>
      </c>
      <c r="AL427" t="s">
        <v>7503</v>
      </c>
      <c r="AM427" t="s">
        <v>219</v>
      </c>
      <c r="AN427" t="s">
        <v>7504</v>
      </c>
      <c r="AO427" t="s">
        <v>74</v>
      </c>
      <c r="AP427" t="s">
        <v>8322</v>
      </c>
      <c r="AQ427" t="s">
        <v>74</v>
      </c>
      <c r="AR427" t="s">
        <v>8323</v>
      </c>
      <c r="AS427" t="s">
        <v>8324</v>
      </c>
      <c r="AT427" t="s">
        <v>74</v>
      </c>
      <c r="AU427">
        <v>2015</v>
      </c>
      <c r="AV427">
        <v>2</v>
      </c>
      <c r="AW427" t="s">
        <v>74</v>
      </c>
      <c r="AX427" t="s">
        <v>74</v>
      </c>
      <c r="AY427" t="s">
        <v>74</v>
      </c>
      <c r="AZ427" t="s">
        <v>74</v>
      </c>
      <c r="BA427" t="s">
        <v>74</v>
      </c>
      <c r="BB427" t="s">
        <v>74</v>
      </c>
      <c r="BC427" t="s">
        <v>74</v>
      </c>
      <c r="BD427">
        <v>150057</v>
      </c>
      <c r="BE427" t="s">
        <v>8325</v>
      </c>
      <c r="BF427" t="str">
        <f>HYPERLINK("http://dx.doi.org/10.1038/sdata.2015.57","http://dx.doi.org/10.1038/sdata.2015.57")</f>
        <v>http://dx.doi.org/10.1038/sdata.2015.57</v>
      </c>
      <c r="BG427" t="s">
        <v>74</v>
      </c>
      <c r="BH427" t="s">
        <v>74</v>
      </c>
      <c r="BI427">
        <v>12</v>
      </c>
      <c r="BJ427" t="s">
        <v>201</v>
      </c>
      <c r="BK427" t="s">
        <v>91</v>
      </c>
      <c r="BL427" t="s">
        <v>203</v>
      </c>
      <c r="BM427" t="s">
        <v>8326</v>
      </c>
      <c r="BN427">
        <v>26528396</v>
      </c>
      <c r="BO427" t="s">
        <v>8327</v>
      </c>
      <c r="BP427" t="s">
        <v>74</v>
      </c>
      <c r="BQ427" t="s">
        <v>74</v>
      </c>
      <c r="BR427" t="s">
        <v>93</v>
      </c>
      <c r="BS427" t="s">
        <v>8328</v>
      </c>
      <c r="BT427" t="str">
        <f>HYPERLINK("https%3A%2F%2Fwww.webofscience.com%2Fwos%2Fwoscc%2Ffull-record%2FWOS:000209844100056","View Full Record in Web of Science")</f>
        <v>View Full Record in Web of Science</v>
      </c>
    </row>
    <row r="428" spans="1:72" x14ac:dyDescent="0.15">
      <c r="A428" t="s">
        <v>1395</v>
      </c>
      <c r="B428" t="s">
        <v>8329</v>
      </c>
      <c r="C428" t="s">
        <v>74</v>
      </c>
      <c r="D428" t="s">
        <v>74</v>
      </c>
      <c r="E428" t="s">
        <v>8330</v>
      </c>
      <c r="F428" t="s">
        <v>8331</v>
      </c>
      <c r="G428" t="s">
        <v>74</v>
      </c>
      <c r="H428" t="s">
        <v>74</v>
      </c>
      <c r="I428" t="s">
        <v>8332</v>
      </c>
      <c r="J428" t="s">
        <v>8333</v>
      </c>
      <c r="K428" t="s">
        <v>8334</v>
      </c>
      <c r="L428" t="s">
        <v>74</v>
      </c>
      <c r="M428" t="s">
        <v>78</v>
      </c>
      <c r="N428" t="s">
        <v>918</v>
      </c>
      <c r="O428" t="s">
        <v>74</v>
      </c>
      <c r="P428" t="s">
        <v>74</v>
      </c>
      <c r="Q428" t="s">
        <v>74</v>
      </c>
      <c r="R428" t="s">
        <v>74</v>
      </c>
      <c r="S428" t="s">
        <v>74</v>
      </c>
      <c r="T428" t="s">
        <v>8335</v>
      </c>
      <c r="U428" t="s">
        <v>8336</v>
      </c>
      <c r="V428" t="s">
        <v>8337</v>
      </c>
      <c r="W428" t="s">
        <v>8338</v>
      </c>
      <c r="X428" t="s">
        <v>8339</v>
      </c>
      <c r="Y428" t="s">
        <v>8340</v>
      </c>
      <c r="Z428" t="s">
        <v>5018</v>
      </c>
      <c r="AA428" t="s">
        <v>8341</v>
      </c>
      <c r="AB428" t="s">
        <v>8342</v>
      </c>
      <c r="AC428" t="s">
        <v>74</v>
      </c>
      <c r="AD428" t="s">
        <v>74</v>
      </c>
      <c r="AE428" t="s">
        <v>74</v>
      </c>
      <c r="AF428" t="s">
        <v>74</v>
      </c>
      <c r="AG428">
        <v>94</v>
      </c>
      <c r="AH428">
        <v>19</v>
      </c>
      <c r="AI428">
        <v>19</v>
      </c>
      <c r="AJ428">
        <v>4</v>
      </c>
      <c r="AK428">
        <v>24</v>
      </c>
      <c r="AL428" t="s">
        <v>7176</v>
      </c>
      <c r="AM428" t="s">
        <v>7177</v>
      </c>
      <c r="AN428" t="s">
        <v>7178</v>
      </c>
      <c r="AO428" t="s">
        <v>74</v>
      </c>
      <c r="AP428" t="s">
        <v>74</v>
      </c>
      <c r="AQ428" t="s">
        <v>8343</v>
      </c>
      <c r="AR428" t="s">
        <v>8344</v>
      </c>
      <c r="AS428" t="s">
        <v>74</v>
      </c>
      <c r="AT428" t="s">
        <v>74</v>
      </c>
      <c r="AU428">
        <v>2015</v>
      </c>
      <c r="AV428" t="s">
        <v>74</v>
      </c>
      <c r="AW428" t="s">
        <v>74</v>
      </c>
      <c r="AX428" t="s">
        <v>74</v>
      </c>
      <c r="AY428" t="s">
        <v>74</v>
      </c>
      <c r="AZ428" t="s">
        <v>74</v>
      </c>
      <c r="BA428" t="s">
        <v>74</v>
      </c>
      <c r="BB428">
        <v>253</v>
      </c>
      <c r="BC428">
        <v>263</v>
      </c>
      <c r="BD428" t="s">
        <v>74</v>
      </c>
      <c r="BE428" t="s">
        <v>8345</v>
      </c>
      <c r="BF428" t="str">
        <f>HYPERLINK("http://dx.doi.org/10.1007/978-3-319-16006-1_14","http://dx.doi.org/10.1007/978-3-319-16006-1_14")</f>
        <v>http://dx.doi.org/10.1007/978-3-319-16006-1_14</v>
      </c>
      <c r="BG428" t="s">
        <v>8346</v>
      </c>
      <c r="BH428" t="s">
        <v>74</v>
      </c>
      <c r="BI428">
        <v>11</v>
      </c>
      <c r="BJ428" t="s">
        <v>226</v>
      </c>
      <c r="BK428" t="s">
        <v>936</v>
      </c>
      <c r="BL428" t="s">
        <v>226</v>
      </c>
      <c r="BM428" t="s">
        <v>8347</v>
      </c>
      <c r="BN428" t="s">
        <v>74</v>
      </c>
      <c r="BO428" t="s">
        <v>134</v>
      </c>
      <c r="BP428" t="s">
        <v>74</v>
      </c>
      <c r="BQ428" t="s">
        <v>74</v>
      </c>
      <c r="BR428" t="s">
        <v>93</v>
      </c>
      <c r="BS428" t="s">
        <v>8348</v>
      </c>
      <c r="BT428" t="str">
        <f>HYPERLINK("https%3A%2F%2Fwww.webofscience.com%2Fwos%2Fwoscc%2Ffull-record%2FWOS:000367908100018","View Full Record in Web of Science")</f>
        <v>View Full Record in Web of Science</v>
      </c>
    </row>
    <row r="429" spans="1:72" x14ac:dyDescent="0.15">
      <c r="A429" t="s">
        <v>72</v>
      </c>
      <c r="B429" t="s">
        <v>4053</v>
      </c>
      <c r="C429" t="s">
        <v>74</v>
      </c>
      <c r="D429" t="s">
        <v>74</v>
      </c>
      <c r="E429" t="s">
        <v>74</v>
      </c>
      <c r="F429" t="s">
        <v>4054</v>
      </c>
      <c r="G429" t="s">
        <v>74</v>
      </c>
      <c r="H429" t="s">
        <v>74</v>
      </c>
      <c r="I429" t="s">
        <v>8349</v>
      </c>
      <c r="J429" t="s">
        <v>8350</v>
      </c>
      <c r="K429" t="s">
        <v>74</v>
      </c>
      <c r="L429" t="s">
        <v>74</v>
      </c>
      <c r="M429" t="s">
        <v>78</v>
      </c>
      <c r="N429" t="s">
        <v>99</v>
      </c>
      <c r="O429" t="s">
        <v>74</v>
      </c>
      <c r="P429" t="s">
        <v>74</v>
      </c>
      <c r="Q429" t="s">
        <v>74</v>
      </c>
      <c r="R429" t="s">
        <v>74</v>
      </c>
      <c r="S429" t="s">
        <v>74</v>
      </c>
      <c r="T429" t="s">
        <v>8351</v>
      </c>
      <c r="U429" t="s">
        <v>8352</v>
      </c>
      <c r="V429" t="s">
        <v>8353</v>
      </c>
      <c r="W429" t="s">
        <v>8354</v>
      </c>
      <c r="X429" t="s">
        <v>4060</v>
      </c>
      <c r="Y429" t="s">
        <v>8355</v>
      </c>
      <c r="Z429" t="s">
        <v>8356</v>
      </c>
      <c r="AA429" t="s">
        <v>4063</v>
      </c>
      <c r="AB429" t="s">
        <v>4064</v>
      </c>
      <c r="AC429" t="s">
        <v>8357</v>
      </c>
      <c r="AD429" t="s">
        <v>8358</v>
      </c>
      <c r="AE429" t="s">
        <v>8359</v>
      </c>
      <c r="AF429" t="s">
        <v>74</v>
      </c>
      <c r="AG429">
        <v>33</v>
      </c>
      <c r="AH429">
        <v>20</v>
      </c>
      <c r="AI429">
        <v>22</v>
      </c>
      <c r="AJ429">
        <v>1</v>
      </c>
      <c r="AK429">
        <v>6</v>
      </c>
      <c r="AL429" t="s">
        <v>8360</v>
      </c>
      <c r="AM429" t="s">
        <v>6526</v>
      </c>
      <c r="AN429" t="s">
        <v>8361</v>
      </c>
      <c r="AO429" t="s">
        <v>8362</v>
      </c>
      <c r="AP429" t="s">
        <v>8363</v>
      </c>
      <c r="AQ429" t="s">
        <v>74</v>
      </c>
      <c r="AR429" t="s">
        <v>8364</v>
      </c>
      <c r="AS429" t="s">
        <v>8365</v>
      </c>
      <c r="AT429" t="s">
        <v>74</v>
      </c>
      <c r="AU429">
        <v>2015</v>
      </c>
      <c r="AV429">
        <v>75</v>
      </c>
      <c r="AW429">
        <v>2</v>
      </c>
      <c r="AX429" t="s">
        <v>74</v>
      </c>
      <c r="AY429" t="s">
        <v>74</v>
      </c>
      <c r="AZ429" t="s">
        <v>74</v>
      </c>
      <c r="BA429" t="s">
        <v>74</v>
      </c>
      <c r="BB429">
        <v>630</v>
      </c>
      <c r="BC429">
        <v>651</v>
      </c>
      <c r="BD429" t="s">
        <v>74</v>
      </c>
      <c r="BE429" t="s">
        <v>8366</v>
      </c>
      <c r="BF429" t="str">
        <f>HYPERLINK("http://dx.doi.org/10.1137/140973906","http://dx.doi.org/10.1137/140973906")</f>
        <v>http://dx.doi.org/10.1137/140973906</v>
      </c>
      <c r="BG429" t="s">
        <v>74</v>
      </c>
      <c r="BH429" t="s">
        <v>74</v>
      </c>
      <c r="BI429">
        <v>22</v>
      </c>
      <c r="BJ429" t="s">
        <v>8367</v>
      </c>
      <c r="BK429" t="s">
        <v>91</v>
      </c>
      <c r="BL429" t="s">
        <v>8368</v>
      </c>
      <c r="BM429" t="s">
        <v>8369</v>
      </c>
      <c r="BN429" t="s">
        <v>74</v>
      </c>
      <c r="BO429" t="s">
        <v>2056</v>
      </c>
      <c r="BP429" t="s">
        <v>74</v>
      </c>
      <c r="BQ429" t="s">
        <v>74</v>
      </c>
      <c r="BR429" t="s">
        <v>93</v>
      </c>
      <c r="BS429" t="s">
        <v>8370</v>
      </c>
      <c r="BT429" t="str">
        <f>HYPERLINK("https%3A%2F%2Fwww.webofscience.com%2Fwos%2Fwoscc%2Ffull-record%2FWOS:000353968000016","View Full Record in Web of Science")</f>
        <v>View Full Record in Web of Science</v>
      </c>
    </row>
    <row r="430" spans="1:72" x14ac:dyDescent="0.15">
      <c r="A430" t="s">
        <v>72</v>
      </c>
      <c r="B430" t="s">
        <v>8371</v>
      </c>
      <c r="C430" t="s">
        <v>74</v>
      </c>
      <c r="D430" t="s">
        <v>74</v>
      </c>
      <c r="E430" t="s">
        <v>74</v>
      </c>
      <c r="F430" t="s">
        <v>8372</v>
      </c>
      <c r="G430" t="s">
        <v>74</v>
      </c>
      <c r="H430" t="s">
        <v>74</v>
      </c>
      <c r="I430" t="s">
        <v>8373</v>
      </c>
      <c r="J430" t="s">
        <v>8374</v>
      </c>
      <c r="K430" t="s">
        <v>74</v>
      </c>
      <c r="L430" t="s">
        <v>74</v>
      </c>
      <c r="M430" t="s">
        <v>78</v>
      </c>
      <c r="N430" t="s">
        <v>99</v>
      </c>
      <c r="O430" t="s">
        <v>74</v>
      </c>
      <c r="P430" t="s">
        <v>74</v>
      </c>
      <c r="Q430" t="s">
        <v>74</v>
      </c>
      <c r="R430" t="s">
        <v>74</v>
      </c>
      <c r="S430" t="s">
        <v>74</v>
      </c>
      <c r="T430" t="s">
        <v>74</v>
      </c>
      <c r="U430" t="s">
        <v>8375</v>
      </c>
      <c r="V430" t="s">
        <v>8376</v>
      </c>
      <c r="W430" t="s">
        <v>8377</v>
      </c>
      <c r="X430" t="s">
        <v>8378</v>
      </c>
      <c r="Y430" t="s">
        <v>8379</v>
      </c>
      <c r="Z430" t="s">
        <v>8380</v>
      </c>
      <c r="AA430" t="s">
        <v>8381</v>
      </c>
      <c r="AB430" t="s">
        <v>8382</v>
      </c>
      <c r="AC430" t="s">
        <v>8383</v>
      </c>
      <c r="AD430" t="s">
        <v>8384</v>
      </c>
      <c r="AE430" t="s">
        <v>8385</v>
      </c>
      <c r="AF430" t="s">
        <v>74</v>
      </c>
      <c r="AG430">
        <v>46</v>
      </c>
      <c r="AH430">
        <v>21</v>
      </c>
      <c r="AI430">
        <v>21</v>
      </c>
      <c r="AJ430">
        <v>0</v>
      </c>
      <c r="AK430">
        <v>17</v>
      </c>
      <c r="AL430" t="s">
        <v>2006</v>
      </c>
      <c r="AM430" t="s">
        <v>2007</v>
      </c>
      <c r="AN430" t="s">
        <v>2008</v>
      </c>
      <c r="AO430" t="s">
        <v>8386</v>
      </c>
      <c r="AP430" t="s">
        <v>8387</v>
      </c>
      <c r="AQ430" t="s">
        <v>74</v>
      </c>
      <c r="AR430" t="s">
        <v>8388</v>
      </c>
      <c r="AS430" t="s">
        <v>8389</v>
      </c>
      <c r="AT430" t="s">
        <v>1924</v>
      </c>
      <c r="AU430">
        <v>2015</v>
      </c>
      <c r="AV430">
        <v>79</v>
      </c>
      <c r="AW430">
        <v>1</v>
      </c>
      <c r="AX430" t="s">
        <v>74</v>
      </c>
      <c r="AY430" t="s">
        <v>74</v>
      </c>
      <c r="AZ430" t="s">
        <v>74</v>
      </c>
      <c r="BA430" t="s">
        <v>74</v>
      </c>
      <c r="BB430">
        <v>175</v>
      </c>
      <c r="BC430">
        <v>184</v>
      </c>
      <c r="BD430" t="s">
        <v>74</v>
      </c>
      <c r="BE430" t="s">
        <v>8390</v>
      </c>
      <c r="BF430" t="str">
        <f>HYPERLINK("http://dx.doi.org/10.2136/sssaj2014.06.0266","http://dx.doi.org/10.2136/sssaj2014.06.0266")</f>
        <v>http://dx.doi.org/10.2136/sssaj2014.06.0266</v>
      </c>
      <c r="BG430" t="s">
        <v>74</v>
      </c>
      <c r="BH430" t="s">
        <v>74</v>
      </c>
      <c r="BI430">
        <v>10</v>
      </c>
      <c r="BJ430" t="s">
        <v>5149</v>
      </c>
      <c r="BK430" t="s">
        <v>91</v>
      </c>
      <c r="BL430" t="s">
        <v>5150</v>
      </c>
      <c r="BM430" t="s">
        <v>8391</v>
      </c>
      <c r="BN430" t="s">
        <v>74</v>
      </c>
      <c r="BO430" t="s">
        <v>74</v>
      </c>
      <c r="BP430" t="s">
        <v>74</v>
      </c>
      <c r="BQ430" t="s">
        <v>74</v>
      </c>
      <c r="BR430" t="s">
        <v>93</v>
      </c>
      <c r="BS430" t="s">
        <v>8392</v>
      </c>
      <c r="BT430" t="str">
        <f>HYPERLINK("https%3A%2F%2Fwww.webofscience.com%2Fwos%2Fwoscc%2Ffull-record%2FWOS:000351640800018","View Full Record in Web of Science")</f>
        <v>View Full Record in Web of Science</v>
      </c>
    </row>
    <row r="431" spans="1:72" x14ac:dyDescent="0.15">
      <c r="A431" t="s">
        <v>840</v>
      </c>
      <c r="B431" t="s">
        <v>8393</v>
      </c>
      <c r="C431" t="s">
        <v>74</v>
      </c>
      <c r="D431" t="s">
        <v>5134</v>
      </c>
      <c r="E431" t="s">
        <v>74</v>
      </c>
      <c r="F431" t="s">
        <v>8394</v>
      </c>
      <c r="G431" t="s">
        <v>74</v>
      </c>
      <c r="H431" t="s">
        <v>74</v>
      </c>
      <c r="I431" t="s">
        <v>8395</v>
      </c>
      <c r="J431" t="s">
        <v>8396</v>
      </c>
      <c r="K431" t="s">
        <v>8397</v>
      </c>
      <c r="L431" t="s">
        <v>74</v>
      </c>
      <c r="M431" t="s">
        <v>78</v>
      </c>
      <c r="N431" t="s">
        <v>918</v>
      </c>
      <c r="O431" t="s">
        <v>74</v>
      </c>
      <c r="P431" t="s">
        <v>74</v>
      </c>
      <c r="Q431" t="s">
        <v>74</v>
      </c>
      <c r="R431" t="s">
        <v>74</v>
      </c>
      <c r="S431" t="s">
        <v>74</v>
      </c>
      <c r="T431" t="s">
        <v>74</v>
      </c>
      <c r="U431" t="s">
        <v>8398</v>
      </c>
      <c r="V431" t="s">
        <v>74</v>
      </c>
      <c r="W431" t="s">
        <v>8399</v>
      </c>
      <c r="X431" t="s">
        <v>8400</v>
      </c>
      <c r="Y431" t="s">
        <v>8401</v>
      </c>
      <c r="Z431" t="s">
        <v>8402</v>
      </c>
      <c r="AA431" t="s">
        <v>8403</v>
      </c>
      <c r="AB431" t="s">
        <v>8404</v>
      </c>
      <c r="AC431" t="s">
        <v>74</v>
      </c>
      <c r="AD431" t="s">
        <v>74</v>
      </c>
      <c r="AE431" t="s">
        <v>74</v>
      </c>
      <c r="AF431" t="s">
        <v>74</v>
      </c>
      <c r="AG431">
        <v>72</v>
      </c>
      <c r="AH431">
        <v>35</v>
      </c>
      <c r="AI431">
        <v>35</v>
      </c>
      <c r="AJ431">
        <v>0</v>
      </c>
      <c r="AK431">
        <v>1</v>
      </c>
      <c r="AL431" t="s">
        <v>2666</v>
      </c>
      <c r="AM431" t="s">
        <v>6414</v>
      </c>
      <c r="AN431" t="s">
        <v>7306</v>
      </c>
      <c r="AO431" t="s">
        <v>8405</v>
      </c>
      <c r="AP431" t="s">
        <v>8406</v>
      </c>
      <c r="AQ431" t="s">
        <v>8407</v>
      </c>
      <c r="AR431" t="s">
        <v>8408</v>
      </c>
      <c r="AS431" t="s">
        <v>74</v>
      </c>
      <c r="AT431" t="s">
        <v>74</v>
      </c>
      <c r="AU431">
        <v>2015</v>
      </c>
      <c r="AV431" t="s">
        <v>74</v>
      </c>
      <c r="AW431" t="s">
        <v>74</v>
      </c>
      <c r="AX431" t="s">
        <v>74</v>
      </c>
      <c r="AY431" t="s">
        <v>74</v>
      </c>
      <c r="AZ431" t="s">
        <v>74</v>
      </c>
      <c r="BA431" t="s">
        <v>74</v>
      </c>
      <c r="BB431">
        <v>205</v>
      </c>
      <c r="BC431">
        <v>225</v>
      </c>
      <c r="BD431" t="s">
        <v>74</v>
      </c>
      <c r="BE431" t="s">
        <v>8409</v>
      </c>
      <c r="BF431" t="str">
        <f>HYPERLINK("http://dx.doi.org/10.1007/978-3-319-05497-1_12","http://dx.doi.org/10.1007/978-3-319-05497-1_12")</f>
        <v>http://dx.doi.org/10.1007/978-3-319-05497-1_12</v>
      </c>
      <c r="BG431" t="s">
        <v>8410</v>
      </c>
      <c r="BH431" t="s">
        <v>74</v>
      </c>
      <c r="BI431">
        <v>21</v>
      </c>
      <c r="BJ431" t="s">
        <v>8411</v>
      </c>
      <c r="BK431" t="s">
        <v>936</v>
      </c>
      <c r="BL431" t="s">
        <v>8412</v>
      </c>
      <c r="BM431" t="s">
        <v>8413</v>
      </c>
      <c r="BN431" t="s">
        <v>74</v>
      </c>
      <c r="BO431" t="s">
        <v>74</v>
      </c>
      <c r="BP431" t="s">
        <v>74</v>
      </c>
      <c r="BQ431" t="s">
        <v>74</v>
      </c>
      <c r="BR431" t="s">
        <v>93</v>
      </c>
      <c r="BS431" t="s">
        <v>8414</v>
      </c>
      <c r="BT431" t="str">
        <f>HYPERLINK("https%3A%2F%2Fwww.webofscience.com%2Fwos%2Fwoscc%2Ffull-record%2FWOS:000375189500013","View Full Record in Web of Science")</f>
        <v>View Full Record in Web of Science</v>
      </c>
    </row>
    <row r="432" spans="1:72" x14ac:dyDescent="0.15">
      <c r="A432" t="s">
        <v>72</v>
      </c>
      <c r="B432" t="s">
        <v>8415</v>
      </c>
      <c r="C432" t="s">
        <v>74</v>
      </c>
      <c r="D432" t="s">
        <v>74</v>
      </c>
      <c r="E432" t="s">
        <v>74</v>
      </c>
      <c r="F432" t="s">
        <v>8416</v>
      </c>
      <c r="G432" t="s">
        <v>74</v>
      </c>
      <c r="H432" t="s">
        <v>74</v>
      </c>
      <c r="I432" t="s">
        <v>8417</v>
      </c>
      <c r="J432" t="s">
        <v>8418</v>
      </c>
      <c r="K432" t="s">
        <v>74</v>
      </c>
      <c r="L432" t="s">
        <v>74</v>
      </c>
      <c r="M432" t="s">
        <v>4162</v>
      </c>
      <c r="N432" t="s">
        <v>99</v>
      </c>
      <c r="O432" t="s">
        <v>74</v>
      </c>
      <c r="P432" t="s">
        <v>74</v>
      </c>
      <c r="Q432" t="s">
        <v>74</v>
      </c>
      <c r="R432" t="s">
        <v>74</v>
      </c>
      <c r="S432" t="s">
        <v>74</v>
      </c>
      <c r="T432" t="s">
        <v>8419</v>
      </c>
      <c r="U432" t="s">
        <v>74</v>
      </c>
      <c r="V432" t="s">
        <v>8420</v>
      </c>
      <c r="W432" t="s">
        <v>8421</v>
      </c>
      <c r="X432" t="s">
        <v>8422</v>
      </c>
      <c r="Y432" t="s">
        <v>8423</v>
      </c>
      <c r="Z432" t="s">
        <v>74</v>
      </c>
      <c r="AA432" t="s">
        <v>8424</v>
      </c>
      <c r="AB432" t="s">
        <v>8425</v>
      </c>
      <c r="AC432" t="s">
        <v>74</v>
      </c>
      <c r="AD432" t="s">
        <v>74</v>
      </c>
      <c r="AE432" t="s">
        <v>74</v>
      </c>
      <c r="AF432" t="s">
        <v>74</v>
      </c>
      <c r="AG432">
        <v>8</v>
      </c>
      <c r="AH432">
        <v>0</v>
      </c>
      <c r="AI432">
        <v>0</v>
      </c>
      <c r="AJ432">
        <v>0</v>
      </c>
      <c r="AK432">
        <v>0</v>
      </c>
      <c r="AL432" t="s">
        <v>8426</v>
      </c>
      <c r="AM432" t="s">
        <v>8427</v>
      </c>
      <c r="AN432" t="s">
        <v>8428</v>
      </c>
      <c r="AO432" t="s">
        <v>8429</v>
      </c>
      <c r="AP432" t="s">
        <v>8430</v>
      </c>
      <c r="AQ432" t="s">
        <v>74</v>
      </c>
      <c r="AR432" t="s">
        <v>8431</v>
      </c>
      <c r="AS432" t="s">
        <v>8432</v>
      </c>
      <c r="AT432" t="s">
        <v>74</v>
      </c>
      <c r="AU432">
        <v>2015</v>
      </c>
      <c r="AV432">
        <v>21</v>
      </c>
      <c r="AW432">
        <v>1</v>
      </c>
      <c r="AX432" t="s">
        <v>74</v>
      </c>
      <c r="AY432" t="s">
        <v>74</v>
      </c>
      <c r="AZ432" t="s">
        <v>74</v>
      </c>
      <c r="BA432" t="s">
        <v>74</v>
      </c>
      <c r="BB432">
        <v>58</v>
      </c>
      <c r="BC432">
        <v>63</v>
      </c>
      <c r="BD432" t="s">
        <v>74</v>
      </c>
      <c r="BE432" t="s">
        <v>8433</v>
      </c>
      <c r="BF432" t="str">
        <f>HYPERLINK("http://dx.doi.org/10.15407/knit2015.01.058","http://dx.doi.org/10.15407/knit2015.01.058")</f>
        <v>http://dx.doi.org/10.15407/knit2015.01.058</v>
      </c>
      <c r="BG432" t="s">
        <v>74</v>
      </c>
      <c r="BH432" t="s">
        <v>74</v>
      </c>
      <c r="BI432">
        <v>6</v>
      </c>
      <c r="BJ432" t="s">
        <v>2079</v>
      </c>
      <c r="BK432" t="s">
        <v>202</v>
      </c>
      <c r="BL432" t="s">
        <v>2079</v>
      </c>
      <c r="BM432" t="s">
        <v>8434</v>
      </c>
      <c r="BN432" t="s">
        <v>74</v>
      </c>
      <c r="BO432" t="s">
        <v>74</v>
      </c>
      <c r="BP432" t="s">
        <v>74</v>
      </c>
      <c r="BQ432" t="s">
        <v>74</v>
      </c>
      <c r="BR432" t="s">
        <v>93</v>
      </c>
      <c r="BS432" t="s">
        <v>8435</v>
      </c>
      <c r="BT432" t="str">
        <f>HYPERLINK("https%3A%2F%2Fwww.webofscience.com%2Fwos%2Fwoscc%2Ffull-record%2FWOS:000440143800009","View Full Record in Web of Science")</f>
        <v>View Full Record in Web of Science</v>
      </c>
    </row>
    <row r="433" spans="1:72" x14ac:dyDescent="0.15">
      <c r="A433" t="s">
        <v>840</v>
      </c>
      <c r="B433" t="s">
        <v>8436</v>
      </c>
      <c r="C433" t="s">
        <v>74</v>
      </c>
      <c r="D433" t="s">
        <v>8437</v>
      </c>
      <c r="E433" t="s">
        <v>74</v>
      </c>
      <c r="F433" t="s">
        <v>8438</v>
      </c>
      <c r="G433" t="s">
        <v>74</v>
      </c>
      <c r="H433" t="s">
        <v>74</v>
      </c>
      <c r="I433" t="s">
        <v>8439</v>
      </c>
      <c r="J433" t="s">
        <v>8440</v>
      </c>
      <c r="K433" t="s">
        <v>8441</v>
      </c>
      <c r="L433" t="s">
        <v>74</v>
      </c>
      <c r="M433" t="s">
        <v>78</v>
      </c>
      <c r="N433" t="s">
        <v>918</v>
      </c>
      <c r="O433" t="s">
        <v>74</v>
      </c>
      <c r="P433" t="s">
        <v>74</v>
      </c>
      <c r="Q433" t="s">
        <v>74</v>
      </c>
      <c r="R433" t="s">
        <v>74</v>
      </c>
      <c r="S433" t="s">
        <v>74</v>
      </c>
      <c r="T433" t="s">
        <v>74</v>
      </c>
      <c r="U433" t="s">
        <v>8442</v>
      </c>
      <c r="V433" t="s">
        <v>8443</v>
      </c>
      <c r="W433" t="s">
        <v>8444</v>
      </c>
      <c r="X433" t="s">
        <v>8445</v>
      </c>
      <c r="Y433" t="s">
        <v>8446</v>
      </c>
      <c r="Z433" t="s">
        <v>8447</v>
      </c>
      <c r="AA433" t="s">
        <v>8448</v>
      </c>
      <c r="AB433" t="s">
        <v>8449</v>
      </c>
      <c r="AC433" t="s">
        <v>74</v>
      </c>
      <c r="AD433" t="s">
        <v>74</v>
      </c>
      <c r="AE433" t="s">
        <v>74</v>
      </c>
      <c r="AF433" t="s">
        <v>74</v>
      </c>
      <c r="AG433">
        <v>54</v>
      </c>
      <c r="AH433">
        <v>5</v>
      </c>
      <c r="AI433">
        <v>6</v>
      </c>
      <c r="AJ433">
        <v>4</v>
      </c>
      <c r="AK433">
        <v>9</v>
      </c>
      <c r="AL433" t="s">
        <v>111</v>
      </c>
      <c r="AM433" t="s">
        <v>112</v>
      </c>
      <c r="AN433" t="s">
        <v>8450</v>
      </c>
      <c r="AO433" t="s">
        <v>8451</v>
      </c>
      <c r="AP433" t="s">
        <v>74</v>
      </c>
      <c r="AQ433" t="s">
        <v>8452</v>
      </c>
      <c r="AR433" t="s">
        <v>8453</v>
      </c>
      <c r="AS433" t="s">
        <v>8454</v>
      </c>
      <c r="AT433" t="s">
        <v>74</v>
      </c>
      <c r="AU433">
        <v>2015</v>
      </c>
      <c r="AV433">
        <v>40</v>
      </c>
      <c r="AW433" t="s">
        <v>74</v>
      </c>
      <c r="AX433" t="s">
        <v>74</v>
      </c>
      <c r="AY433" t="s">
        <v>74</v>
      </c>
      <c r="AZ433" t="s">
        <v>74</v>
      </c>
      <c r="BA433" t="s">
        <v>74</v>
      </c>
      <c r="BB433">
        <v>1</v>
      </c>
      <c r="BC433">
        <v>33</v>
      </c>
      <c r="BD433" t="s">
        <v>74</v>
      </c>
      <c r="BE433" t="s">
        <v>74</v>
      </c>
      <c r="BF433" t="s">
        <v>74</v>
      </c>
      <c r="BG433" t="s">
        <v>8455</v>
      </c>
      <c r="BH433" t="s">
        <v>74</v>
      </c>
      <c r="BI433">
        <v>33</v>
      </c>
      <c r="BJ433" t="s">
        <v>1611</v>
      </c>
      <c r="BK433" t="s">
        <v>936</v>
      </c>
      <c r="BL433" t="s">
        <v>395</v>
      </c>
      <c r="BM433" t="s">
        <v>8456</v>
      </c>
      <c r="BN433" t="s">
        <v>74</v>
      </c>
      <c r="BO433" t="s">
        <v>74</v>
      </c>
      <c r="BP433" t="s">
        <v>74</v>
      </c>
      <c r="BQ433" t="s">
        <v>74</v>
      </c>
      <c r="BR433" t="s">
        <v>93</v>
      </c>
      <c r="BS433" t="s">
        <v>8457</v>
      </c>
      <c r="BT433" t="str">
        <f>HYPERLINK("https%3A%2F%2Fwww.webofscience.com%2Fwos%2Fwoscc%2Ffull-record%2FWOS:000388101200002","View Full Record in Web of Science")</f>
        <v>View Full Record in Web of Science</v>
      </c>
    </row>
    <row r="434" spans="1:72" x14ac:dyDescent="0.15">
      <c r="A434" t="s">
        <v>72</v>
      </c>
      <c r="B434" t="s">
        <v>8458</v>
      </c>
      <c r="C434" t="s">
        <v>74</v>
      </c>
      <c r="D434" t="s">
        <v>74</v>
      </c>
      <c r="E434" t="s">
        <v>74</v>
      </c>
      <c r="F434" t="s">
        <v>8459</v>
      </c>
      <c r="G434" t="s">
        <v>74</v>
      </c>
      <c r="H434" t="s">
        <v>74</v>
      </c>
      <c r="I434" t="s">
        <v>8460</v>
      </c>
      <c r="J434" t="s">
        <v>8461</v>
      </c>
      <c r="K434" t="s">
        <v>74</v>
      </c>
      <c r="L434" t="s">
        <v>74</v>
      </c>
      <c r="M434" t="s">
        <v>78</v>
      </c>
      <c r="N434" t="s">
        <v>99</v>
      </c>
      <c r="O434" t="s">
        <v>74</v>
      </c>
      <c r="P434" t="s">
        <v>74</v>
      </c>
      <c r="Q434" t="s">
        <v>74</v>
      </c>
      <c r="R434" t="s">
        <v>74</v>
      </c>
      <c r="S434" t="s">
        <v>74</v>
      </c>
      <c r="T434" t="s">
        <v>8462</v>
      </c>
      <c r="U434" t="s">
        <v>8463</v>
      </c>
      <c r="V434" t="s">
        <v>8464</v>
      </c>
      <c r="W434" t="s">
        <v>8465</v>
      </c>
      <c r="X434" t="s">
        <v>8466</v>
      </c>
      <c r="Y434" t="s">
        <v>8467</v>
      </c>
      <c r="Z434" t="s">
        <v>8468</v>
      </c>
      <c r="AA434" t="s">
        <v>8469</v>
      </c>
      <c r="AB434" t="s">
        <v>8470</v>
      </c>
      <c r="AC434" t="s">
        <v>74</v>
      </c>
      <c r="AD434" t="s">
        <v>74</v>
      </c>
      <c r="AE434" t="s">
        <v>74</v>
      </c>
      <c r="AF434" t="s">
        <v>74</v>
      </c>
      <c r="AG434">
        <v>128</v>
      </c>
      <c r="AH434">
        <v>67</v>
      </c>
      <c r="AI434">
        <v>67</v>
      </c>
      <c r="AJ434">
        <v>0</v>
      </c>
      <c r="AK434">
        <v>9</v>
      </c>
      <c r="AL434" t="s">
        <v>6525</v>
      </c>
      <c r="AM434" t="s">
        <v>6526</v>
      </c>
      <c r="AN434" t="s">
        <v>6527</v>
      </c>
      <c r="AO434" t="s">
        <v>8471</v>
      </c>
      <c r="AP434" t="s">
        <v>8472</v>
      </c>
      <c r="AQ434" t="s">
        <v>74</v>
      </c>
      <c r="AR434" t="s">
        <v>8473</v>
      </c>
      <c r="AS434" t="s">
        <v>8474</v>
      </c>
      <c r="AT434" t="s">
        <v>74</v>
      </c>
      <c r="AU434">
        <v>2015</v>
      </c>
      <c r="AV434">
        <v>45</v>
      </c>
      <c r="AW434">
        <v>5</v>
      </c>
      <c r="AX434" t="s">
        <v>74</v>
      </c>
      <c r="AY434" t="s">
        <v>74</v>
      </c>
      <c r="AZ434" t="s">
        <v>74</v>
      </c>
      <c r="BA434" t="s">
        <v>74</v>
      </c>
      <c r="BB434">
        <v>549</v>
      </c>
      <c r="BC434">
        <v>578</v>
      </c>
      <c r="BD434" t="s">
        <v>74</v>
      </c>
      <c r="BE434" t="s">
        <v>8475</v>
      </c>
      <c r="BF434" t="str">
        <f>HYPERLINK("http://dx.doi.org/10.1080/00397911.2013.824983","http://dx.doi.org/10.1080/00397911.2013.824983")</f>
        <v>http://dx.doi.org/10.1080/00397911.2013.824983</v>
      </c>
      <c r="BG434" t="s">
        <v>74</v>
      </c>
      <c r="BH434" t="s">
        <v>74</v>
      </c>
      <c r="BI434">
        <v>30</v>
      </c>
      <c r="BJ434" t="s">
        <v>3569</v>
      </c>
      <c r="BK434" t="s">
        <v>91</v>
      </c>
      <c r="BL434" t="s">
        <v>181</v>
      </c>
      <c r="BM434" t="s">
        <v>8476</v>
      </c>
      <c r="BN434" t="s">
        <v>74</v>
      </c>
      <c r="BO434" t="s">
        <v>74</v>
      </c>
      <c r="BP434" t="s">
        <v>74</v>
      </c>
      <c r="BQ434" t="s">
        <v>74</v>
      </c>
      <c r="BR434" t="s">
        <v>93</v>
      </c>
      <c r="BS434" t="s">
        <v>8477</v>
      </c>
      <c r="BT434" t="str">
        <f>HYPERLINK("https%3A%2F%2Fwww.webofscience.com%2Fwos%2Fwoscc%2Ffull-record%2FWOS:000348463200001","View Full Record in Web of Science")</f>
        <v>View Full Record in Web of Science</v>
      </c>
    </row>
    <row r="435" spans="1:72" x14ac:dyDescent="0.15">
      <c r="A435" t="s">
        <v>72</v>
      </c>
      <c r="B435" t="s">
        <v>8478</v>
      </c>
      <c r="C435" t="s">
        <v>74</v>
      </c>
      <c r="D435" t="s">
        <v>74</v>
      </c>
      <c r="E435" t="s">
        <v>74</v>
      </c>
      <c r="F435" t="s">
        <v>8479</v>
      </c>
      <c r="G435" t="s">
        <v>74</v>
      </c>
      <c r="H435" t="s">
        <v>74</v>
      </c>
      <c r="I435" t="s">
        <v>8480</v>
      </c>
      <c r="J435" t="s">
        <v>8481</v>
      </c>
      <c r="K435" t="s">
        <v>74</v>
      </c>
      <c r="L435" t="s">
        <v>74</v>
      </c>
      <c r="M435" t="s">
        <v>78</v>
      </c>
      <c r="N435" t="s">
        <v>99</v>
      </c>
      <c r="O435" t="s">
        <v>74</v>
      </c>
      <c r="P435" t="s">
        <v>74</v>
      </c>
      <c r="Q435" t="s">
        <v>74</v>
      </c>
      <c r="R435" t="s">
        <v>74</v>
      </c>
      <c r="S435" t="s">
        <v>74</v>
      </c>
      <c r="T435" t="s">
        <v>8482</v>
      </c>
      <c r="U435" t="s">
        <v>8483</v>
      </c>
      <c r="V435" t="s">
        <v>8484</v>
      </c>
      <c r="W435" t="s">
        <v>8485</v>
      </c>
      <c r="X435" t="s">
        <v>74</v>
      </c>
      <c r="Y435" t="s">
        <v>8486</v>
      </c>
      <c r="Z435" t="s">
        <v>8487</v>
      </c>
      <c r="AA435" t="s">
        <v>74</v>
      </c>
      <c r="AB435" t="s">
        <v>74</v>
      </c>
      <c r="AC435" t="s">
        <v>8488</v>
      </c>
      <c r="AD435" t="s">
        <v>8489</v>
      </c>
      <c r="AE435" t="s">
        <v>8490</v>
      </c>
      <c r="AF435" t="s">
        <v>74</v>
      </c>
      <c r="AG435">
        <v>24</v>
      </c>
      <c r="AH435">
        <v>12</v>
      </c>
      <c r="AI435">
        <v>15</v>
      </c>
      <c r="AJ435">
        <v>0</v>
      </c>
      <c r="AK435">
        <v>4</v>
      </c>
      <c r="AL435" t="s">
        <v>2640</v>
      </c>
      <c r="AM435" t="s">
        <v>1176</v>
      </c>
      <c r="AN435" t="s">
        <v>2641</v>
      </c>
      <c r="AO435" t="s">
        <v>74</v>
      </c>
      <c r="AP435" t="s">
        <v>8491</v>
      </c>
      <c r="AQ435" t="s">
        <v>74</v>
      </c>
      <c r="AR435" t="s">
        <v>8492</v>
      </c>
      <c r="AS435" t="s">
        <v>8493</v>
      </c>
      <c r="AT435" t="s">
        <v>74</v>
      </c>
      <c r="AU435">
        <v>2015</v>
      </c>
      <c r="AV435">
        <v>2</v>
      </c>
      <c r="AW435" t="s">
        <v>74</v>
      </c>
      <c r="AX435" t="s">
        <v>74</v>
      </c>
      <c r="AY435" t="s">
        <v>74</v>
      </c>
      <c r="AZ435" t="s">
        <v>74</v>
      </c>
      <c r="BA435" t="s">
        <v>74</v>
      </c>
      <c r="BB435">
        <v>144</v>
      </c>
      <c r="BC435">
        <v>151</v>
      </c>
      <c r="BD435" t="s">
        <v>74</v>
      </c>
      <c r="BE435" t="s">
        <v>8494</v>
      </c>
      <c r="BF435" t="str">
        <f>HYPERLINK("http://dx.doi.org/10.1016/j.toxrep.2014.11.011","http://dx.doi.org/10.1016/j.toxrep.2014.11.011")</f>
        <v>http://dx.doi.org/10.1016/j.toxrep.2014.11.011</v>
      </c>
      <c r="BG435" t="s">
        <v>74</v>
      </c>
      <c r="BH435" t="s">
        <v>74</v>
      </c>
      <c r="BI435">
        <v>8</v>
      </c>
      <c r="BJ435" t="s">
        <v>8495</v>
      </c>
      <c r="BK435" t="s">
        <v>202</v>
      </c>
      <c r="BL435" t="s">
        <v>8495</v>
      </c>
      <c r="BM435" t="s">
        <v>8496</v>
      </c>
      <c r="BN435">
        <v>28962346</v>
      </c>
      <c r="BO435" t="s">
        <v>1971</v>
      </c>
      <c r="BP435" t="s">
        <v>74</v>
      </c>
      <c r="BQ435" t="s">
        <v>74</v>
      </c>
      <c r="BR435" t="s">
        <v>93</v>
      </c>
      <c r="BS435" t="s">
        <v>8497</v>
      </c>
      <c r="BT435" t="str">
        <f>HYPERLINK("https%3A%2F%2Fwww.webofscience.com%2Fwos%2Fwoscc%2Ffull-record%2FWOS:000218510700015","View Full Record in Web of Science")</f>
        <v>View Full Record in Web of Science</v>
      </c>
    </row>
    <row r="436" spans="1:72" x14ac:dyDescent="0.15">
      <c r="A436" t="s">
        <v>72</v>
      </c>
      <c r="B436" t="s">
        <v>8498</v>
      </c>
      <c r="C436" t="s">
        <v>74</v>
      </c>
      <c r="D436" t="s">
        <v>74</v>
      </c>
      <c r="E436" t="s">
        <v>74</v>
      </c>
      <c r="F436" t="s">
        <v>8499</v>
      </c>
      <c r="G436" t="s">
        <v>74</v>
      </c>
      <c r="H436" t="s">
        <v>74</v>
      </c>
      <c r="I436" t="s">
        <v>8500</v>
      </c>
      <c r="J436" t="s">
        <v>8501</v>
      </c>
      <c r="K436" t="s">
        <v>74</v>
      </c>
      <c r="L436" t="s">
        <v>74</v>
      </c>
      <c r="M436" t="s">
        <v>78</v>
      </c>
      <c r="N436" t="s">
        <v>454</v>
      </c>
      <c r="O436" t="s">
        <v>74</v>
      </c>
      <c r="P436" t="s">
        <v>74</v>
      </c>
      <c r="Q436" t="s">
        <v>74</v>
      </c>
      <c r="R436" t="s">
        <v>74</v>
      </c>
      <c r="S436" t="s">
        <v>74</v>
      </c>
      <c r="T436" t="s">
        <v>8502</v>
      </c>
      <c r="U436" t="s">
        <v>8503</v>
      </c>
      <c r="V436" t="s">
        <v>8504</v>
      </c>
      <c r="W436" t="s">
        <v>8505</v>
      </c>
      <c r="X436" t="s">
        <v>8506</v>
      </c>
      <c r="Y436" t="s">
        <v>8507</v>
      </c>
      <c r="Z436" t="s">
        <v>8508</v>
      </c>
      <c r="AA436" t="s">
        <v>8509</v>
      </c>
      <c r="AB436" t="s">
        <v>8510</v>
      </c>
      <c r="AC436" t="s">
        <v>8511</v>
      </c>
      <c r="AD436" t="s">
        <v>8512</v>
      </c>
      <c r="AE436" t="s">
        <v>8513</v>
      </c>
      <c r="AF436" t="s">
        <v>74</v>
      </c>
      <c r="AG436">
        <v>83</v>
      </c>
      <c r="AH436">
        <v>40</v>
      </c>
      <c r="AI436">
        <v>44</v>
      </c>
      <c r="AJ436">
        <v>1</v>
      </c>
      <c r="AK436">
        <v>154</v>
      </c>
      <c r="AL436" t="s">
        <v>8514</v>
      </c>
      <c r="AM436" t="s">
        <v>112</v>
      </c>
      <c r="AN436" t="s">
        <v>8515</v>
      </c>
      <c r="AO436" t="s">
        <v>8516</v>
      </c>
      <c r="AP436" t="s">
        <v>8517</v>
      </c>
      <c r="AQ436" t="s">
        <v>74</v>
      </c>
      <c r="AR436" t="s">
        <v>8518</v>
      </c>
      <c r="AS436" t="s">
        <v>8519</v>
      </c>
      <c r="AT436" t="s">
        <v>200</v>
      </c>
      <c r="AU436">
        <v>2015</v>
      </c>
      <c r="AV436">
        <v>30</v>
      </c>
      <c r="AW436">
        <v>1</v>
      </c>
      <c r="AX436" t="s">
        <v>74</v>
      </c>
      <c r="AY436" t="s">
        <v>74</v>
      </c>
      <c r="AZ436" t="s">
        <v>74</v>
      </c>
      <c r="BA436" t="s">
        <v>74</v>
      </c>
      <c r="BB436">
        <v>17</v>
      </c>
      <c r="BC436">
        <v>24</v>
      </c>
      <c r="BD436" t="s">
        <v>74</v>
      </c>
      <c r="BE436" t="s">
        <v>8520</v>
      </c>
      <c r="BF436" t="str">
        <f>HYPERLINK("http://dx.doi.org/10.1016/j.tree.2014.11.002","http://dx.doi.org/10.1016/j.tree.2014.11.002")</f>
        <v>http://dx.doi.org/10.1016/j.tree.2014.11.002</v>
      </c>
      <c r="BG436" t="s">
        <v>74</v>
      </c>
      <c r="BH436" t="s">
        <v>74</v>
      </c>
      <c r="BI436">
        <v>8</v>
      </c>
      <c r="BJ436" t="s">
        <v>6381</v>
      </c>
      <c r="BK436" t="s">
        <v>157</v>
      </c>
      <c r="BL436" t="s">
        <v>6382</v>
      </c>
      <c r="BM436" t="s">
        <v>8521</v>
      </c>
      <c r="BN436">
        <v>25433442</v>
      </c>
      <c r="BO436" t="s">
        <v>6793</v>
      </c>
      <c r="BP436" t="s">
        <v>74</v>
      </c>
      <c r="BQ436" t="s">
        <v>74</v>
      </c>
      <c r="BR436" t="s">
        <v>93</v>
      </c>
      <c r="BS436" t="s">
        <v>8522</v>
      </c>
      <c r="BT436" t="str">
        <f>HYPERLINK("https%3A%2F%2Fwww.webofscience.com%2Fwos%2Fwoscc%2Ffull-record%2FWOS:000347863000007","View Full Record in Web of Science")</f>
        <v>View Full Record in Web of Science</v>
      </c>
    </row>
    <row r="437" spans="1:72" x14ac:dyDescent="0.15">
      <c r="A437" t="s">
        <v>72</v>
      </c>
      <c r="B437" t="s">
        <v>8523</v>
      </c>
      <c r="C437" t="s">
        <v>74</v>
      </c>
      <c r="D437" t="s">
        <v>74</v>
      </c>
      <c r="E437" t="s">
        <v>74</v>
      </c>
      <c r="F437" t="s">
        <v>8524</v>
      </c>
      <c r="G437" t="s">
        <v>74</v>
      </c>
      <c r="H437" t="s">
        <v>74</v>
      </c>
      <c r="I437" t="s">
        <v>8525</v>
      </c>
      <c r="J437" t="s">
        <v>8526</v>
      </c>
      <c r="K437" t="s">
        <v>74</v>
      </c>
      <c r="L437" t="s">
        <v>74</v>
      </c>
      <c r="M437" t="s">
        <v>78</v>
      </c>
      <c r="N437" t="s">
        <v>99</v>
      </c>
      <c r="O437" t="s">
        <v>74</v>
      </c>
      <c r="P437" t="s">
        <v>74</v>
      </c>
      <c r="Q437" t="s">
        <v>74</v>
      </c>
      <c r="R437" t="s">
        <v>74</v>
      </c>
      <c r="S437" t="s">
        <v>74</v>
      </c>
      <c r="T437" t="s">
        <v>8527</v>
      </c>
      <c r="U437" t="s">
        <v>8528</v>
      </c>
      <c r="V437" t="s">
        <v>8529</v>
      </c>
      <c r="W437" t="s">
        <v>8530</v>
      </c>
      <c r="X437" t="s">
        <v>8531</v>
      </c>
      <c r="Y437" t="s">
        <v>8532</v>
      </c>
      <c r="Z437" t="s">
        <v>8533</v>
      </c>
      <c r="AA437" t="s">
        <v>8534</v>
      </c>
      <c r="AB437" t="s">
        <v>8535</v>
      </c>
      <c r="AC437" t="s">
        <v>8536</v>
      </c>
      <c r="AD437" t="s">
        <v>8537</v>
      </c>
      <c r="AE437" t="s">
        <v>8538</v>
      </c>
      <c r="AF437" t="s">
        <v>74</v>
      </c>
      <c r="AG437">
        <v>60</v>
      </c>
      <c r="AH437">
        <v>29</v>
      </c>
      <c r="AI437">
        <v>30</v>
      </c>
      <c r="AJ437">
        <v>3</v>
      </c>
      <c r="AK437">
        <v>63</v>
      </c>
      <c r="AL437" t="s">
        <v>2666</v>
      </c>
      <c r="AM437" t="s">
        <v>6414</v>
      </c>
      <c r="AN437" t="s">
        <v>6415</v>
      </c>
      <c r="AO437" t="s">
        <v>8539</v>
      </c>
      <c r="AP437" t="s">
        <v>8540</v>
      </c>
      <c r="AQ437" t="s">
        <v>74</v>
      </c>
      <c r="AR437" t="s">
        <v>8541</v>
      </c>
      <c r="AS437" t="s">
        <v>8542</v>
      </c>
      <c r="AT437" t="s">
        <v>200</v>
      </c>
      <c r="AU437">
        <v>2015</v>
      </c>
      <c r="AV437">
        <v>226</v>
      </c>
      <c r="AW437">
        <v>1</v>
      </c>
      <c r="AX437" t="s">
        <v>74</v>
      </c>
      <c r="AY437" t="s">
        <v>74</v>
      </c>
      <c r="AZ437" t="s">
        <v>74</v>
      </c>
      <c r="BA437" t="s">
        <v>74</v>
      </c>
      <c r="BB437" t="s">
        <v>74</v>
      </c>
      <c r="BC437" t="s">
        <v>74</v>
      </c>
      <c r="BD437">
        <v>2266</v>
      </c>
      <c r="BE437" t="s">
        <v>8543</v>
      </c>
      <c r="BF437" t="str">
        <f>HYPERLINK("http://dx.doi.org/10.1007/s11270-014-2266-5","http://dx.doi.org/10.1007/s11270-014-2266-5")</f>
        <v>http://dx.doi.org/10.1007/s11270-014-2266-5</v>
      </c>
      <c r="BG437" t="s">
        <v>74</v>
      </c>
      <c r="BH437" t="s">
        <v>74</v>
      </c>
      <c r="BI437">
        <v>12</v>
      </c>
      <c r="BJ437" t="s">
        <v>8544</v>
      </c>
      <c r="BK437" t="s">
        <v>91</v>
      </c>
      <c r="BL437" t="s">
        <v>8545</v>
      </c>
      <c r="BM437" t="s">
        <v>8546</v>
      </c>
      <c r="BN437" t="s">
        <v>74</v>
      </c>
      <c r="BO437" t="s">
        <v>74</v>
      </c>
      <c r="BP437" t="s">
        <v>74</v>
      </c>
      <c r="BQ437" t="s">
        <v>74</v>
      </c>
      <c r="BR437" t="s">
        <v>93</v>
      </c>
      <c r="BS437" t="s">
        <v>8547</v>
      </c>
      <c r="BT437" t="str">
        <f>HYPERLINK("https%3A%2F%2Fwww.webofscience.com%2Fwos%2Fwoscc%2Ffull-record%2FWOS:000346609300027","View Full Record in Web of Science")</f>
        <v>View Full Record in Web of Science</v>
      </c>
    </row>
    <row r="438" spans="1:72" x14ac:dyDescent="0.15">
      <c r="A438" t="s">
        <v>72</v>
      </c>
      <c r="B438" t="s">
        <v>8548</v>
      </c>
      <c r="C438" t="s">
        <v>74</v>
      </c>
      <c r="D438" t="s">
        <v>74</v>
      </c>
      <c r="E438" t="s">
        <v>74</v>
      </c>
      <c r="F438" t="s">
        <v>8549</v>
      </c>
      <c r="G438" t="s">
        <v>74</v>
      </c>
      <c r="H438" t="s">
        <v>74</v>
      </c>
      <c r="I438" t="s">
        <v>8550</v>
      </c>
      <c r="J438" t="s">
        <v>644</v>
      </c>
      <c r="K438" t="s">
        <v>74</v>
      </c>
      <c r="L438" t="s">
        <v>74</v>
      </c>
      <c r="M438" t="s">
        <v>78</v>
      </c>
      <c r="N438" t="s">
        <v>99</v>
      </c>
      <c r="O438" t="s">
        <v>74</v>
      </c>
      <c r="P438" t="s">
        <v>74</v>
      </c>
      <c r="Q438" t="s">
        <v>74</v>
      </c>
      <c r="R438" t="s">
        <v>74</v>
      </c>
      <c r="S438" t="s">
        <v>74</v>
      </c>
      <c r="T438" t="s">
        <v>8551</v>
      </c>
      <c r="U438" t="s">
        <v>8552</v>
      </c>
      <c r="V438" t="s">
        <v>8553</v>
      </c>
      <c r="W438" t="s">
        <v>8554</v>
      </c>
      <c r="X438" t="s">
        <v>8555</v>
      </c>
      <c r="Y438" t="s">
        <v>8556</v>
      </c>
      <c r="Z438" t="s">
        <v>8557</v>
      </c>
      <c r="AA438" t="s">
        <v>8558</v>
      </c>
      <c r="AB438" t="s">
        <v>8559</v>
      </c>
      <c r="AC438" t="s">
        <v>8560</v>
      </c>
      <c r="AD438" t="s">
        <v>4756</v>
      </c>
      <c r="AE438" t="s">
        <v>74</v>
      </c>
      <c r="AF438" t="s">
        <v>74</v>
      </c>
      <c r="AG438">
        <v>7</v>
      </c>
      <c r="AH438">
        <v>5</v>
      </c>
      <c r="AI438">
        <v>5</v>
      </c>
      <c r="AJ438">
        <v>0</v>
      </c>
      <c r="AK438">
        <v>2</v>
      </c>
      <c r="AL438" t="s">
        <v>514</v>
      </c>
      <c r="AM438" t="s">
        <v>515</v>
      </c>
      <c r="AN438" t="s">
        <v>516</v>
      </c>
      <c r="AO438" t="s">
        <v>658</v>
      </c>
      <c r="AP438" t="s">
        <v>659</v>
      </c>
      <c r="AQ438" t="s">
        <v>74</v>
      </c>
      <c r="AR438" t="s">
        <v>644</v>
      </c>
      <c r="AS438" t="s">
        <v>660</v>
      </c>
      <c r="AT438" t="s">
        <v>74</v>
      </c>
      <c r="AU438">
        <v>2015</v>
      </c>
      <c r="AV438" t="s">
        <v>74</v>
      </c>
      <c r="AW438">
        <v>504</v>
      </c>
      <c r="AX438" t="s">
        <v>74</v>
      </c>
      <c r="AY438" t="s">
        <v>74</v>
      </c>
      <c r="AZ438" t="s">
        <v>74</v>
      </c>
      <c r="BA438" t="s">
        <v>74</v>
      </c>
      <c r="BB438">
        <v>1</v>
      </c>
      <c r="BC438">
        <v>10</v>
      </c>
      <c r="BD438" t="s">
        <v>74</v>
      </c>
      <c r="BE438" t="s">
        <v>8561</v>
      </c>
      <c r="BF438" t="str">
        <f>HYPERLINK("http://dx.doi.org/10.3897/zookeys.504.8860","http://dx.doi.org/10.3897/zookeys.504.8860")</f>
        <v>http://dx.doi.org/10.3897/zookeys.504.8860</v>
      </c>
      <c r="BG438" t="s">
        <v>74</v>
      </c>
      <c r="BH438" t="s">
        <v>74</v>
      </c>
      <c r="BI438">
        <v>10</v>
      </c>
      <c r="BJ438" t="s">
        <v>423</v>
      </c>
      <c r="BK438" t="s">
        <v>91</v>
      </c>
      <c r="BL438" t="s">
        <v>423</v>
      </c>
      <c r="BM438" t="s">
        <v>8562</v>
      </c>
      <c r="BN438">
        <v>26019674</v>
      </c>
      <c r="BO438" t="s">
        <v>8563</v>
      </c>
      <c r="BP438" t="s">
        <v>74</v>
      </c>
      <c r="BQ438" t="s">
        <v>74</v>
      </c>
      <c r="BR438" t="s">
        <v>93</v>
      </c>
      <c r="BS438" t="s">
        <v>8564</v>
      </c>
      <c r="BT438" t="str">
        <f>HYPERLINK("https%3A%2F%2Fwww.webofscience.com%2Fwos%2Fwoscc%2Ffull-record%2FWOS:000354874000001","View Full Record in Web of Science")</f>
        <v>View Full Record in Web of Science</v>
      </c>
    </row>
    <row r="439" spans="1:72" x14ac:dyDescent="0.15">
      <c r="A439" t="s">
        <v>72</v>
      </c>
      <c r="B439" t="s">
        <v>8565</v>
      </c>
      <c r="C439" t="s">
        <v>74</v>
      </c>
      <c r="D439" t="s">
        <v>74</v>
      </c>
      <c r="E439" t="s">
        <v>74</v>
      </c>
      <c r="F439" t="s">
        <v>8566</v>
      </c>
      <c r="G439" t="s">
        <v>74</v>
      </c>
      <c r="H439" t="s">
        <v>74</v>
      </c>
      <c r="I439" t="s">
        <v>8567</v>
      </c>
      <c r="J439" t="s">
        <v>644</v>
      </c>
      <c r="K439" t="s">
        <v>74</v>
      </c>
      <c r="L439" t="s">
        <v>74</v>
      </c>
      <c r="M439" t="s">
        <v>78</v>
      </c>
      <c r="N439" t="s">
        <v>99</v>
      </c>
      <c r="O439" t="s">
        <v>74</v>
      </c>
      <c r="P439" t="s">
        <v>74</v>
      </c>
      <c r="Q439" t="s">
        <v>74</v>
      </c>
      <c r="R439" t="s">
        <v>74</v>
      </c>
      <c r="S439" t="s">
        <v>74</v>
      </c>
      <c r="T439" t="s">
        <v>8568</v>
      </c>
      <c r="U439" t="s">
        <v>74</v>
      </c>
      <c r="V439" t="s">
        <v>8569</v>
      </c>
      <c r="W439" t="s">
        <v>8570</v>
      </c>
      <c r="X439" t="s">
        <v>4662</v>
      </c>
      <c r="Y439" t="s">
        <v>8571</v>
      </c>
      <c r="Z439" t="s">
        <v>8572</v>
      </c>
      <c r="AA439" t="s">
        <v>8573</v>
      </c>
      <c r="AB439" t="s">
        <v>8574</v>
      </c>
      <c r="AC439" t="s">
        <v>8575</v>
      </c>
      <c r="AD439" t="s">
        <v>8576</v>
      </c>
      <c r="AE439" t="s">
        <v>8577</v>
      </c>
      <c r="AF439" t="s">
        <v>74</v>
      </c>
      <c r="AG439">
        <v>9</v>
      </c>
      <c r="AH439">
        <v>6</v>
      </c>
      <c r="AI439">
        <v>8</v>
      </c>
      <c r="AJ439">
        <v>0</v>
      </c>
      <c r="AK439">
        <v>6</v>
      </c>
      <c r="AL439" t="s">
        <v>514</v>
      </c>
      <c r="AM439" t="s">
        <v>515</v>
      </c>
      <c r="AN439" t="s">
        <v>657</v>
      </c>
      <c r="AO439" t="s">
        <v>658</v>
      </c>
      <c r="AP439" t="s">
        <v>659</v>
      </c>
      <c r="AQ439" t="s">
        <v>74</v>
      </c>
      <c r="AR439" t="s">
        <v>644</v>
      </c>
      <c r="AS439" t="s">
        <v>660</v>
      </c>
      <c r="AT439" t="s">
        <v>74</v>
      </c>
      <c r="AU439">
        <v>2015</v>
      </c>
      <c r="AV439" t="s">
        <v>74</v>
      </c>
      <c r="AW439">
        <v>524</v>
      </c>
      <c r="AX439" t="s">
        <v>74</v>
      </c>
      <c r="AY439" t="s">
        <v>74</v>
      </c>
      <c r="AZ439" t="s">
        <v>74</v>
      </c>
      <c r="BA439" t="s">
        <v>74</v>
      </c>
      <c r="BB439">
        <v>137</v>
      </c>
      <c r="BC439">
        <v>145</v>
      </c>
      <c r="BD439" t="s">
        <v>74</v>
      </c>
      <c r="BE439" t="s">
        <v>8578</v>
      </c>
      <c r="BF439" t="str">
        <f>HYPERLINK("http://dx.doi.org/10.3897/zookeys.524.6091","http://dx.doi.org/10.3897/zookeys.524.6091")</f>
        <v>http://dx.doi.org/10.3897/zookeys.524.6091</v>
      </c>
      <c r="BG439" t="s">
        <v>74</v>
      </c>
      <c r="BH439" t="s">
        <v>74</v>
      </c>
      <c r="BI439">
        <v>9</v>
      </c>
      <c r="BJ439" t="s">
        <v>423</v>
      </c>
      <c r="BK439" t="s">
        <v>91</v>
      </c>
      <c r="BL439" t="s">
        <v>423</v>
      </c>
      <c r="BM439" t="s">
        <v>8579</v>
      </c>
      <c r="BN439">
        <v>26478709</v>
      </c>
      <c r="BO439" t="s">
        <v>228</v>
      </c>
      <c r="BP439" t="s">
        <v>74</v>
      </c>
      <c r="BQ439" t="s">
        <v>74</v>
      </c>
      <c r="BR439" t="s">
        <v>93</v>
      </c>
      <c r="BS439" t="s">
        <v>8580</v>
      </c>
      <c r="BT439" t="str">
        <f>HYPERLINK("https%3A%2F%2Fwww.webofscience.com%2Fwos%2Fwoscc%2Ffull-record%2FWOS:000362515200007","View Full Record in Web of Science")</f>
        <v>View Full Record in Web of Science</v>
      </c>
    </row>
    <row r="440" spans="1:72" x14ac:dyDescent="0.15">
      <c r="A440" t="s">
        <v>72</v>
      </c>
      <c r="B440" t="s">
        <v>8581</v>
      </c>
      <c r="C440" t="s">
        <v>74</v>
      </c>
      <c r="D440" t="s">
        <v>74</v>
      </c>
      <c r="E440" t="s">
        <v>74</v>
      </c>
      <c r="F440" t="s">
        <v>8582</v>
      </c>
      <c r="G440" t="s">
        <v>74</v>
      </c>
      <c r="H440" t="s">
        <v>74</v>
      </c>
      <c r="I440" t="s">
        <v>8583</v>
      </c>
      <c r="J440" t="s">
        <v>8584</v>
      </c>
      <c r="K440" t="s">
        <v>74</v>
      </c>
      <c r="L440" t="s">
        <v>74</v>
      </c>
      <c r="M440" t="s">
        <v>78</v>
      </c>
      <c r="N440" t="s">
        <v>99</v>
      </c>
      <c r="O440" t="s">
        <v>74</v>
      </c>
      <c r="P440" t="s">
        <v>74</v>
      </c>
      <c r="Q440" t="s">
        <v>74</v>
      </c>
      <c r="R440" t="s">
        <v>74</v>
      </c>
      <c r="S440" t="s">
        <v>74</v>
      </c>
      <c r="T440" t="s">
        <v>8585</v>
      </c>
      <c r="U440" t="s">
        <v>8586</v>
      </c>
      <c r="V440" t="s">
        <v>8587</v>
      </c>
      <c r="W440" t="s">
        <v>8588</v>
      </c>
      <c r="X440" t="s">
        <v>8589</v>
      </c>
      <c r="Y440" t="s">
        <v>8590</v>
      </c>
      <c r="Z440" t="s">
        <v>8591</v>
      </c>
      <c r="AA440" t="s">
        <v>8592</v>
      </c>
      <c r="AB440" t="s">
        <v>8593</v>
      </c>
      <c r="AC440" t="s">
        <v>8594</v>
      </c>
      <c r="AD440" t="s">
        <v>8595</v>
      </c>
      <c r="AE440" t="s">
        <v>8596</v>
      </c>
      <c r="AF440" t="s">
        <v>74</v>
      </c>
      <c r="AG440">
        <v>41</v>
      </c>
      <c r="AH440">
        <v>33</v>
      </c>
      <c r="AI440">
        <v>37</v>
      </c>
      <c r="AJ440">
        <v>0</v>
      </c>
      <c r="AK440">
        <v>42</v>
      </c>
      <c r="AL440" t="s">
        <v>1175</v>
      </c>
      <c r="AM440" t="s">
        <v>1176</v>
      </c>
      <c r="AN440" t="s">
        <v>2938</v>
      </c>
      <c r="AO440" t="s">
        <v>8597</v>
      </c>
      <c r="AP440" t="s">
        <v>8598</v>
      </c>
      <c r="AQ440" t="s">
        <v>74</v>
      </c>
      <c r="AR440" t="s">
        <v>8599</v>
      </c>
      <c r="AS440" t="s">
        <v>8600</v>
      </c>
      <c r="AT440" t="s">
        <v>2464</v>
      </c>
      <c r="AU440">
        <v>2015</v>
      </c>
      <c r="AV440">
        <v>502</v>
      </c>
      <c r="AW440" t="s">
        <v>74</v>
      </c>
      <c r="AX440" t="s">
        <v>74</v>
      </c>
      <c r="AY440" t="s">
        <v>74</v>
      </c>
      <c r="AZ440" t="s">
        <v>74</v>
      </c>
      <c r="BA440" t="s">
        <v>74</v>
      </c>
      <c r="BB440">
        <v>375</v>
      </c>
      <c r="BC440">
        <v>384</v>
      </c>
      <c r="BD440" t="s">
        <v>74</v>
      </c>
      <c r="BE440" t="s">
        <v>8601</v>
      </c>
      <c r="BF440" t="str">
        <f>HYPERLINK("http://dx.doi.org/10.1016/j.scitotenv.2014.09.031","http://dx.doi.org/10.1016/j.scitotenv.2014.09.031")</f>
        <v>http://dx.doi.org/10.1016/j.scitotenv.2014.09.031</v>
      </c>
      <c r="BG440" t="s">
        <v>74</v>
      </c>
      <c r="BH440" t="s">
        <v>74</v>
      </c>
      <c r="BI440">
        <v>10</v>
      </c>
      <c r="BJ440" t="s">
        <v>1611</v>
      </c>
      <c r="BK440" t="s">
        <v>91</v>
      </c>
      <c r="BL440" t="s">
        <v>395</v>
      </c>
      <c r="BM440" t="s">
        <v>8602</v>
      </c>
      <c r="BN440">
        <v>25265398</v>
      </c>
      <c r="BO440" t="s">
        <v>2056</v>
      </c>
      <c r="BP440" t="s">
        <v>74</v>
      </c>
      <c r="BQ440" t="s">
        <v>74</v>
      </c>
      <c r="BR440" t="s">
        <v>93</v>
      </c>
      <c r="BS440" t="s">
        <v>8603</v>
      </c>
      <c r="BT440" t="str">
        <f>HYPERLINK("https%3A%2F%2Fwww.webofscience.com%2Fwos%2Fwoscc%2Ffull-record%2FWOS:000345730800040","View Full Record in Web of Science")</f>
        <v>View Full Record in Web of Science</v>
      </c>
    </row>
    <row r="441" spans="1:72" x14ac:dyDescent="0.15">
      <c r="A441" t="s">
        <v>72</v>
      </c>
      <c r="B441" t="s">
        <v>8604</v>
      </c>
      <c r="C441" t="s">
        <v>74</v>
      </c>
      <c r="D441" t="s">
        <v>74</v>
      </c>
      <c r="E441" t="s">
        <v>74</v>
      </c>
      <c r="F441" t="s">
        <v>8605</v>
      </c>
      <c r="G441" t="s">
        <v>74</v>
      </c>
      <c r="H441" t="s">
        <v>74</v>
      </c>
      <c r="I441" t="s">
        <v>8606</v>
      </c>
      <c r="J441" t="s">
        <v>8584</v>
      </c>
      <c r="K441" t="s">
        <v>74</v>
      </c>
      <c r="L441" t="s">
        <v>74</v>
      </c>
      <c r="M441" t="s">
        <v>78</v>
      </c>
      <c r="N441" t="s">
        <v>99</v>
      </c>
      <c r="O441" t="s">
        <v>74</v>
      </c>
      <c r="P441" t="s">
        <v>74</v>
      </c>
      <c r="Q441" t="s">
        <v>74</v>
      </c>
      <c r="R441" t="s">
        <v>74</v>
      </c>
      <c r="S441" t="s">
        <v>74</v>
      </c>
      <c r="T441" t="s">
        <v>8607</v>
      </c>
      <c r="U441" t="s">
        <v>8608</v>
      </c>
      <c r="V441" t="s">
        <v>8609</v>
      </c>
      <c r="W441" t="s">
        <v>8610</v>
      </c>
      <c r="X441" t="s">
        <v>8611</v>
      </c>
      <c r="Y441" t="s">
        <v>8612</v>
      </c>
      <c r="Z441" t="s">
        <v>8613</v>
      </c>
      <c r="AA441" t="s">
        <v>8614</v>
      </c>
      <c r="AB441" t="s">
        <v>8615</v>
      </c>
      <c r="AC441" t="s">
        <v>8616</v>
      </c>
      <c r="AD441" t="s">
        <v>8617</v>
      </c>
      <c r="AE441" t="s">
        <v>8618</v>
      </c>
      <c r="AF441" t="s">
        <v>74</v>
      </c>
      <c r="AG441">
        <v>66</v>
      </c>
      <c r="AH441">
        <v>57</v>
      </c>
      <c r="AI441">
        <v>57</v>
      </c>
      <c r="AJ441">
        <v>1</v>
      </c>
      <c r="AK441">
        <v>44</v>
      </c>
      <c r="AL441" t="s">
        <v>2640</v>
      </c>
      <c r="AM441" t="s">
        <v>1176</v>
      </c>
      <c r="AN441" t="s">
        <v>2641</v>
      </c>
      <c r="AO441" t="s">
        <v>8597</v>
      </c>
      <c r="AP441" t="s">
        <v>8598</v>
      </c>
      <c r="AQ441" t="s">
        <v>74</v>
      </c>
      <c r="AR441" t="s">
        <v>8599</v>
      </c>
      <c r="AS441" t="s">
        <v>8600</v>
      </c>
      <c r="AT441" t="s">
        <v>2464</v>
      </c>
      <c r="AU441">
        <v>2015</v>
      </c>
      <c r="AV441">
        <v>502</v>
      </c>
      <c r="AW441" t="s">
        <v>74</v>
      </c>
      <c r="AX441" t="s">
        <v>74</v>
      </c>
      <c r="AY441" t="s">
        <v>74</v>
      </c>
      <c r="AZ441" t="s">
        <v>74</v>
      </c>
      <c r="BA441" t="s">
        <v>74</v>
      </c>
      <c r="BB441">
        <v>408</v>
      </c>
      <c r="BC441">
        <v>416</v>
      </c>
      <c r="BD441" t="s">
        <v>74</v>
      </c>
      <c r="BE441" t="s">
        <v>8619</v>
      </c>
      <c r="BF441" t="str">
        <f>HYPERLINK("http://dx.doi.org/10.1016/j.scitotenv.2014.09.043","http://dx.doi.org/10.1016/j.scitotenv.2014.09.043")</f>
        <v>http://dx.doi.org/10.1016/j.scitotenv.2014.09.043</v>
      </c>
      <c r="BG441" t="s">
        <v>74</v>
      </c>
      <c r="BH441" t="s">
        <v>74</v>
      </c>
      <c r="BI441">
        <v>9</v>
      </c>
      <c r="BJ441" t="s">
        <v>1611</v>
      </c>
      <c r="BK441" t="s">
        <v>91</v>
      </c>
      <c r="BL441" t="s">
        <v>395</v>
      </c>
      <c r="BM441" t="s">
        <v>8602</v>
      </c>
      <c r="BN441">
        <v>25268570</v>
      </c>
      <c r="BO441" t="s">
        <v>74</v>
      </c>
      <c r="BP441" t="s">
        <v>74</v>
      </c>
      <c r="BQ441" t="s">
        <v>74</v>
      </c>
      <c r="BR441" t="s">
        <v>93</v>
      </c>
      <c r="BS441" t="s">
        <v>8620</v>
      </c>
      <c r="BT441" t="str">
        <f>HYPERLINK("https%3A%2F%2Fwww.webofscience.com%2Fwos%2Fwoscc%2Ffull-record%2FWOS:000345730800044","View Full Record in Web of Science")</f>
        <v>View Full Record in Web of Science</v>
      </c>
    </row>
    <row r="442" spans="1:72" x14ac:dyDescent="0.15">
      <c r="A442" t="s">
        <v>72</v>
      </c>
      <c r="B442" t="s">
        <v>8621</v>
      </c>
      <c r="C442" t="s">
        <v>74</v>
      </c>
      <c r="D442" t="s">
        <v>74</v>
      </c>
      <c r="E442" t="s">
        <v>74</v>
      </c>
      <c r="F442" t="s">
        <v>8622</v>
      </c>
      <c r="G442" t="s">
        <v>74</v>
      </c>
      <c r="H442" t="s">
        <v>74</v>
      </c>
      <c r="I442" t="s">
        <v>8623</v>
      </c>
      <c r="J442" t="s">
        <v>8624</v>
      </c>
      <c r="K442" t="s">
        <v>74</v>
      </c>
      <c r="L442" t="s">
        <v>74</v>
      </c>
      <c r="M442" t="s">
        <v>78</v>
      </c>
      <c r="N442" t="s">
        <v>454</v>
      </c>
      <c r="O442" t="s">
        <v>74</v>
      </c>
      <c r="P442" t="s">
        <v>74</v>
      </c>
      <c r="Q442" t="s">
        <v>74</v>
      </c>
      <c r="R442" t="s">
        <v>74</v>
      </c>
      <c r="S442" t="s">
        <v>74</v>
      </c>
      <c r="T442" t="s">
        <v>8625</v>
      </c>
      <c r="U442" t="s">
        <v>8626</v>
      </c>
      <c r="V442" t="s">
        <v>8627</v>
      </c>
      <c r="W442" t="s">
        <v>8628</v>
      </c>
      <c r="X442" t="s">
        <v>8629</v>
      </c>
      <c r="Y442" t="s">
        <v>8630</v>
      </c>
      <c r="Z442" t="s">
        <v>8631</v>
      </c>
      <c r="AA442" t="s">
        <v>8632</v>
      </c>
      <c r="AB442" t="s">
        <v>8633</v>
      </c>
      <c r="AC442" t="s">
        <v>8634</v>
      </c>
      <c r="AD442" t="s">
        <v>8634</v>
      </c>
      <c r="AE442" t="s">
        <v>8635</v>
      </c>
      <c r="AF442" t="s">
        <v>74</v>
      </c>
      <c r="AG442">
        <v>97</v>
      </c>
      <c r="AH442">
        <v>20</v>
      </c>
      <c r="AI442">
        <v>26</v>
      </c>
      <c r="AJ442">
        <v>4</v>
      </c>
      <c r="AK442">
        <v>158</v>
      </c>
      <c r="AL442" t="s">
        <v>1175</v>
      </c>
      <c r="AM442" t="s">
        <v>1176</v>
      </c>
      <c r="AN442" t="s">
        <v>2938</v>
      </c>
      <c r="AO442" t="s">
        <v>8636</v>
      </c>
      <c r="AP442" t="s">
        <v>8637</v>
      </c>
      <c r="AQ442" t="s">
        <v>74</v>
      </c>
      <c r="AR442" t="s">
        <v>8638</v>
      </c>
      <c r="AS442" t="s">
        <v>8639</v>
      </c>
      <c r="AT442" t="s">
        <v>200</v>
      </c>
      <c r="AU442">
        <v>2015</v>
      </c>
      <c r="AV442">
        <v>161</v>
      </c>
      <c r="AW442" t="s">
        <v>74</v>
      </c>
      <c r="AX442" t="s">
        <v>74</v>
      </c>
      <c r="AY442" t="s">
        <v>74</v>
      </c>
      <c r="AZ442" t="s">
        <v>74</v>
      </c>
      <c r="BA442" t="s">
        <v>74</v>
      </c>
      <c r="BB442">
        <v>42</v>
      </c>
      <c r="BC442">
        <v>56</v>
      </c>
      <c r="BD442" t="s">
        <v>74</v>
      </c>
      <c r="BE442" t="s">
        <v>8640</v>
      </c>
      <c r="BF442" t="str">
        <f>HYPERLINK("http://dx.doi.org/10.1016/j.fishres.2014.06.013","http://dx.doi.org/10.1016/j.fishres.2014.06.013")</f>
        <v>http://dx.doi.org/10.1016/j.fishres.2014.06.013</v>
      </c>
      <c r="BG442" t="s">
        <v>74</v>
      </c>
      <c r="BH442" t="s">
        <v>74</v>
      </c>
      <c r="BI442">
        <v>15</v>
      </c>
      <c r="BJ442" t="s">
        <v>4895</v>
      </c>
      <c r="BK442" t="s">
        <v>91</v>
      </c>
      <c r="BL442" t="s">
        <v>4895</v>
      </c>
      <c r="BM442" t="s">
        <v>8641</v>
      </c>
      <c r="BN442" t="s">
        <v>74</v>
      </c>
      <c r="BO442" t="s">
        <v>74</v>
      </c>
      <c r="BP442" t="s">
        <v>74</v>
      </c>
      <c r="BQ442" t="s">
        <v>74</v>
      </c>
      <c r="BR442" t="s">
        <v>93</v>
      </c>
      <c r="BS442" t="s">
        <v>8642</v>
      </c>
      <c r="BT442" t="str">
        <f>HYPERLINK("https%3A%2F%2Fwww.webofscience.com%2Fwos%2Fwoscc%2Ffull-record%2FWOS:000345478600006","View Full Record in Web of Science")</f>
        <v>View Full Record in Web of Science</v>
      </c>
    </row>
    <row r="443" spans="1:72" x14ac:dyDescent="0.15">
      <c r="A443" t="s">
        <v>72</v>
      </c>
      <c r="B443" t="s">
        <v>8643</v>
      </c>
      <c r="C443" t="s">
        <v>74</v>
      </c>
      <c r="D443" t="s">
        <v>74</v>
      </c>
      <c r="E443" t="s">
        <v>74</v>
      </c>
      <c r="F443" t="s">
        <v>8644</v>
      </c>
      <c r="G443" t="s">
        <v>74</v>
      </c>
      <c r="H443" t="s">
        <v>74</v>
      </c>
      <c r="I443" t="s">
        <v>8645</v>
      </c>
      <c r="J443" t="s">
        <v>8624</v>
      </c>
      <c r="K443" t="s">
        <v>74</v>
      </c>
      <c r="L443" t="s">
        <v>74</v>
      </c>
      <c r="M443" t="s">
        <v>78</v>
      </c>
      <c r="N443" t="s">
        <v>454</v>
      </c>
      <c r="O443" t="s">
        <v>74</v>
      </c>
      <c r="P443" t="s">
        <v>74</v>
      </c>
      <c r="Q443" t="s">
        <v>74</v>
      </c>
      <c r="R443" t="s">
        <v>74</v>
      </c>
      <c r="S443" t="s">
        <v>74</v>
      </c>
      <c r="T443" t="s">
        <v>8646</v>
      </c>
      <c r="U443" t="s">
        <v>8647</v>
      </c>
      <c r="V443" t="s">
        <v>8648</v>
      </c>
      <c r="W443" t="s">
        <v>8649</v>
      </c>
      <c r="X443" t="s">
        <v>383</v>
      </c>
      <c r="Y443" t="s">
        <v>8650</v>
      </c>
      <c r="Z443" t="s">
        <v>8651</v>
      </c>
      <c r="AA443" t="s">
        <v>74</v>
      </c>
      <c r="AB443" t="s">
        <v>8652</v>
      </c>
      <c r="AC443" t="s">
        <v>8653</v>
      </c>
      <c r="AD443" t="s">
        <v>8653</v>
      </c>
      <c r="AE443" t="s">
        <v>8654</v>
      </c>
      <c r="AF443" t="s">
        <v>74</v>
      </c>
      <c r="AG443">
        <v>35</v>
      </c>
      <c r="AH443">
        <v>19</v>
      </c>
      <c r="AI443">
        <v>19</v>
      </c>
      <c r="AJ443">
        <v>1</v>
      </c>
      <c r="AK443">
        <v>32</v>
      </c>
      <c r="AL443" t="s">
        <v>1175</v>
      </c>
      <c r="AM443" t="s">
        <v>1176</v>
      </c>
      <c r="AN443" t="s">
        <v>2938</v>
      </c>
      <c r="AO443" t="s">
        <v>8636</v>
      </c>
      <c r="AP443" t="s">
        <v>8637</v>
      </c>
      <c r="AQ443" t="s">
        <v>74</v>
      </c>
      <c r="AR443" t="s">
        <v>8638</v>
      </c>
      <c r="AS443" t="s">
        <v>8639</v>
      </c>
      <c r="AT443" t="s">
        <v>200</v>
      </c>
      <c r="AU443">
        <v>2015</v>
      </c>
      <c r="AV443">
        <v>161</v>
      </c>
      <c r="AW443" t="s">
        <v>74</v>
      </c>
      <c r="AX443" t="s">
        <v>74</v>
      </c>
      <c r="AY443" t="s">
        <v>74</v>
      </c>
      <c r="AZ443" t="s">
        <v>74</v>
      </c>
      <c r="BA443" t="s">
        <v>74</v>
      </c>
      <c r="BB443">
        <v>200</v>
      </c>
      <c r="BC443">
        <v>206</v>
      </c>
      <c r="BD443" t="s">
        <v>74</v>
      </c>
      <c r="BE443" t="s">
        <v>8655</v>
      </c>
      <c r="BF443" t="str">
        <f>HYPERLINK("http://dx.doi.org/10.1016/j.fishres.2014.07.010","http://dx.doi.org/10.1016/j.fishres.2014.07.010")</f>
        <v>http://dx.doi.org/10.1016/j.fishres.2014.07.010</v>
      </c>
      <c r="BG443" t="s">
        <v>74</v>
      </c>
      <c r="BH443" t="s">
        <v>74</v>
      </c>
      <c r="BI443">
        <v>7</v>
      </c>
      <c r="BJ443" t="s">
        <v>4895</v>
      </c>
      <c r="BK443" t="s">
        <v>91</v>
      </c>
      <c r="BL443" t="s">
        <v>4895</v>
      </c>
      <c r="BM443" t="s">
        <v>8641</v>
      </c>
      <c r="BN443" t="s">
        <v>74</v>
      </c>
      <c r="BO443" t="s">
        <v>74</v>
      </c>
      <c r="BP443" t="s">
        <v>74</v>
      </c>
      <c r="BQ443" t="s">
        <v>74</v>
      </c>
      <c r="BR443" t="s">
        <v>93</v>
      </c>
      <c r="BS443" t="s">
        <v>8656</v>
      </c>
      <c r="BT443" t="str">
        <f>HYPERLINK("https%3A%2F%2Fwww.webofscience.com%2Fwos%2Fwoscc%2Ffull-record%2FWOS:000345478600021","View Full Record in Web of Science")</f>
        <v>View Full Record in Web of Science</v>
      </c>
    </row>
    <row r="444" spans="1:72" x14ac:dyDescent="0.15">
      <c r="A444" t="s">
        <v>72</v>
      </c>
      <c r="B444" t="s">
        <v>8657</v>
      </c>
      <c r="C444" t="s">
        <v>74</v>
      </c>
      <c r="D444" t="s">
        <v>74</v>
      </c>
      <c r="E444" t="s">
        <v>74</v>
      </c>
      <c r="F444" t="s">
        <v>8658</v>
      </c>
      <c r="G444" t="s">
        <v>74</v>
      </c>
      <c r="H444" t="s">
        <v>74</v>
      </c>
      <c r="I444" t="s">
        <v>8659</v>
      </c>
      <c r="J444" t="s">
        <v>8624</v>
      </c>
      <c r="K444" t="s">
        <v>74</v>
      </c>
      <c r="L444" t="s">
        <v>74</v>
      </c>
      <c r="M444" t="s">
        <v>78</v>
      </c>
      <c r="N444" t="s">
        <v>99</v>
      </c>
      <c r="O444" t="s">
        <v>74</v>
      </c>
      <c r="P444" t="s">
        <v>74</v>
      </c>
      <c r="Q444" t="s">
        <v>74</v>
      </c>
      <c r="R444" t="s">
        <v>74</v>
      </c>
      <c r="S444" t="s">
        <v>74</v>
      </c>
      <c r="T444" t="s">
        <v>8660</v>
      </c>
      <c r="U444" t="s">
        <v>8661</v>
      </c>
      <c r="V444" t="s">
        <v>8662</v>
      </c>
      <c r="W444" t="s">
        <v>8663</v>
      </c>
      <c r="X444" t="s">
        <v>8664</v>
      </c>
      <c r="Y444" t="s">
        <v>8665</v>
      </c>
      <c r="Z444" t="s">
        <v>8666</v>
      </c>
      <c r="AA444" t="s">
        <v>8667</v>
      </c>
      <c r="AB444" t="s">
        <v>8668</v>
      </c>
      <c r="AC444" t="s">
        <v>8669</v>
      </c>
      <c r="AD444" t="s">
        <v>8670</v>
      </c>
      <c r="AE444" t="s">
        <v>8671</v>
      </c>
      <c r="AF444" t="s">
        <v>74</v>
      </c>
      <c r="AG444">
        <v>38</v>
      </c>
      <c r="AH444">
        <v>24</v>
      </c>
      <c r="AI444">
        <v>26</v>
      </c>
      <c r="AJ444">
        <v>0</v>
      </c>
      <c r="AK444">
        <v>28</v>
      </c>
      <c r="AL444" t="s">
        <v>1175</v>
      </c>
      <c r="AM444" t="s">
        <v>1176</v>
      </c>
      <c r="AN444" t="s">
        <v>2938</v>
      </c>
      <c r="AO444" t="s">
        <v>8636</v>
      </c>
      <c r="AP444" t="s">
        <v>8637</v>
      </c>
      <c r="AQ444" t="s">
        <v>74</v>
      </c>
      <c r="AR444" t="s">
        <v>8638</v>
      </c>
      <c r="AS444" t="s">
        <v>8639</v>
      </c>
      <c r="AT444" t="s">
        <v>200</v>
      </c>
      <c r="AU444">
        <v>2015</v>
      </c>
      <c r="AV444">
        <v>161</v>
      </c>
      <c r="AW444" t="s">
        <v>74</v>
      </c>
      <c r="AX444" t="s">
        <v>74</v>
      </c>
      <c r="AY444" t="s">
        <v>74</v>
      </c>
      <c r="AZ444" t="s">
        <v>74</v>
      </c>
      <c r="BA444" t="s">
        <v>74</v>
      </c>
      <c r="BB444">
        <v>285</v>
      </c>
      <c r="BC444">
        <v>292</v>
      </c>
      <c r="BD444" t="s">
        <v>74</v>
      </c>
      <c r="BE444" t="s">
        <v>8672</v>
      </c>
      <c r="BF444" t="str">
        <f>HYPERLINK("http://dx.doi.org/10.1016/j.fishres.2014.08.015","http://dx.doi.org/10.1016/j.fishres.2014.08.015")</f>
        <v>http://dx.doi.org/10.1016/j.fishres.2014.08.015</v>
      </c>
      <c r="BG444" t="s">
        <v>74</v>
      </c>
      <c r="BH444" t="s">
        <v>74</v>
      </c>
      <c r="BI444">
        <v>8</v>
      </c>
      <c r="BJ444" t="s">
        <v>4895</v>
      </c>
      <c r="BK444" t="s">
        <v>157</v>
      </c>
      <c r="BL444" t="s">
        <v>4895</v>
      </c>
      <c r="BM444" t="s">
        <v>8641</v>
      </c>
      <c r="BN444" t="s">
        <v>74</v>
      </c>
      <c r="BO444" t="s">
        <v>74</v>
      </c>
      <c r="BP444" t="s">
        <v>74</v>
      </c>
      <c r="BQ444" t="s">
        <v>74</v>
      </c>
      <c r="BR444" t="s">
        <v>93</v>
      </c>
      <c r="BS444" t="s">
        <v>8673</v>
      </c>
      <c r="BT444" t="str">
        <f>HYPERLINK("https%3A%2F%2Fwww.webofscience.com%2Fwos%2Fwoscc%2Ffull-record%2FWOS:000345478600032","View Full Record in Web of Science")</f>
        <v>View Full Record in Web of Science</v>
      </c>
    </row>
    <row r="445" spans="1:72" x14ac:dyDescent="0.15">
      <c r="A445" t="s">
        <v>72</v>
      </c>
      <c r="B445" t="s">
        <v>8674</v>
      </c>
      <c r="C445" t="s">
        <v>74</v>
      </c>
      <c r="D445" t="s">
        <v>74</v>
      </c>
      <c r="E445" t="s">
        <v>74</v>
      </c>
      <c r="F445" t="s">
        <v>8675</v>
      </c>
      <c r="G445" t="s">
        <v>74</v>
      </c>
      <c r="H445" t="s">
        <v>74</v>
      </c>
      <c r="I445" t="s">
        <v>8676</v>
      </c>
      <c r="J445" t="s">
        <v>7561</v>
      </c>
      <c r="K445" t="s">
        <v>74</v>
      </c>
      <c r="L445" t="s">
        <v>74</v>
      </c>
      <c r="M445" t="s">
        <v>78</v>
      </c>
      <c r="N445" t="s">
        <v>99</v>
      </c>
      <c r="O445" t="s">
        <v>74</v>
      </c>
      <c r="P445" t="s">
        <v>74</v>
      </c>
      <c r="Q445" t="s">
        <v>74</v>
      </c>
      <c r="R445" t="s">
        <v>74</v>
      </c>
      <c r="S445" t="s">
        <v>74</v>
      </c>
      <c r="T445" t="s">
        <v>8677</v>
      </c>
      <c r="U445" t="s">
        <v>8678</v>
      </c>
      <c r="V445" t="s">
        <v>8679</v>
      </c>
      <c r="W445" t="s">
        <v>8680</v>
      </c>
      <c r="X445" t="s">
        <v>8681</v>
      </c>
      <c r="Y445" t="s">
        <v>8682</v>
      </c>
      <c r="Z445" t="s">
        <v>8683</v>
      </c>
      <c r="AA445" t="s">
        <v>7569</v>
      </c>
      <c r="AB445" t="s">
        <v>7570</v>
      </c>
      <c r="AC445" t="s">
        <v>8684</v>
      </c>
      <c r="AD445" t="s">
        <v>8685</v>
      </c>
      <c r="AE445" t="s">
        <v>8686</v>
      </c>
      <c r="AF445" t="s">
        <v>74</v>
      </c>
      <c r="AG445">
        <v>60</v>
      </c>
      <c r="AH445">
        <v>38</v>
      </c>
      <c r="AI445">
        <v>40</v>
      </c>
      <c r="AJ445">
        <v>2</v>
      </c>
      <c r="AK445">
        <v>68</v>
      </c>
      <c r="AL445" t="s">
        <v>2006</v>
      </c>
      <c r="AM445" t="s">
        <v>2007</v>
      </c>
      <c r="AN445" t="s">
        <v>2008</v>
      </c>
      <c r="AO445" t="s">
        <v>7574</v>
      </c>
      <c r="AP445" t="s">
        <v>7575</v>
      </c>
      <c r="AQ445" t="s">
        <v>74</v>
      </c>
      <c r="AR445" t="s">
        <v>7576</v>
      </c>
      <c r="AS445" t="s">
        <v>7577</v>
      </c>
      <c r="AT445" t="s">
        <v>200</v>
      </c>
      <c r="AU445">
        <v>2015</v>
      </c>
      <c r="AV445">
        <v>205</v>
      </c>
      <c r="AW445">
        <v>1</v>
      </c>
      <c r="AX445" t="s">
        <v>74</v>
      </c>
      <c r="AY445" t="s">
        <v>74</v>
      </c>
      <c r="AZ445" t="s">
        <v>74</v>
      </c>
      <c r="BA445" t="s">
        <v>74</v>
      </c>
      <c r="BB445">
        <v>182</v>
      </c>
      <c r="BC445">
        <v>191</v>
      </c>
      <c r="BD445" t="s">
        <v>74</v>
      </c>
      <c r="BE445" t="s">
        <v>8687</v>
      </c>
      <c r="BF445" t="str">
        <f>HYPERLINK("http://dx.doi.org/10.1111/nph.13125","http://dx.doi.org/10.1111/nph.13125")</f>
        <v>http://dx.doi.org/10.1111/nph.13125</v>
      </c>
      <c r="BG445" t="s">
        <v>74</v>
      </c>
      <c r="BH445" t="s">
        <v>74</v>
      </c>
      <c r="BI445">
        <v>10</v>
      </c>
      <c r="BJ445" t="s">
        <v>1015</v>
      </c>
      <c r="BK445" t="s">
        <v>91</v>
      </c>
      <c r="BL445" t="s">
        <v>1015</v>
      </c>
      <c r="BM445" t="s">
        <v>7579</v>
      </c>
      <c r="BN445">
        <v>25382393</v>
      </c>
      <c r="BO445" t="s">
        <v>2858</v>
      </c>
      <c r="BP445" t="s">
        <v>74</v>
      </c>
      <c r="BQ445" t="s">
        <v>74</v>
      </c>
      <c r="BR445" t="s">
        <v>93</v>
      </c>
      <c r="BS445" t="s">
        <v>8688</v>
      </c>
      <c r="BT445" t="str">
        <f>HYPERLINK("https%3A%2F%2Fwww.webofscience.com%2Fwos%2Fwoscc%2Ffull-record%2FWOS:000345596700021","View Full Record in Web of Science")</f>
        <v>View Full Record in Web of Science</v>
      </c>
    </row>
    <row r="446" spans="1:72" x14ac:dyDescent="0.15">
      <c r="A446" t="s">
        <v>72</v>
      </c>
      <c r="B446" t="s">
        <v>8689</v>
      </c>
      <c r="C446" t="s">
        <v>74</v>
      </c>
      <c r="D446" t="s">
        <v>74</v>
      </c>
      <c r="E446" t="s">
        <v>74</v>
      </c>
      <c r="F446" t="s">
        <v>8690</v>
      </c>
      <c r="G446" t="s">
        <v>74</v>
      </c>
      <c r="H446" t="s">
        <v>74</v>
      </c>
      <c r="I446" t="s">
        <v>8691</v>
      </c>
      <c r="J446" t="s">
        <v>7561</v>
      </c>
      <c r="K446" t="s">
        <v>74</v>
      </c>
      <c r="L446" t="s">
        <v>74</v>
      </c>
      <c r="M446" t="s">
        <v>78</v>
      </c>
      <c r="N446" t="s">
        <v>99</v>
      </c>
      <c r="O446" t="s">
        <v>74</v>
      </c>
      <c r="P446" t="s">
        <v>74</v>
      </c>
      <c r="Q446" t="s">
        <v>74</v>
      </c>
      <c r="R446" t="s">
        <v>74</v>
      </c>
      <c r="S446" t="s">
        <v>74</v>
      </c>
      <c r="T446" t="s">
        <v>8692</v>
      </c>
      <c r="U446" t="s">
        <v>8693</v>
      </c>
      <c r="V446" t="s">
        <v>8694</v>
      </c>
      <c r="W446" t="s">
        <v>8695</v>
      </c>
      <c r="X446" t="s">
        <v>8696</v>
      </c>
      <c r="Y446" t="s">
        <v>8697</v>
      </c>
      <c r="Z446" t="s">
        <v>8698</v>
      </c>
      <c r="AA446" t="s">
        <v>7569</v>
      </c>
      <c r="AB446" t="s">
        <v>7570</v>
      </c>
      <c r="AC446" t="s">
        <v>8699</v>
      </c>
      <c r="AD446" t="s">
        <v>8700</v>
      </c>
      <c r="AE446" t="s">
        <v>8701</v>
      </c>
      <c r="AF446" t="s">
        <v>74</v>
      </c>
      <c r="AG446">
        <v>56</v>
      </c>
      <c r="AH446">
        <v>49</v>
      </c>
      <c r="AI446">
        <v>54</v>
      </c>
      <c r="AJ446">
        <v>5</v>
      </c>
      <c r="AK446">
        <v>76</v>
      </c>
      <c r="AL446" t="s">
        <v>2006</v>
      </c>
      <c r="AM446" t="s">
        <v>2007</v>
      </c>
      <c r="AN446" t="s">
        <v>2008</v>
      </c>
      <c r="AO446" t="s">
        <v>7574</v>
      </c>
      <c r="AP446" t="s">
        <v>7575</v>
      </c>
      <c r="AQ446" t="s">
        <v>74</v>
      </c>
      <c r="AR446" t="s">
        <v>7576</v>
      </c>
      <c r="AS446" t="s">
        <v>7577</v>
      </c>
      <c r="AT446" t="s">
        <v>200</v>
      </c>
      <c r="AU446">
        <v>2015</v>
      </c>
      <c r="AV446">
        <v>205</v>
      </c>
      <c r="AW446">
        <v>1</v>
      </c>
      <c r="AX446" t="s">
        <v>74</v>
      </c>
      <c r="AY446" t="s">
        <v>74</v>
      </c>
      <c r="AZ446" t="s">
        <v>74</v>
      </c>
      <c r="BA446" t="s">
        <v>74</v>
      </c>
      <c r="BB446">
        <v>192</v>
      </c>
      <c r="BC446">
        <v>201</v>
      </c>
      <c r="BD446" t="s">
        <v>74</v>
      </c>
      <c r="BE446" t="s">
        <v>8702</v>
      </c>
      <c r="BF446" t="str">
        <f>HYPERLINK("http://dx.doi.org/10.1111/nph.12976","http://dx.doi.org/10.1111/nph.12976")</f>
        <v>http://dx.doi.org/10.1111/nph.12976</v>
      </c>
      <c r="BG446" t="s">
        <v>74</v>
      </c>
      <c r="BH446" t="s">
        <v>74</v>
      </c>
      <c r="BI446">
        <v>10</v>
      </c>
      <c r="BJ446" t="s">
        <v>1015</v>
      </c>
      <c r="BK446" t="s">
        <v>91</v>
      </c>
      <c r="BL446" t="s">
        <v>1015</v>
      </c>
      <c r="BM446" t="s">
        <v>7579</v>
      </c>
      <c r="BN446">
        <v>25308897</v>
      </c>
      <c r="BO446" t="s">
        <v>375</v>
      </c>
      <c r="BP446" t="s">
        <v>74</v>
      </c>
      <c r="BQ446" t="s">
        <v>74</v>
      </c>
      <c r="BR446" t="s">
        <v>93</v>
      </c>
      <c r="BS446" t="s">
        <v>8703</v>
      </c>
      <c r="BT446" t="str">
        <f>HYPERLINK("https%3A%2F%2Fwww.webofscience.com%2Fwos%2Fwoscc%2Ffull-record%2FWOS:000345596700022","View Full Record in Web of Science")</f>
        <v>View Full Record in Web of Science</v>
      </c>
    </row>
    <row r="447" spans="1:72" x14ac:dyDescent="0.15">
      <c r="A447" t="s">
        <v>72</v>
      </c>
      <c r="B447" t="s">
        <v>8704</v>
      </c>
      <c r="C447" t="s">
        <v>74</v>
      </c>
      <c r="D447" t="s">
        <v>74</v>
      </c>
      <c r="E447" t="s">
        <v>74</v>
      </c>
      <c r="F447" t="s">
        <v>8705</v>
      </c>
      <c r="G447" t="s">
        <v>74</v>
      </c>
      <c r="H447" t="s">
        <v>74</v>
      </c>
      <c r="I447" t="s">
        <v>8706</v>
      </c>
      <c r="J447" t="s">
        <v>8707</v>
      </c>
      <c r="K447" t="s">
        <v>74</v>
      </c>
      <c r="L447" t="s">
        <v>74</v>
      </c>
      <c r="M447" t="s">
        <v>78</v>
      </c>
      <c r="N447" t="s">
        <v>99</v>
      </c>
      <c r="O447" t="s">
        <v>74</v>
      </c>
      <c r="P447" t="s">
        <v>74</v>
      </c>
      <c r="Q447" t="s">
        <v>74</v>
      </c>
      <c r="R447" t="s">
        <v>74</v>
      </c>
      <c r="S447" t="s">
        <v>74</v>
      </c>
      <c r="T447" t="s">
        <v>8708</v>
      </c>
      <c r="U447" t="s">
        <v>8709</v>
      </c>
      <c r="V447" t="s">
        <v>8710</v>
      </c>
      <c r="W447" t="s">
        <v>8711</v>
      </c>
      <c r="X447" t="s">
        <v>8712</v>
      </c>
      <c r="Y447" t="s">
        <v>8713</v>
      </c>
      <c r="Z447" t="s">
        <v>8714</v>
      </c>
      <c r="AA447" t="s">
        <v>8715</v>
      </c>
      <c r="AB447" t="s">
        <v>74</v>
      </c>
      <c r="AC447" t="s">
        <v>74</v>
      </c>
      <c r="AD447" t="s">
        <v>74</v>
      </c>
      <c r="AE447" t="s">
        <v>74</v>
      </c>
      <c r="AF447" t="s">
        <v>74</v>
      </c>
      <c r="AG447">
        <v>35</v>
      </c>
      <c r="AH447">
        <v>57</v>
      </c>
      <c r="AI447">
        <v>62</v>
      </c>
      <c r="AJ447">
        <v>1</v>
      </c>
      <c r="AK447">
        <v>51</v>
      </c>
      <c r="AL447" t="s">
        <v>2458</v>
      </c>
      <c r="AM447" t="s">
        <v>1411</v>
      </c>
      <c r="AN447" t="s">
        <v>2459</v>
      </c>
      <c r="AO447" t="s">
        <v>8716</v>
      </c>
      <c r="AP447" t="s">
        <v>8717</v>
      </c>
      <c r="AQ447" t="s">
        <v>74</v>
      </c>
      <c r="AR447" t="s">
        <v>8707</v>
      </c>
      <c r="AS447" t="s">
        <v>8718</v>
      </c>
      <c r="AT447" t="s">
        <v>200</v>
      </c>
      <c r="AU447">
        <v>2015</v>
      </c>
      <c r="AV447">
        <v>47</v>
      </c>
      <c r="AW447" t="s">
        <v>74</v>
      </c>
      <c r="AX447" t="s">
        <v>74</v>
      </c>
      <c r="AY447" t="s">
        <v>74</v>
      </c>
      <c r="AZ447" t="s">
        <v>74</v>
      </c>
      <c r="BA447" t="s">
        <v>74</v>
      </c>
      <c r="BB447">
        <v>436</v>
      </c>
      <c r="BC447">
        <v>443</v>
      </c>
      <c r="BD447" t="s">
        <v>74</v>
      </c>
      <c r="BE447" t="s">
        <v>8719</v>
      </c>
      <c r="BF447" t="str">
        <f>HYPERLINK("http://dx.doi.org/10.1016/j.foodcont.2014.07.039","http://dx.doi.org/10.1016/j.foodcont.2014.07.039")</f>
        <v>http://dx.doi.org/10.1016/j.foodcont.2014.07.039</v>
      </c>
      <c r="BG447" t="s">
        <v>74</v>
      </c>
      <c r="BH447" t="s">
        <v>74</v>
      </c>
      <c r="BI447">
        <v>8</v>
      </c>
      <c r="BJ447" t="s">
        <v>5435</v>
      </c>
      <c r="BK447" t="s">
        <v>91</v>
      </c>
      <c r="BL447" t="s">
        <v>5435</v>
      </c>
      <c r="BM447" t="s">
        <v>8720</v>
      </c>
      <c r="BN447" t="s">
        <v>74</v>
      </c>
      <c r="BO447" t="s">
        <v>74</v>
      </c>
      <c r="BP447" t="s">
        <v>74</v>
      </c>
      <c r="BQ447" t="s">
        <v>74</v>
      </c>
      <c r="BR447" t="s">
        <v>93</v>
      </c>
      <c r="BS447" t="s">
        <v>8721</v>
      </c>
      <c r="BT447" t="str">
        <f>HYPERLINK("https%3A%2F%2Fwww.webofscience.com%2Fwos%2Fwoscc%2Ffull-record%2FWOS:000343612700062","View Full Record in Web of Science")</f>
        <v>View Full Record in Web of Science</v>
      </c>
    </row>
    <row r="448" spans="1:72" x14ac:dyDescent="0.15">
      <c r="A448" t="s">
        <v>72</v>
      </c>
      <c r="B448" t="s">
        <v>8722</v>
      </c>
      <c r="C448" t="s">
        <v>74</v>
      </c>
      <c r="D448" t="s">
        <v>74</v>
      </c>
      <c r="E448" t="s">
        <v>74</v>
      </c>
      <c r="F448" t="s">
        <v>8723</v>
      </c>
      <c r="G448" t="s">
        <v>74</v>
      </c>
      <c r="H448" t="s">
        <v>74</v>
      </c>
      <c r="I448" t="s">
        <v>8724</v>
      </c>
      <c r="J448" t="s">
        <v>8725</v>
      </c>
      <c r="K448" t="s">
        <v>74</v>
      </c>
      <c r="L448" t="s">
        <v>74</v>
      </c>
      <c r="M448" t="s">
        <v>78</v>
      </c>
      <c r="N448" t="s">
        <v>99</v>
      </c>
      <c r="O448" t="s">
        <v>74</v>
      </c>
      <c r="P448" t="s">
        <v>74</v>
      </c>
      <c r="Q448" t="s">
        <v>74</v>
      </c>
      <c r="R448" t="s">
        <v>74</v>
      </c>
      <c r="S448" t="s">
        <v>74</v>
      </c>
      <c r="T448" t="s">
        <v>8726</v>
      </c>
      <c r="U448" t="s">
        <v>8727</v>
      </c>
      <c r="V448" t="s">
        <v>8728</v>
      </c>
      <c r="W448" t="s">
        <v>8729</v>
      </c>
      <c r="X448" t="s">
        <v>8730</v>
      </c>
      <c r="Y448" t="s">
        <v>8731</v>
      </c>
      <c r="Z448" t="s">
        <v>8732</v>
      </c>
      <c r="AA448" t="s">
        <v>74</v>
      </c>
      <c r="AB448" t="s">
        <v>8733</v>
      </c>
      <c r="AC448" t="s">
        <v>8734</v>
      </c>
      <c r="AD448" t="s">
        <v>8735</v>
      </c>
      <c r="AE448" t="s">
        <v>8736</v>
      </c>
      <c r="AF448" t="s">
        <v>74</v>
      </c>
      <c r="AG448">
        <v>57</v>
      </c>
      <c r="AH448">
        <v>14</v>
      </c>
      <c r="AI448">
        <v>19</v>
      </c>
      <c r="AJ448">
        <v>0</v>
      </c>
      <c r="AK448">
        <v>22</v>
      </c>
      <c r="AL448" t="s">
        <v>6470</v>
      </c>
      <c r="AM448" t="s">
        <v>6471</v>
      </c>
      <c r="AN448" t="s">
        <v>6472</v>
      </c>
      <c r="AO448" t="s">
        <v>8737</v>
      </c>
      <c r="AP448" t="s">
        <v>8738</v>
      </c>
      <c r="AQ448" t="s">
        <v>74</v>
      </c>
      <c r="AR448" t="s">
        <v>8739</v>
      </c>
      <c r="AS448" t="s">
        <v>8740</v>
      </c>
      <c r="AT448" t="s">
        <v>200</v>
      </c>
      <c r="AU448">
        <v>2015</v>
      </c>
      <c r="AV448">
        <v>53</v>
      </c>
      <c r="AW448">
        <v>1</v>
      </c>
      <c r="AX448" t="s">
        <v>74</v>
      </c>
      <c r="AY448" t="s">
        <v>74</v>
      </c>
      <c r="AZ448" t="s">
        <v>74</v>
      </c>
      <c r="BA448" t="s">
        <v>74</v>
      </c>
      <c r="BB448">
        <v>51</v>
      </c>
      <c r="BC448">
        <v>69</v>
      </c>
      <c r="BD448" t="s">
        <v>74</v>
      </c>
      <c r="BE448" t="s">
        <v>8741</v>
      </c>
      <c r="BF448" t="str">
        <f>HYPERLINK("http://dx.doi.org/10.1109/TGRS.2014.2318208","http://dx.doi.org/10.1109/TGRS.2014.2318208")</f>
        <v>http://dx.doi.org/10.1109/TGRS.2014.2318208</v>
      </c>
      <c r="BG448" t="s">
        <v>74</v>
      </c>
      <c r="BH448" t="s">
        <v>74</v>
      </c>
      <c r="BI448">
        <v>19</v>
      </c>
      <c r="BJ448" t="s">
        <v>8742</v>
      </c>
      <c r="BK448" t="s">
        <v>91</v>
      </c>
      <c r="BL448" t="s">
        <v>8743</v>
      </c>
      <c r="BM448" t="s">
        <v>8744</v>
      </c>
      <c r="BN448" t="s">
        <v>74</v>
      </c>
      <c r="BO448" t="s">
        <v>74</v>
      </c>
      <c r="BP448" t="s">
        <v>74</v>
      </c>
      <c r="BQ448" t="s">
        <v>74</v>
      </c>
      <c r="BR448" t="s">
        <v>93</v>
      </c>
      <c r="BS448" t="s">
        <v>8745</v>
      </c>
      <c r="BT448" t="str">
        <f>HYPERLINK("https%3A%2F%2Fwww.webofscience.com%2Fwos%2Fwoscc%2Ffull-record%2FWOS:000341536700005","View Full Record in Web of Science")</f>
        <v>View Full Record in Web of Science</v>
      </c>
    </row>
    <row r="449" spans="1:72" x14ac:dyDescent="0.15">
      <c r="A449" t="s">
        <v>72</v>
      </c>
      <c r="B449" t="s">
        <v>8746</v>
      </c>
      <c r="C449" t="s">
        <v>74</v>
      </c>
      <c r="D449" t="s">
        <v>74</v>
      </c>
      <c r="E449" t="s">
        <v>74</v>
      </c>
      <c r="F449" t="s">
        <v>8747</v>
      </c>
      <c r="G449" t="s">
        <v>74</v>
      </c>
      <c r="H449" t="s">
        <v>74</v>
      </c>
      <c r="I449" t="s">
        <v>8748</v>
      </c>
      <c r="J449" t="s">
        <v>8725</v>
      </c>
      <c r="K449" t="s">
        <v>74</v>
      </c>
      <c r="L449" t="s">
        <v>74</v>
      </c>
      <c r="M449" t="s">
        <v>78</v>
      </c>
      <c r="N449" t="s">
        <v>99</v>
      </c>
      <c r="O449" t="s">
        <v>74</v>
      </c>
      <c r="P449" t="s">
        <v>74</v>
      </c>
      <c r="Q449" t="s">
        <v>74</v>
      </c>
      <c r="R449" t="s">
        <v>74</v>
      </c>
      <c r="S449" t="s">
        <v>74</v>
      </c>
      <c r="T449" t="s">
        <v>8749</v>
      </c>
      <c r="U449" t="s">
        <v>8750</v>
      </c>
      <c r="V449" t="s">
        <v>8751</v>
      </c>
      <c r="W449" t="s">
        <v>8752</v>
      </c>
      <c r="X449" t="s">
        <v>8753</v>
      </c>
      <c r="Y449" t="s">
        <v>8754</v>
      </c>
      <c r="Z449" t="s">
        <v>74</v>
      </c>
      <c r="AA449" t="s">
        <v>8755</v>
      </c>
      <c r="AB449" t="s">
        <v>8756</v>
      </c>
      <c r="AC449" t="s">
        <v>8757</v>
      </c>
      <c r="AD449" t="s">
        <v>8757</v>
      </c>
      <c r="AE449" t="s">
        <v>8758</v>
      </c>
      <c r="AF449" t="s">
        <v>74</v>
      </c>
      <c r="AG449">
        <v>29</v>
      </c>
      <c r="AH449">
        <v>50</v>
      </c>
      <c r="AI449">
        <v>55</v>
      </c>
      <c r="AJ449">
        <v>0</v>
      </c>
      <c r="AK449">
        <v>21</v>
      </c>
      <c r="AL449" t="s">
        <v>6470</v>
      </c>
      <c r="AM449" t="s">
        <v>6471</v>
      </c>
      <c r="AN449" t="s">
        <v>6472</v>
      </c>
      <c r="AO449" t="s">
        <v>8737</v>
      </c>
      <c r="AP449" t="s">
        <v>8738</v>
      </c>
      <c r="AQ449" t="s">
        <v>74</v>
      </c>
      <c r="AR449" t="s">
        <v>8739</v>
      </c>
      <c r="AS449" t="s">
        <v>8740</v>
      </c>
      <c r="AT449" t="s">
        <v>200</v>
      </c>
      <c r="AU449">
        <v>2015</v>
      </c>
      <c r="AV449">
        <v>53</v>
      </c>
      <c r="AW449">
        <v>1</v>
      </c>
      <c r="AX449" t="s">
        <v>74</v>
      </c>
      <c r="AY449" t="s">
        <v>74</v>
      </c>
      <c r="AZ449" t="s">
        <v>74</v>
      </c>
      <c r="BA449" t="s">
        <v>74</v>
      </c>
      <c r="BB449">
        <v>134</v>
      </c>
      <c r="BC449">
        <v>143</v>
      </c>
      <c r="BD449" t="s">
        <v>74</v>
      </c>
      <c r="BE449" t="s">
        <v>8759</v>
      </c>
      <c r="BF449" t="str">
        <f>HYPERLINK("http://dx.doi.org/10.1109/TGRS.2014.2319265","http://dx.doi.org/10.1109/TGRS.2014.2319265")</f>
        <v>http://dx.doi.org/10.1109/TGRS.2014.2319265</v>
      </c>
      <c r="BG449" t="s">
        <v>74</v>
      </c>
      <c r="BH449" t="s">
        <v>74</v>
      </c>
      <c r="BI449">
        <v>10</v>
      </c>
      <c r="BJ449" t="s">
        <v>8742</v>
      </c>
      <c r="BK449" t="s">
        <v>91</v>
      </c>
      <c r="BL449" t="s">
        <v>8743</v>
      </c>
      <c r="BM449" t="s">
        <v>8744</v>
      </c>
      <c r="BN449" t="s">
        <v>74</v>
      </c>
      <c r="BO449" t="s">
        <v>74</v>
      </c>
      <c r="BP449" t="s">
        <v>74</v>
      </c>
      <c r="BQ449" t="s">
        <v>74</v>
      </c>
      <c r="BR449" t="s">
        <v>93</v>
      </c>
      <c r="BS449" t="s">
        <v>8760</v>
      </c>
      <c r="BT449" t="str">
        <f>HYPERLINK("https%3A%2F%2Fwww.webofscience.com%2Fwos%2Fwoscc%2Ffull-record%2FWOS:000341536700010","View Full Record in Web of Science")</f>
        <v>View Full Record in Web of Science</v>
      </c>
    </row>
    <row r="450" spans="1:72" x14ac:dyDescent="0.15">
      <c r="A450" t="s">
        <v>72</v>
      </c>
      <c r="B450" t="s">
        <v>8761</v>
      </c>
      <c r="C450" t="s">
        <v>74</v>
      </c>
      <c r="D450" t="s">
        <v>74</v>
      </c>
      <c r="E450" t="s">
        <v>74</v>
      </c>
      <c r="F450" t="s">
        <v>8762</v>
      </c>
      <c r="G450" t="s">
        <v>74</v>
      </c>
      <c r="H450" t="s">
        <v>74</v>
      </c>
      <c r="I450" t="s">
        <v>8763</v>
      </c>
      <c r="J450" t="s">
        <v>8764</v>
      </c>
      <c r="K450" t="s">
        <v>74</v>
      </c>
      <c r="L450" t="s">
        <v>74</v>
      </c>
      <c r="M450" t="s">
        <v>78</v>
      </c>
      <c r="N450" t="s">
        <v>99</v>
      </c>
      <c r="O450" t="s">
        <v>74</v>
      </c>
      <c r="P450" t="s">
        <v>74</v>
      </c>
      <c r="Q450" t="s">
        <v>74</v>
      </c>
      <c r="R450" t="s">
        <v>74</v>
      </c>
      <c r="S450" t="s">
        <v>74</v>
      </c>
      <c r="T450" t="s">
        <v>8765</v>
      </c>
      <c r="U450" t="s">
        <v>8766</v>
      </c>
      <c r="V450" t="s">
        <v>8767</v>
      </c>
      <c r="W450" t="s">
        <v>8768</v>
      </c>
      <c r="X450" t="s">
        <v>8769</v>
      </c>
      <c r="Y450" t="s">
        <v>8770</v>
      </c>
      <c r="Z450" t="s">
        <v>8771</v>
      </c>
      <c r="AA450" t="s">
        <v>8772</v>
      </c>
      <c r="AB450" t="s">
        <v>74</v>
      </c>
      <c r="AC450" t="s">
        <v>8773</v>
      </c>
      <c r="AD450" t="s">
        <v>8774</v>
      </c>
      <c r="AE450" t="s">
        <v>8775</v>
      </c>
      <c r="AF450" t="s">
        <v>74</v>
      </c>
      <c r="AG450">
        <v>45</v>
      </c>
      <c r="AH450">
        <v>6</v>
      </c>
      <c r="AI450">
        <v>6</v>
      </c>
      <c r="AJ450">
        <v>0</v>
      </c>
      <c r="AK450">
        <v>6</v>
      </c>
      <c r="AL450" t="s">
        <v>8776</v>
      </c>
      <c r="AM450" t="s">
        <v>8777</v>
      </c>
      <c r="AN450" t="s">
        <v>8778</v>
      </c>
      <c r="AO450" t="s">
        <v>74</v>
      </c>
      <c r="AP450" t="s">
        <v>8779</v>
      </c>
      <c r="AQ450" t="s">
        <v>74</v>
      </c>
      <c r="AR450" t="s">
        <v>8780</v>
      </c>
      <c r="AS450" t="s">
        <v>8781</v>
      </c>
      <c r="AT450" t="s">
        <v>8782</v>
      </c>
      <c r="AU450">
        <v>2014</v>
      </c>
      <c r="AV450">
        <v>69</v>
      </c>
      <c r="AW450">
        <v>2</v>
      </c>
      <c r="AX450" t="s">
        <v>74</v>
      </c>
      <c r="AY450" t="s">
        <v>74</v>
      </c>
      <c r="AZ450" t="s">
        <v>74</v>
      </c>
      <c r="BA450" t="s">
        <v>74</v>
      </c>
      <c r="BB450">
        <v>465</v>
      </c>
      <c r="BC450">
        <v>477</v>
      </c>
      <c r="BD450" t="s">
        <v>74</v>
      </c>
      <c r="BE450" t="s">
        <v>74</v>
      </c>
      <c r="BF450" t="s">
        <v>74</v>
      </c>
      <c r="BG450" t="s">
        <v>74</v>
      </c>
      <c r="BH450" t="s">
        <v>74</v>
      </c>
      <c r="BI450">
        <v>13</v>
      </c>
      <c r="BJ450" t="s">
        <v>1015</v>
      </c>
      <c r="BK450" t="s">
        <v>91</v>
      </c>
      <c r="BL450" t="s">
        <v>1015</v>
      </c>
      <c r="BM450" t="s">
        <v>8783</v>
      </c>
      <c r="BN450" t="s">
        <v>74</v>
      </c>
      <c r="BO450" t="s">
        <v>74</v>
      </c>
      <c r="BP450" t="s">
        <v>74</v>
      </c>
      <c r="BQ450" t="s">
        <v>74</v>
      </c>
      <c r="BR450" t="s">
        <v>93</v>
      </c>
      <c r="BS450" t="s">
        <v>8784</v>
      </c>
      <c r="BT450" t="str">
        <f>HYPERLINK("https%3A%2F%2Fwww.webofscience.com%2Fwos%2Fwoscc%2Ffull-record%2FWOS:000351253000022","View Full Record in Web of Science")</f>
        <v>View Full Record in Web of Science</v>
      </c>
    </row>
    <row r="451" spans="1:72" x14ac:dyDescent="0.15">
      <c r="A451" t="s">
        <v>72</v>
      </c>
      <c r="B451" t="s">
        <v>8785</v>
      </c>
      <c r="C451" t="s">
        <v>74</v>
      </c>
      <c r="D451" t="s">
        <v>74</v>
      </c>
      <c r="E451" t="s">
        <v>74</v>
      </c>
      <c r="F451" t="s">
        <v>8786</v>
      </c>
      <c r="G451" t="s">
        <v>74</v>
      </c>
      <c r="H451" t="s">
        <v>74</v>
      </c>
      <c r="I451" t="s">
        <v>8787</v>
      </c>
      <c r="J451" t="s">
        <v>8788</v>
      </c>
      <c r="K451" t="s">
        <v>74</v>
      </c>
      <c r="L451" t="s">
        <v>74</v>
      </c>
      <c r="M451" t="s">
        <v>78</v>
      </c>
      <c r="N451" t="s">
        <v>99</v>
      </c>
      <c r="O451" t="s">
        <v>74</v>
      </c>
      <c r="P451" t="s">
        <v>74</v>
      </c>
      <c r="Q451" t="s">
        <v>74</v>
      </c>
      <c r="R451" t="s">
        <v>74</v>
      </c>
      <c r="S451" t="s">
        <v>74</v>
      </c>
      <c r="T451" t="s">
        <v>8789</v>
      </c>
      <c r="U451" t="s">
        <v>8790</v>
      </c>
      <c r="V451" t="s">
        <v>8791</v>
      </c>
      <c r="W451" t="s">
        <v>8792</v>
      </c>
      <c r="X451" t="s">
        <v>8793</v>
      </c>
      <c r="Y451" t="s">
        <v>8794</v>
      </c>
      <c r="Z451" t="s">
        <v>8795</v>
      </c>
      <c r="AA451" t="s">
        <v>74</v>
      </c>
      <c r="AB451" t="s">
        <v>8796</v>
      </c>
      <c r="AC451" t="s">
        <v>8797</v>
      </c>
      <c r="AD451" t="s">
        <v>8798</v>
      </c>
      <c r="AE451" t="s">
        <v>8799</v>
      </c>
      <c r="AF451" t="s">
        <v>74</v>
      </c>
      <c r="AG451">
        <v>77</v>
      </c>
      <c r="AH451">
        <v>9</v>
      </c>
      <c r="AI451">
        <v>11</v>
      </c>
      <c r="AJ451">
        <v>0</v>
      </c>
      <c r="AK451">
        <v>16</v>
      </c>
      <c r="AL451" t="s">
        <v>8800</v>
      </c>
      <c r="AM451" t="s">
        <v>8801</v>
      </c>
      <c r="AN451" t="s">
        <v>8802</v>
      </c>
      <c r="AO451" t="s">
        <v>8803</v>
      </c>
      <c r="AP451" t="s">
        <v>8804</v>
      </c>
      <c r="AQ451" t="s">
        <v>74</v>
      </c>
      <c r="AR451" t="s">
        <v>8788</v>
      </c>
      <c r="AS451" t="s">
        <v>8805</v>
      </c>
      <c r="AT451" t="s">
        <v>8806</v>
      </c>
      <c r="AU451">
        <v>2014</v>
      </c>
      <c r="AV451">
        <v>191</v>
      </c>
      <c r="AW451">
        <v>1</v>
      </c>
      <c r="AX451" t="s">
        <v>74</v>
      </c>
      <c r="AY451" t="s">
        <v>74</v>
      </c>
      <c r="AZ451" t="s">
        <v>74</v>
      </c>
      <c r="BA451" t="s">
        <v>74</v>
      </c>
      <c r="BB451">
        <v>99</v>
      </c>
      <c r="BC451">
        <v>114</v>
      </c>
      <c r="BD451" t="s">
        <v>74</v>
      </c>
      <c r="BE451" t="s">
        <v>8807</v>
      </c>
      <c r="BF451" t="str">
        <f>HYPERLINK("http://dx.doi.org/10.11646/phytotaxa.191.1.6","http://dx.doi.org/10.11646/phytotaxa.191.1.6")</f>
        <v>http://dx.doi.org/10.11646/phytotaxa.191.1.6</v>
      </c>
      <c r="BG451" t="s">
        <v>74</v>
      </c>
      <c r="BH451" t="s">
        <v>74</v>
      </c>
      <c r="BI451">
        <v>16</v>
      </c>
      <c r="BJ451" t="s">
        <v>1015</v>
      </c>
      <c r="BK451" t="s">
        <v>91</v>
      </c>
      <c r="BL451" t="s">
        <v>1015</v>
      </c>
      <c r="BM451" t="s">
        <v>8808</v>
      </c>
      <c r="BN451" t="s">
        <v>74</v>
      </c>
      <c r="BO451" t="s">
        <v>74</v>
      </c>
      <c r="BP451" t="s">
        <v>74</v>
      </c>
      <c r="BQ451" t="s">
        <v>74</v>
      </c>
      <c r="BR451" t="s">
        <v>93</v>
      </c>
      <c r="BS451" t="s">
        <v>8809</v>
      </c>
      <c r="BT451" t="str">
        <f>HYPERLINK("https%3A%2F%2Fwww.webofscience.com%2Fwos%2Fwoscc%2Ffull-record%2FWOS:000347549400006","View Full Record in Web of Science")</f>
        <v>View Full Record in Web of Science</v>
      </c>
    </row>
    <row r="452" spans="1:72" x14ac:dyDescent="0.15">
      <c r="A452" t="s">
        <v>72</v>
      </c>
      <c r="B452" t="s">
        <v>8810</v>
      </c>
      <c r="C452" t="s">
        <v>74</v>
      </c>
      <c r="D452" t="s">
        <v>74</v>
      </c>
      <c r="E452" t="s">
        <v>74</v>
      </c>
      <c r="F452" t="s">
        <v>8811</v>
      </c>
      <c r="G452" t="s">
        <v>74</v>
      </c>
      <c r="H452" t="s">
        <v>74</v>
      </c>
      <c r="I452" t="s">
        <v>8812</v>
      </c>
      <c r="J452" t="s">
        <v>8813</v>
      </c>
      <c r="K452" t="s">
        <v>74</v>
      </c>
      <c r="L452" t="s">
        <v>74</v>
      </c>
      <c r="M452" t="s">
        <v>78</v>
      </c>
      <c r="N452" t="s">
        <v>99</v>
      </c>
      <c r="O452" t="s">
        <v>74</v>
      </c>
      <c r="P452" t="s">
        <v>74</v>
      </c>
      <c r="Q452" t="s">
        <v>74</v>
      </c>
      <c r="R452" t="s">
        <v>74</v>
      </c>
      <c r="S452" t="s">
        <v>74</v>
      </c>
      <c r="T452" t="s">
        <v>8814</v>
      </c>
      <c r="U452" t="s">
        <v>8815</v>
      </c>
      <c r="V452" t="s">
        <v>8816</v>
      </c>
      <c r="W452" t="s">
        <v>8817</v>
      </c>
      <c r="X452" t="s">
        <v>8818</v>
      </c>
      <c r="Y452" t="s">
        <v>8819</v>
      </c>
      <c r="Z452" t="s">
        <v>8820</v>
      </c>
      <c r="AA452" t="s">
        <v>8821</v>
      </c>
      <c r="AB452" t="s">
        <v>8822</v>
      </c>
      <c r="AC452" t="s">
        <v>8823</v>
      </c>
      <c r="AD452" t="s">
        <v>8824</v>
      </c>
      <c r="AE452" t="s">
        <v>8825</v>
      </c>
      <c r="AF452" t="s">
        <v>74</v>
      </c>
      <c r="AG452">
        <v>33</v>
      </c>
      <c r="AH452">
        <v>23</v>
      </c>
      <c r="AI452">
        <v>25</v>
      </c>
      <c r="AJ452">
        <v>0</v>
      </c>
      <c r="AK452">
        <v>25</v>
      </c>
      <c r="AL452" t="s">
        <v>1945</v>
      </c>
      <c r="AM452" t="s">
        <v>1946</v>
      </c>
      <c r="AN452" t="s">
        <v>1947</v>
      </c>
      <c r="AO452" t="s">
        <v>8826</v>
      </c>
      <c r="AP452" t="s">
        <v>8827</v>
      </c>
      <c r="AQ452" t="s">
        <v>74</v>
      </c>
      <c r="AR452" t="s">
        <v>8828</v>
      </c>
      <c r="AS452" t="s">
        <v>8829</v>
      </c>
      <c r="AT452" t="s">
        <v>8830</v>
      </c>
      <c r="AU452">
        <v>2014</v>
      </c>
      <c r="AV452">
        <v>41</v>
      </c>
      <c r="AW452">
        <v>24</v>
      </c>
      <c r="AX452" t="s">
        <v>74</v>
      </c>
      <c r="AY452" t="s">
        <v>74</v>
      </c>
      <c r="AZ452" t="s">
        <v>74</v>
      </c>
      <c r="BA452" t="s">
        <v>74</v>
      </c>
      <c r="BB452">
        <v>8696</v>
      </c>
      <c r="BC452">
        <v>8703</v>
      </c>
      <c r="BD452" t="s">
        <v>74</v>
      </c>
      <c r="BE452" t="s">
        <v>8831</v>
      </c>
      <c r="BF452" t="str">
        <f>HYPERLINK("http://dx.doi.org/10.1002/2014GL062345","http://dx.doi.org/10.1002/2014GL062345")</f>
        <v>http://dx.doi.org/10.1002/2014GL062345</v>
      </c>
      <c r="BG452" t="s">
        <v>74</v>
      </c>
      <c r="BH452" t="s">
        <v>74</v>
      </c>
      <c r="BI452">
        <v>8</v>
      </c>
      <c r="BJ452" t="s">
        <v>1953</v>
      </c>
      <c r="BK452" t="s">
        <v>91</v>
      </c>
      <c r="BL452" t="s">
        <v>1954</v>
      </c>
      <c r="BM452" t="s">
        <v>8832</v>
      </c>
      <c r="BN452" t="s">
        <v>74</v>
      </c>
      <c r="BO452" t="s">
        <v>74</v>
      </c>
      <c r="BP452" t="s">
        <v>74</v>
      </c>
      <c r="BQ452" t="s">
        <v>74</v>
      </c>
      <c r="BR452" t="s">
        <v>93</v>
      </c>
      <c r="BS452" t="s">
        <v>8833</v>
      </c>
      <c r="BT452" t="str">
        <f>HYPERLINK("https%3A%2F%2Fwww.webofscience.com%2Fwos%2Fwoscc%2Ffull-record%2FWOS:000348916500004","View Full Record in Web of Science")</f>
        <v>View Full Record in Web of Science</v>
      </c>
    </row>
    <row r="453" spans="1:72" x14ac:dyDescent="0.15">
      <c r="A453" t="s">
        <v>72</v>
      </c>
      <c r="B453" t="s">
        <v>8834</v>
      </c>
      <c r="C453" t="s">
        <v>74</v>
      </c>
      <c r="D453" t="s">
        <v>74</v>
      </c>
      <c r="E453" t="s">
        <v>74</v>
      </c>
      <c r="F453" t="s">
        <v>8835</v>
      </c>
      <c r="G453" t="s">
        <v>74</v>
      </c>
      <c r="H453" t="s">
        <v>74</v>
      </c>
      <c r="I453" t="s">
        <v>8836</v>
      </c>
      <c r="J453" t="s">
        <v>8813</v>
      </c>
      <c r="K453" t="s">
        <v>74</v>
      </c>
      <c r="L453" t="s">
        <v>74</v>
      </c>
      <c r="M453" t="s">
        <v>78</v>
      </c>
      <c r="N453" t="s">
        <v>99</v>
      </c>
      <c r="O453" t="s">
        <v>74</v>
      </c>
      <c r="P453" t="s">
        <v>74</v>
      </c>
      <c r="Q453" t="s">
        <v>74</v>
      </c>
      <c r="R453" t="s">
        <v>74</v>
      </c>
      <c r="S453" t="s">
        <v>74</v>
      </c>
      <c r="T453" t="s">
        <v>8837</v>
      </c>
      <c r="U453" t="s">
        <v>8838</v>
      </c>
      <c r="V453" t="s">
        <v>8839</v>
      </c>
      <c r="W453" t="s">
        <v>8840</v>
      </c>
      <c r="X453" t="s">
        <v>8841</v>
      </c>
      <c r="Y453" t="s">
        <v>8842</v>
      </c>
      <c r="Z453" t="s">
        <v>8843</v>
      </c>
      <c r="AA453" t="s">
        <v>8844</v>
      </c>
      <c r="AB453" t="s">
        <v>8845</v>
      </c>
      <c r="AC453" t="s">
        <v>8846</v>
      </c>
      <c r="AD453" t="s">
        <v>8847</v>
      </c>
      <c r="AE453" t="s">
        <v>8848</v>
      </c>
      <c r="AF453" t="s">
        <v>74</v>
      </c>
      <c r="AG453">
        <v>54</v>
      </c>
      <c r="AH453">
        <v>76</v>
      </c>
      <c r="AI453">
        <v>83</v>
      </c>
      <c r="AJ453">
        <v>1</v>
      </c>
      <c r="AK453">
        <v>7</v>
      </c>
      <c r="AL453" t="s">
        <v>1945</v>
      </c>
      <c r="AM453" t="s">
        <v>1946</v>
      </c>
      <c r="AN453" t="s">
        <v>1947</v>
      </c>
      <c r="AO453" t="s">
        <v>8826</v>
      </c>
      <c r="AP453" t="s">
        <v>8827</v>
      </c>
      <c r="AQ453" t="s">
        <v>74</v>
      </c>
      <c r="AR453" t="s">
        <v>8828</v>
      </c>
      <c r="AS453" t="s">
        <v>8829</v>
      </c>
      <c r="AT453" t="s">
        <v>8830</v>
      </c>
      <c r="AU453">
        <v>2014</v>
      </c>
      <c r="AV453">
        <v>41</v>
      </c>
      <c r="AW453">
        <v>24</v>
      </c>
      <c r="AX453" t="s">
        <v>74</v>
      </c>
      <c r="AY453" t="s">
        <v>74</v>
      </c>
      <c r="AZ453" t="s">
        <v>74</v>
      </c>
      <c r="BA453" t="s">
        <v>74</v>
      </c>
      <c r="BB453">
        <v>8722</v>
      </c>
      <c r="BC453">
        <v>8729</v>
      </c>
      <c r="BD453" t="s">
        <v>74</v>
      </c>
      <c r="BE453" t="s">
        <v>8849</v>
      </c>
      <c r="BF453" t="str">
        <f>HYPERLINK("http://dx.doi.org/10.1002/2014GL062273","http://dx.doi.org/10.1002/2014GL062273")</f>
        <v>http://dx.doi.org/10.1002/2014GL062273</v>
      </c>
      <c r="BG453" t="s">
        <v>74</v>
      </c>
      <c r="BH453" t="s">
        <v>74</v>
      </c>
      <c r="BI453">
        <v>8</v>
      </c>
      <c r="BJ453" t="s">
        <v>1953</v>
      </c>
      <c r="BK453" t="s">
        <v>91</v>
      </c>
      <c r="BL453" t="s">
        <v>1954</v>
      </c>
      <c r="BM453" t="s">
        <v>8832</v>
      </c>
      <c r="BN453" t="s">
        <v>74</v>
      </c>
      <c r="BO453" t="s">
        <v>8850</v>
      </c>
      <c r="BP453" t="s">
        <v>74</v>
      </c>
      <c r="BQ453" t="s">
        <v>74</v>
      </c>
      <c r="BR453" t="s">
        <v>93</v>
      </c>
      <c r="BS453" t="s">
        <v>8851</v>
      </c>
      <c r="BT453" t="str">
        <f>HYPERLINK("https%3A%2F%2Fwww.webofscience.com%2Fwos%2Fwoscc%2Ffull-record%2FWOS:000348916500007","View Full Record in Web of Science")</f>
        <v>View Full Record in Web of Science</v>
      </c>
    </row>
    <row r="454" spans="1:72" x14ac:dyDescent="0.15">
      <c r="A454" t="s">
        <v>72</v>
      </c>
      <c r="B454" t="s">
        <v>8852</v>
      </c>
      <c r="C454" t="s">
        <v>74</v>
      </c>
      <c r="D454" t="s">
        <v>74</v>
      </c>
      <c r="E454" t="s">
        <v>74</v>
      </c>
      <c r="F454" t="s">
        <v>8853</v>
      </c>
      <c r="G454" t="s">
        <v>74</v>
      </c>
      <c r="H454" t="s">
        <v>74</v>
      </c>
      <c r="I454" t="s">
        <v>8854</v>
      </c>
      <c r="J454" t="s">
        <v>8813</v>
      </c>
      <c r="K454" t="s">
        <v>74</v>
      </c>
      <c r="L454" t="s">
        <v>74</v>
      </c>
      <c r="M454" t="s">
        <v>78</v>
      </c>
      <c r="N454" t="s">
        <v>99</v>
      </c>
      <c r="O454" t="s">
        <v>74</v>
      </c>
      <c r="P454" t="s">
        <v>74</v>
      </c>
      <c r="Q454" t="s">
        <v>74</v>
      </c>
      <c r="R454" t="s">
        <v>74</v>
      </c>
      <c r="S454" t="s">
        <v>74</v>
      </c>
      <c r="T454" t="s">
        <v>8855</v>
      </c>
      <c r="U454" t="s">
        <v>8856</v>
      </c>
      <c r="V454" t="s">
        <v>8857</v>
      </c>
      <c r="W454" t="s">
        <v>8858</v>
      </c>
      <c r="X454" t="s">
        <v>7059</v>
      </c>
      <c r="Y454" t="s">
        <v>8859</v>
      </c>
      <c r="Z454" t="s">
        <v>8860</v>
      </c>
      <c r="AA454" t="s">
        <v>8861</v>
      </c>
      <c r="AB454" t="s">
        <v>8862</v>
      </c>
      <c r="AC454" t="s">
        <v>8863</v>
      </c>
      <c r="AD454" t="s">
        <v>8864</v>
      </c>
      <c r="AE454" t="s">
        <v>8865</v>
      </c>
      <c r="AF454" t="s">
        <v>74</v>
      </c>
      <c r="AG454">
        <v>23</v>
      </c>
      <c r="AH454">
        <v>40</v>
      </c>
      <c r="AI454">
        <v>44</v>
      </c>
      <c r="AJ454">
        <v>1</v>
      </c>
      <c r="AK454">
        <v>19</v>
      </c>
      <c r="AL454" t="s">
        <v>1945</v>
      </c>
      <c r="AM454" t="s">
        <v>1946</v>
      </c>
      <c r="AN454" t="s">
        <v>1947</v>
      </c>
      <c r="AO454" t="s">
        <v>8826</v>
      </c>
      <c r="AP454" t="s">
        <v>8827</v>
      </c>
      <c r="AQ454" t="s">
        <v>74</v>
      </c>
      <c r="AR454" t="s">
        <v>8828</v>
      </c>
      <c r="AS454" t="s">
        <v>8829</v>
      </c>
      <c r="AT454" t="s">
        <v>8830</v>
      </c>
      <c r="AU454">
        <v>2014</v>
      </c>
      <c r="AV454">
        <v>41</v>
      </c>
      <c r="AW454">
        <v>24</v>
      </c>
      <c r="AX454" t="s">
        <v>74</v>
      </c>
      <c r="AY454" t="s">
        <v>74</v>
      </c>
      <c r="AZ454" t="s">
        <v>74</v>
      </c>
      <c r="BA454" t="s">
        <v>74</v>
      </c>
      <c r="BB454">
        <v>8971</v>
      </c>
      <c r="BC454">
        <v>8977</v>
      </c>
      <c r="BD454" t="s">
        <v>74</v>
      </c>
      <c r="BE454" t="s">
        <v>8866</v>
      </c>
      <c r="BF454" t="str">
        <f>HYPERLINK("http://dx.doi.org/10.1002/2014GL062523","http://dx.doi.org/10.1002/2014GL062523")</f>
        <v>http://dx.doi.org/10.1002/2014GL062523</v>
      </c>
      <c r="BG454" t="s">
        <v>74</v>
      </c>
      <c r="BH454" t="s">
        <v>74</v>
      </c>
      <c r="BI454">
        <v>7</v>
      </c>
      <c r="BJ454" t="s">
        <v>1953</v>
      </c>
      <c r="BK454" t="s">
        <v>91</v>
      </c>
      <c r="BL454" t="s">
        <v>1954</v>
      </c>
      <c r="BM454" t="s">
        <v>8832</v>
      </c>
      <c r="BN454" t="s">
        <v>74</v>
      </c>
      <c r="BO454" t="s">
        <v>74</v>
      </c>
      <c r="BP454" t="s">
        <v>74</v>
      </c>
      <c r="BQ454" t="s">
        <v>74</v>
      </c>
      <c r="BR454" t="s">
        <v>93</v>
      </c>
      <c r="BS454" t="s">
        <v>8867</v>
      </c>
      <c r="BT454" t="str">
        <f>HYPERLINK("https%3A%2F%2Fwww.webofscience.com%2Fwos%2Fwoscc%2Ffull-record%2FWOS:000348916500038","View Full Record in Web of Science")</f>
        <v>View Full Record in Web of Science</v>
      </c>
    </row>
    <row r="455" spans="1:72" x14ac:dyDescent="0.15">
      <c r="A455" t="s">
        <v>72</v>
      </c>
      <c r="B455" t="s">
        <v>8868</v>
      </c>
      <c r="C455" t="s">
        <v>74</v>
      </c>
      <c r="D455" t="s">
        <v>74</v>
      </c>
      <c r="E455" t="s">
        <v>74</v>
      </c>
      <c r="F455" t="s">
        <v>8869</v>
      </c>
      <c r="G455" t="s">
        <v>74</v>
      </c>
      <c r="H455" t="s">
        <v>74</v>
      </c>
      <c r="I455" t="s">
        <v>8870</v>
      </c>
      <c r="J455" t="s">
        <v>8813</v>
      </c>
      <c r="K455" t="s">
        <v>74</v>
      </c>
      <c r="L455" t="s">
        <v>74</v>
      </c>
      <c r="M455" t="s">
        <v>78</v>
      </c>
      <c r="N455" t="s">
        <v>99</v>
      </c>
      <c r="O455" t="s">
        <v>74</v>
      </c>
      <c r="P455" t="s">
        <v>74</v>
      </c>
      <c r="Q455" t="s">
        <v>74</v>
      </c>
      <c r="R455" t="s">
        <v>74</v>
      </c>
      <c r="S455" t="s">
        <v>74</v>
      </c>
      <c r="T455" t="s">
        <v>8871</v>
      </c>
      <c r="U455" t="s">
        <v>8872</v>
      </c>
      <c r="V455" t="s">
        <v>8873</v>
      </c>
      <c r="W455" t="s">
        <v>8874</v>
      </c>
      <c r="X455" t="s">
        <v>8875</v>
      </c>
      <c r="Y455" t="s">
        <v>8876</v>
      </c>
      <c r="Z455" t="s">
        <v>8877</v>
      </c>
      <c r="AA455" t="s">
        <v>8878</v>
      </c>
      <c r="AB455" t="s">
        <v>8879</v>
      </c>
      <c r="AC455" t="s">
        <v>8880</v>
      </c>
      <c r="AD455" t="s">
        <v>8881</v>
      </c>
      <c r="AE455" t="s">
        <v>8882</v>
      </c>
      <c r="AF455" t="s">
        <v>74</v>
      </c>
      <c r="AG455">
        <v>55</v>
      </c>
      <c r="AH455">
        <v>21</v>
      </c>
      <c r="AI455">
        <v>22</v>
      </c>
      <c r="AJ455">
        <v>0</v>
      </c>
      <c r="AK455">
        <v>13</v>
      </c>
      <c r="AL455" t="s">
        <v>1945</v>
      </c>
      <c r="AM455" t="s">
        <v>1946</v>
      </c>
      <c r="AN455" t="s">
        <v>1947</v>
      </c>
      <c r="AO455" t="s">
        <v>8826</v>
      </c>
      <c r="AP455" t="s">
        <v>8827</v>
      </c>
      <c r="AQ455" t="s">
        <v>74</v>
      </c>
      <c r="AR455" t="s">
        <v>8828</v>
      </c>
      <c r="AS455" t="s">
        <v>8829</v>
      </c>
      <c r="AT455" t="s">
        <v>8830</v>
      </c>
      <c r="AU455">
        <v>2014</v>
      </c>
      <c r="AV455">
        <v>41</v>
      </c>
      <c r="AW455">
        <v>24</v>
      </c>
      <c r="AX455" t="s">
        <v>74</v>
      </c>
      <c r="AY455" t="s">
        <v>74</v>
      </c>
      <c r="AZ455" t="s">
        <v>74</v>
      </c>
      <c r="BA455" t="s">
        <v>74</v>
      </c>
      <c r="BB455">
        <v>8713</v>
      </c>
      <c r="BC455">
        <v>8721</v>
      </c>
      <c r="BD455" t="s">
        <v>74</v>
      </c>
      <c r="BE455" t="s">
        <v>8883</v>
      </c>
      <c r="BF455" t="str">
        <f>HYPERLINK("http://dx.doi.org/10.1002/2014GL062400","http://dx.doi.org/10.1002/2014GL062400")</f>
        <v>http://dx.doi.org/10.1002/2014GL062400</v>
      </c>
      <c r="BG455" t="s">
        <v>74</v>
      </c>
      <c r="BH455" t="s">
        <v>74</v>
      </c>
      <c r="BI455">
        <v>9</v>
      </c>
      <c r="BJ455" t="s">
        <v>1953</v>
      </c>
      <c r="BK455" t="s">
        <v>91</v>
      </c>
      <c r="BL455" t="s">
        <v>1954</v>
      </c>
      <c r="BM455" t="s">
        <v>8832</v>
      </c>
      <c r="BN455">
        <v>26074645</v>
      </c>
      <c r="BO455" t="s">
        <v>6793</v>
      </c>
      <c r="BP455" t="s">
        <v>74</v>
      </c>
      <c r="BQ455" t="s">
        <v>74</v>
      </c>
      <c r="BR455" t="s">
        <v>93</v>
      </c>
      <c r="BS455" t="s">
        <v>8884</v>
      </c>
      <c r="BT455" t="str">
        <f>HYPERLINK("https%3A%2F%2Fwww.webofscience.com%2Fwos%2Fwoscc%2Ffull-record%2FWOS:000348916500006","View Full Record in Web of Science")</f>
        <v>View Full Record in Web of Science</v>
      </c>
    </row>
    <row r="456" spans="1:72" x14ac:dyDescent="0.15">
      <c r="A456" t="s">
        <v>72</v>
      </c>
      <c r="B456" t="s">
        <v>8885</v>
      </c>
      <c r="C456" t="s">
        <v>74</v>
      </c>
      <c r="D456" t="s">
        <v>74</v>
      </c>
      <c r="E456" t="s">
        <v>74</v>
      </c>
      <c r="F456" t="s">
        <v>8886</v>
      </c>
      <c r="G456" t="s">
        <v>74</v>
      </c>
      <c r="H456" t="s">
        <v>74</v>
      </c>
      <c r="I456" t="s">
        <v>8887</v>
      </c>
      <c r="J456" t="s">
        <v>8888</v>
      </c>
      <c r="K456" t="s">
        <v>74</v>
      </c>
      <c r="L456" t="s">
        <v>74</v>
      </c>
      <c r="M456" t="s">
        <v>78</v>
      </c>
      <c r="N456" t="s">
        <v>99</v>
      </c>
      <c r="O456" t="s">
        <v>74</v>
      </c>
      <c r="P456" t="s">
        <v>74</v>
      </c>
      <c r="Q456" t="s">
        <v>74</v>
      </c>
      <c r="R456" t="s">
        <v>74</v>
      </c>
      <c r="S456" t="s">
        <v>74</v>
      </c>
      <c r="T456" t="s">
        <v>8889</v>
      </c>
      <c r="U456" t="s">
        <v>8890</v>
      </c>
      <c r="V456" t="s">
        <v>8891</v>
      </c>
      <c r="W456" t="s">
        <v>8892</v>
      </c>
      <c r="X456" t="s">
        <v>8893</v>
      </c>
      <c r="Y456" t="s">
        <v>8894</v>
      </c>
      <c r="Z456" t="s">
        <v>8895</v>
      </c>
      <c r="AA456" t="s">
        <v>74</v>
      </c>
      <c r="AB456" t="s">
        <v>74</v>
      </c>
      <c r="AC456" t="s">
        <v>74</v>
      </c>
      <c r="AD456" t="s">
        <v>74</v>
      </c>
      <c r="AE456" t="s">
        <v>74</v>
      </c>
      <c r="AF456" t="s">
        <v>74</v>
      </c>
      <c r="AG456">
        <v>101</v>
      </c>
      <c r="AH456">
        <v>54</v>
      </c>
      <c r="AI456">
        <v>62</v>
      </c>
      <c r="AJ456">
        <v>1</v>
      </c>
      <c r="AK456">
        <v>51</v>
      </c>
      <c r="AL456" t="s">
        <v>8896</v>
      </c>
      <c r="AM456" t="s">
        <v>219</v>
      </c>
      <c r="AN456" t="s">
        <v>8897</v>
      </c>
      <c r="AO456" t="s">
        <v>8898</v>
      </c>
      <c r="AP456" t="s">
        <v>8899</v>
      </c>
      <c r="AQ456" t="s">
        <v>74</v>
      </c>
      <c r="AR456" t="s">
        <v>8900</v>
      </c>
      <c r="AS456" t="s">
        <v>8901</v>
      </c>
      <c r="AT456" t="s">
        <v>8830</v>
      </c>
      <c r="AU456">
        <v>2014</v>
      </c>
      <c r="AV456">
        <v>372</v>
      </c>
      <c r="AW456">
        <v>2031</v>
      </c>
      <c r="AX456" t="s">
        <v>74</v>
      </c>
      <c r="AY456" t="s">
        <v>74</v>
      </c>
      <c r="AZ456" t="s">
        <v>1437</v>
      </c>
      <c r="BA456" t="s">
        <v>74</v>
      </c>
      <c r="BB456" t="s">
        <v>74</v>
      </c>
      <c r="BC456" t="s">
        <v>74</v>
      </c>
      <c r="BD456" t="s">
        <v>8902</v>
      </c>
      <c r="BE456" t="s">
        <v>8903</v>
      </c>
      <c r="BF456" t="str">
        <f>HYPERLINK("http://dx.doi.org/10.1098/rsta.2014.0059","http://dx.doi.org/10.1098/rsta.2014.0059")</f>
        <v>http://dx.doi.org/10.1098/rsta.2014.0059</v>
      </c>
      <c r="BG456" t="s">
        <v>74</v>
      </c>
      <c r="BH456" t="s">
        <v>74</v>
      </c>
      <c r="BI456">
        <v>21</v>
      </c>
      <c r="BJ456" t="s">
        <v>201</v>
      </c>
      <c r="BK456" t="s">
        <v>91</v>
      </c>
      <c r="BL456" t="s">
        <v>203</v>
      </c>
      <c r="BM456" t="s">
        <v>8904</v>
      </c>
      <c r="BN456">
        <v>25404681</v>
      </c>
      <c r="BO456" t="s">
        <v>2744</v>
      </c>
      <c r="BP456" t="s">
        <v>74</v>
      </c>
      <c r="BQ456" t="s">
        <v>74</v>
      </c>
      <c r="BR456" t="s">
        <v>93</v>
      </c>
      <c r="BS456" t="s">
        <v>8905</v>
      </c>
      <c r="BT456" t="str">
        <f>HYPERLINK("https%3A%2F%2Fwww.webofscience.com%2Fwos%2Fwoscc%2Ffull-record%2FWOS:000345278000007","View Full Record in Web of Science")</f>
        <v>View Full Record in Web of Science</v>
      </c>
    </row>
    <row r="457" spans="1:72" x14ac:dyDescent="0.15">
      <c r="A457" t="s">
        <v>72</v>
      </c>
      <c r="B457" t="s">
        <v>8906</v>
      </c>
      <c r="C457" t="s">
        <v>74</v>
      </c>
      <c r="D457" t="s">
        <v>74</v>
      </c>
      <c r="E457" t="s">
        <v>74</v>
      </c>
      <c r="F457" t="s">
        <v>8907</v>
      </c>
      <c r="G457" t="s">
        <v>74</v>
      </c>
      <c r="H457" t="s">
        <v>74</v>
      </c>
      <c r="I457" t="s">
        <v>8908</v>
      </c>
      <c r="J457" t="s">
        <v>8888</v>
      </c>
      <c r="K457" t="s">
        <v>74</v>
      </c>
      <c r="L457" t="s">
        <v>74</v>
      </c>
      <c r="M457" t="s">
        <v>78</v>
      </c>
      <c r="N457" t="s">
        <v>99</v>
      </c>
      <c r="O457" t="s">
        <v>74</v>
      </c>
      <c r="P457" t="s">
        <v>74</v>
      </c>
      <c r="Q457" t="s">
        <v>74</v>
      </c>
      <c r="R457" t="s">
        <v>74</v>
      </c>
      <c r="S457" t="s">
        <v>74</v>
      </c>
      <c r="T457" t="s">
        <v>8909</v>
      </c>
      <c r="U457" t="s">
        <v>8910</v>
      </c>
      <c r="V457" t="s">
        <v>8911</v>
      </c>
      <c r="W457" t="s">
        <v>8912</v>
      </c>
      <c r="X457" t="s">
        <v>8913</v>
      </c>
      <c r="Y457" t="s">
        <v>8914</v>
      </c>
      <c r="Z457" t="s">
        <v>8915</v>
      </c>
      <c r="AA457" t="s">
        <v>8916</v>
      </c>
      <c r="AB457" t="s">
        <v>8917</v>
      </c>
      <c r="AC457" t="s">
        <v>8918</v>
      </c>
      <c r="AD457" t="s">
        <v>8919</v>
      </c>
      <c r="AE457" t="s">
        <v>8920</v>
      </c>
      <c r="AF457" t="s">
        <v>74</v>
      </c>
      <c r="AG457">
        <v>40</v>
      </c>
      <c r="AH457">
        <v>18</v>
      </c>
      <c r="AI457">
        <v>20</v>
      </c>
      <c r="AJ457">
        <v>4</v>
      </c>
      <c r="AK457">
        <v>34</v>
      </c>
      <c r="AL457" t="s">
        <v>8896</v>
      </c>
      <c r="AM457" t="s">
        <v>219</v>
      </c>
      <c r="AN457" t="s">
        <v>8897</v>
      </c>
      <c r="AO457" t="s">
        <v>8898</v>
      </c>
      <c r="AP457" t="s">
        <v>8899</v>
      </c>
      <c r="AQ457" t="s">
        <v>74</v>
      </c>
      <c r="AR457" t="s">
        <v>8900</v>
      </c>
      <c r="AS457" t="s">
        <v>8901</v>
      </c>
      <c r="AT457" t="s">
        <v>8830</v>
      </c>
      <c r="AU457">
        <v>2014</v>
      </c>
      <c r="AV457">
        <v>372</v>
      </c>
      <c r="AW457">
        <v>2031</v>
      </c>
      <c r="AX457" t="s">
        <v>74</v>
      </c>
      <c r="AY457" t="s">
        <v>74</v>
      </c>
      <c r="AZ457" t="s">
        <v>1437</v>
      </c>
      <c r="BA457" t="s">
        <v>74</v>
      </c>
      <c r="BB457" t="s">
        <v>74</v>
      </c>
      <c r="BC457" t="s">
        <v>74</v>
      </c>
      <c r="BD457">
        <v>20140053</v>
      </c>
      <c r="BE457" t="s">
        <v>8921</v>
      </c>
      <c r="BF457" t="str">
        <f>HYPERLINK("http://dx.doi.org/10.1098/rsta.2014.0053","http://dx.doi.org/10.1098/rsta.2014.0053")</f>
        <v>http://dx.doi.org/10.1098/rsta.2014.0053</v>
      </c>
      <c r="BG457" t="s">
        <v>74</v>
      </c>
      <c r="BH457" t="s">
        <v>74</v>
      </c>
      <c r="BI457">
        <v>11</v>
      </c>
      <c r="BJ457" t="s">
        <v>201</v>
      </c>
      <c r="BK457" t="s">
        <v>91</v>
      </c>
      <c r="BL457" t="s">
        <v>203</v>
      </c>
      <c r="BM457" t="s">
        <v>8904</v>
      </c>
      <c r="BN457">
        <v>25404682</v>
      </c>
      <c r="BO457" t="s">
        <v>2744</v>
      </c>
      <c r="BP457" t="s">
        <v>74</v>
      </c>
      <c r="BQ457" t="s">
        <v>74</v>
      </c>
      <c r="BR457" t="s">
        <v>93</v>
      </c>
      <c r="BS457" t="s">
        <v>8922</v>
      </c>
      <c r="BT457" t="str">
        <f>HYPERLINK("https%3A%2F%2Fwww.webofscience.com%2Fwos%2Fwoscc%2Ffull-record%2FWOS:000345278000004","View Full Record in Web of Science")</f>
        <v>View Full Record in Web of Science</v>
      </c>
    </row>
    <row r="458" spans="1:72" x14ac:dyDescent="0.15">
      <c r="A458" t="s">
        <v>72</v>
      </c>
      <c r="B458" t="s">
        <v>8923</v>
      </c>
      <c r="C458" t="s">
        <v>74</v>
      </c>
      <c r="D458" t="s">
        <v>74</v>
      </c>
      <c r="E458" t="s">
        <v>74</v>
      </c>
      <c r="F458" t="s">
        <v>8924</v>
      </c>
      <c r="G458" t="s">
        <v>74</v>
      </c>
      <c r="H458" t="s">
        <v>74</v>
      </c>
      <c r="I458" t="s">
        <v>8925</v>
      </c>
      <c r="J458" t="s">
        <v>8926</v>
      </c>
      <c r="K458" t="s">
        <v>74</v>
      </c>
      <c r="L458" t="s">
        <v>74</v>
      </c>
      <c r="M458" t="s">
        <v>78</v>
      </c>
      <c r="N458" t="s">
        <v>99</v>
      </c>
      <c r="O458" t="s">
        <v>74</v>
      </c>
      <c r="P458" t="s">
        <v>74</v>
      </c>
      <c r="Q458" t="s">
        <v>74</v>
      </c>
      <c r="R458" t="s">
        <v>74</v>
      </c>
      <c r="S458" t="s">
        <v>74</v>
      </c>
      <c r="T458" t="s">
        <v>74</v>
      </c>
      <c r="U458" t="s">
        <v>8927</v>
      </c>
      <c r="V458" t="s">
        <v>8928</v>
      </c>
      <c r="W458" t="s">
        <v>8929</v>
      </c>
      <c r="X458" t="s">
        <v>8930</v>
      </c>
      <c r="Y458" t="s">
        <v>8931</v>
      </c>
      <c r="Z458" t="s">
        <v>8932</v>
      </c>
      <c r="AA458" t="s">
        <v>8933</v>
      </c>
      <c r="AB458" t="s">
        <v>8934</v>
      </c>
      <c r="AC458" t="s">
        <v>8935</v>
      </c>
      <c r="AD458" t="s">
        <v>8936</v>
      </c>
      <c r="AE458" t="s">
        <v>8937</v>
      </c>
      <c r="AF458" t="s">
        <v>74</v>
      </c>
      <c r="AG458">
        <v>49</v>
      </c>
      <c r="AH458">
        <v>8</v>
      </c>
      <c r="AI458">
        <v>8</v>
      </c>
      <c r="AJ458">
        <v>0</v>
      </c>
      <c r="AK458">
        <v>52</v>
      </c>
      <c r="AL458" t="s">
        <v>1945</v>
      </c>
      <c r="AM458" t="s">
        <v>1946</v>
      </c>
      <c r="AN458" t="s">
        <v>1947</v>
      </c>
      <c r="AO458" t="s">
        <v>8938</v>
      </c>
      <c r="AP458" t="s">
        <v>8939</v>
      </c>
      <c r="AQ458" t="s">
        <v>74</v>
      </c>
      <c r="AR458" t="s">
        <v>8940</v>
      </c>
      <c r="AS458" t="s">
        <v>8941</v>
      </c>
      <c r="AT458" t="s">
        <v>8942</v>
      </c>
      <c r="AU458">
        <v>2014</v>
      </c>
      <c r="AV458">
        <v>119</v>
      </c>
      <c r="AW458">
        <v>24</v>
      </c>
      <c r="AX458" t="s">
        <v>74</v>
      </c>
      <c r="AY458" t="s">
        <v>74</v>
      </c>
      <c r="AZ458" t="s">
        <v>74</v>
      </c>
      <c r="BA458" t="s">
        <v>74</v>
      </c>
      <c r="BB458">
        <v>14045</v>
      </c>
      <c r="BC458">
        <v>14058</v>
      </c>
      <c r="BD458" t="s">
        <v>74</v>
      </c>
      <c r="BE458" t="s">
        <v>8943</v>
      </c>
      <c r="BF458" t="str">
        <f>HYPERLINK("http://dx.doi.org/10.1002/2014JD022030","http://dx.doi.org/10.1002/2014JD022030")</f>
        <v>http://dx.doi.org/10.1002/2014JD022030</v>
      </c>
      <c r="BG458" t="s">
        <v>74</v>
      </c>
      <c r="BH458" t="s">
        <v>74</v>
      </c>
      <c r="BI458">
        <v>14</v>
      </c>
      <c r="BJ458" t="s">
        <v>226</v>
      </c>
      <c r="BK458" t="s">
        <v>91</v>
      </c>
      <c r="BL458" t="s">
        <v>226</v>
      </c>
      <c r="BM458" t="s">
        <v>8944</v>
      </c>
      <c r="BN458" t="s">
        <v>74</v>
      </c>
      <c r="BO458" t="s">
        <v>3478</v>
      </c>
      <c r="BP458" t="s">
        <v>74</v>
      </c>
      <c r="BQ458" t="s">
        <v>74</v>
      </c>
      <c r="BR458" t="s">
        <v>93</v>
      </c>
      <c r="BS458" t="s">
        <v>8945</v>
      </c>
      <c r="BT458" t="str">
        <f>HYPERLINK("https%3A%2F%2Fwww.webofscience.com%2Fwos%2Fwoscc%2Ffull-record%2FWOS:000348460000024","View Full Record in Web of Science")</f>
        <v>View Full Record in Web of Science</v>
      </c>
    </row>
    <row r="459" spans="1:72" x14ac:dyDescent="0.15">
      <c r="A459" t="s">
        <v>72</v>
      </c>
      <c r="B459" t="s">
        <v>8946</v>
      </c>
      <c r="C459" t="s">
        <v>74</v>
      </c>
      <c r="D459" t="s">
        <v>74</v>
      </c>
      <c r="E459" t="s">
        <v>74</v>
      </c>
      <c r="F459" t="s">
        <v>8947</v>
      </c>
      <c r="G459" t="s">
        <v>74</v>
      </c>
      <c r="H459" t="s">
        <v>74</v>
      </c>
      <c r="I459" t="s">
        <v>8948</v>
      </c>
      <c r="J459" t="s">
        <v>8926</v>
      </c>
      <c r="K459" t="s">
        <v>74</v>
      </c>
      <c r="L459" t="s">
        <v>74</v>
      </c>
      <c r="M459" t="s">
        <v>78</v>
      </c>
      <c r="N459" t="s">
        <v>99</v>
      </c>
      <c r="O459" t="s">
        <v>74</v>
      </c>
      <c r="P459" t="s">
        <v>74</v>
      </c>
      <c r="Q459" t="s">
        <v>74</v>
      </c>
      <c r="R459" t="s">
        <v>74</v>
      </c>
      <c r="S459" t="s">
        <v>74</v>
      </c>
      <c r="T459" t="s">
        <v>74</v>
      </c>
      <c r="U459" t="s">
        <v>8949</v>
      </c>
      <c r="V459" t="s">
        <v>8950</v>
      </c>
      <c r="W459" t="s">
        <v>8951</v>
      </c>
      <c r="X459" t="s">
        <v>8952</v>
      </c>
      <c r="Y459" t="s">
        <v>8953</v>
      </c>
      <c r="Z459" t="s">
        <v>8954</v>
      </c>
      <c r="AA459" t="s">
        <v>8955</v>
      </c>
      <c r="AB459" t="s">
        <v>8956</v>
      </c>
      <c r="AC459" t="s">
        <v>8957</v>
      </c>
      <c r="AD459" t="s">
        <v>8958</v>
      </c>
      <c r="AE459" t="s">
        <v>8959</v>
      </c>
      <c r="AF459" t="s">
        <v>74</v>
      </c>
      <c r="AG459">
        <v>39</v>
      </c>
      <c r="AH459">
        <v>29</v>
      </c>
      <c r="AI459">
        <v>30</v>
      </c>
      <c r="AJ459">
        <v>0</v>
      </c>
      <c r="AK459">
        <v>28</v>
      </c>
      <c r="AL459" t="s">
        <v>1945</v>
      </c>
      <c r="AM459" t="s">
        <v>1946</v>
      </c>
      <c r="AN459" t="s">
        <v>1947</v>
      </c>
      <c r="AO459" t="s">
        <v>8938</v>
      </c>
      <c r="AP459" t="s">
        <v>8939</v>
      </c>
      <c r="AQ459" t="s">
        <v>74</v>
      </c>
      <c r="AR459" t="s">
        <v>8940</v>
      </c>
      <c r="AS459" t="s">
        <v>8941</v>
      </c>
      <c r="AT459" t="s">
        <v>8942</v>
      </c>
      <c r="AU459">
        <v>2014</v>
      </c>
      <c r="AV459">
        <v>119</v>
      </c>
      <c r="AW459">
        <v>24</v>
      </c>
      <c r="AX459" t="s">
        <v>74</v>
      </c>
      <c r="AY459" t="s">
        <v>74</v>
      </c>
      <c r="AZ459" t="s">
        <v>74</v>
      </c>
      <c r="BA459" t="s">
        <v>74</v>
      </c>
      <c r="BB459">
        <v>14098</v>
      </c>
      <c r="BC459">
        <v>14109</v>
      </c>
      <c r="BD459" t="s">
        <v>74</v>
      </c>
      <c r="BE459" t="s">
        <v>8960</v>
      </c>
      <c r="BF459" t="str">
        <f>HYPERLINK("http://dx.doi.org/10.1002/2014JD022295","http://dx.doi.org/10.1002/2014JD022295")</f>
        <v>http://dx.doi.org/10.1002/2014JD022295</v>
      </c>
      <c r="BG459" t="s">
        <v>74</v>
      </c>
      <c r="BH459" t="s">
        <v>74</v>
      </c>
      <c r="BI459">
        <v>12</v>
      </c>
      <c r="BJ459" t="s">
        <v>226</v>
      </c>
      <c r="BK459" t="s">
        <v>91</v>
      </c>
      <c r="BL459" t="s">
        <v>226</v>
      </c>
      <c r="BM459" t="s">
        <v>8944</v>
      </c>
      <c r="BN459" t="s">
        <v>74</v>
      </c>
      <c r="BO459" t="s">
        <v>375</v>
      </c>
      <c r="BP459" t="s">
        <v>74</v>
      </c>
      <c r="BQ459" t="s">
        <v>74</v>
      </c>
      <c r="BR459" t="s">
        <v>93</v>
      </c>
      <c r="BS459" t="s">
        <v>8961</v>
      </c>
      <c r="BT459" t="str">
        <f>HYPERLINK("https%3A%2F%2Fwww.webofscience.com%2Fwos%2Fwoscc%2Ffull-record%2FWOS:000348460000027","View Full Record in Web of Science")</f>
        <v>View Full Record in Web of Science</v>
      </c>
    </row>
    <row r="460" spans="1:72" x14ac:dyDescent="0.15">
      <c r="A460" t="s">
        <v>72</v>
      </c>
      <c r="B460" t="s">
        <v>8962</v>
      </c>
      <c r="C460" t="s">
        <v>74</v>
      </c>
      <c r="D460" t="s">
        <v>74</v>
      </c>
      <c r="E460" t="s">
        <v>74</v>
      </c>
      <c r="F460" t="s">
        <v>8963</v>
      </c>
      <c r="G460" t="s">
        <v>74</v>
      </c>
      <c r="H460" t="s">
        <v>74</v>
      </c>
      <c r="I460" t="s">
        <v>8964</v>
      </c>
      <c r="J460" t="s">
        <v>8965</v>
      </c>
      <c r="K460" t="s">
        <v>74</v>
      </c>
      <c r="L460" t="s">
        <v>74</v>
      </c>
      <c r="M460" t="s">
        <v>78</v>
      </c>
      <c r="N460" t="s">
        <v>99</v>
      </c>
      <c r="O460" t="s">
        <v>74</v>
      </c>
      <c r="P460" t="s">
        <v>74</v>
      </c>
      <c r="Q460" t="s">
        <v>74</v>
      </c>
      <c r="R460" t="s">
        <v>74</v>
      </c>
      <c r="S460" t="s">
        <v>74</v>
      </c>
      <c r="T460" t="s">
        <v>8966</v>
      </c>
      <c r="U460" t="s">
        <v>8967</v>
      </c>
      <c r="V460" t="s">
        <v>8968</v>
      </c>
      <c r="W460" t="s">
        <v>8969</v>
      </c>
      <c r="X460" t="s">
        <v>8970</v>
      </c>
      <c r="Y460" t="s">
        <v>8971</v>
      </c>
      <c r="Z460" t="s">
        <v>8972</v>
      </c>
      <c r="AA460" t="s">
        <v>8973</v>
      </c>
      <c r="AB460" t="s">
        <v>8974</v>
      </c>
      <c r="AC460" t="s">
        <v>8975</v>
      </c>
      <c r="AD460" t="s">
        <v>8976</v>
      </c>
      <c r="AE460" t="s">
        <v>8977</v>
      </c>
      <c r="AF460" t="s">
        <v>74</v>
      </c>
      <c r="AG460">
        <v>67</v>
      </c>
      <c r="AH460">
        <v>18</v>
      </c>
      <c r="AI460">
        <v>19</v>
      </c>
      <c r="AJ460">
        <v>0</v>
      </c>
      <c r="AK460">
        <v>41</v>
      </c>
      <c r="AL460" t="s">
        <v>2640</v>
      </c>
      <c r="AM460" t="s">
        <v>1176</v>
      </c>
      <c r="AN460" t="s">
        <v>2641</v>
      </c>
      <c r="AO460" t="s">
        <v>8978</v>
      </c>
      <c r="AP460" t="s">
        <v>8979</v>
      </c>
      <c r="AQ460" t="s">
        <v>74</v>
      </c>
      <c r="AR460" t="s">
        <v>8980</v>
      </c>
      <c r="AS460" t="s">
        <v>8981</v>
      </c>
      <c r="AT460" t="s">
        <v>8982</v>
      </c>
      <c r="AU460">
        <v>2014</v>
      </c>
      <c r="AV460">
        <v>294</v>
      </c>
      <c r="AW460" t="s">
        <v>74</v>
      </c>
      <c r="AX460" t="s">
        <v>74</v>
      </c>
      <c r="AY460" t="s">
        <v>74</v>
      </c>
      <c r="AZ460" t="s">
        <v>74</v>
      </c>
      <c r="BA460" t="s">
        <v>74</v>
      </c>
      <c r="BB460">
        <v>117</v>
      </c>
      <c r="BC460">
        <v>136</v>
      </c>
      <c r="BD460" t="s">
        <v>74</v>
      </c>
      <c r="BE460" t="s">
        <v>8983</v>
      </c>
      <c r="BF460" t="str">
        <f>HYPERLINK("http://dx.doi.org/10.1016/j.ecolmodel.2014.09.008","http://dx.doi.org/10.1016/j.ecolmodel.2014.09.008")</f>
        <v>http://dx.doi.org/10.1016/j.ecolmodel.2014.09.008</v>
      </c>
      <c r="BG460" t="s">
        <v>74</v>
      </c>
      <c r="BH460" t="s">
        <v>74</v>
      </c>
      <c r="BI460">
        <v>20</v>
      </c>
      <c r="BJ460" t="s">
        <v>5987</v>
      </c>
      <c r="BK460" t="s">
        <v>91</v>
      </c>
      <c r="BL460" t="s">
        <v>395</v>
      </c>
      <c r="BM460" t="s">
        <v>8984</v>
      </c>
      <c r="BN460" t="s">
        <v>74</v>
      </c>
      <c r="BO460" t="s">
        <v>74</v>
      </c>
      <c r="BP460" t="s">
        <v>74</v>
      </c>
      <c r="BQ460" t="s">
        <v>74</v>
      </c>
      <c r="BR460" t="s">
        <v>93</v>
      </c>
      <c r="BS460" t="s">
        <v>8985</v>
      </c>
      <c r="BT460" t="str">
        <f>HYPERLINK("https%3A%2F%2Fwww.webofscience.com%2Fwos%2Fwoscc%2Ffull-record%2FWOS:000345821100012","View Full Record in Web of Science")</f>
        <v>View Full Record in Web of Science</v>
      </c>
    </row>
    <row r="461" spans="1:72" x14ac:dyDescent="0.15">
      <c r="A461" t="s">
        <v>72</v>
      </c>
      <c r="B461" t="s">
        <v>8986</v>
      </c>
      <c r="C461" t="s">
        <v>74</v>
      </c>
      <c r="D461" t="s">
        <v>74</v>
      </c>
      <c r="E461" t="s">
        <v>74</v>
      </c>
      <c r="F461" t="s">
        <v>8987</v>
      </c>
      <c r="G461" t="s">
        <v>74</v>
      </c>
      <c r="H461" t="s">
        <v>74</v>
      </c>
      <c r="I461" t="s">
        <v>8988</v>
      </c>
      <c r="J461" t="s">
        <v>8989</v>
      </c>
      <c r="K461" t="s">
        <v>74</v>
      </c>
      <c r="L461" t="s">
        <v>74</v>
      </c>
      <c r="M461" t="s">
        <v>78</v>
      </c>
      <c r="N461" t="s">
        <v>454</v>
      </c>
      <c r="O461" t="s">
        <v>74</v>
      </c>
      <c r="P461" t="s">
        <v>74</v>
      </c>
      <c r="Q461" t="s">
        <v>74</v>
      </c>
      <c r="R461" t="s">
        <v>74</v>
      </c>
      <c r="S461" t="s">
        <v>74</v>
      </c>
      <c r="T461" t="s">
        <v>8990</v>
      </c>
      <c r="U461" t="s">
        <v>8991</v>
      </c>
      <c r="V461" t="s">
        <v>8992</v>
      </c>
      <c r="W461" t="s">
        <v>8993</v>
      </c>
      <c r="X461" t="s">
        <v>8994</v>
      </c>
      <c r="Y461" t="s">
        <v>8995</v>
      </c>
      <c r="Z461" t="s">
        <v>8996</v>
      </c>
      <c r="AA461" t="s">
        <v>8997</v>
      </c>
      <c r="AB461" t="s">
        <v>8998</v>
      </c>
      <c r="AC461" t="s">
        <v>8999</v>
      </c>
      <c r="AD461" t="s">
        <v>9000</v>
      </c>
      <c r="AE461" t="s">
        <v>9001</v>
      </c>
      <c r="AF461" t="s">
        <v>74</v>
      </c>
      <c r="AG461">
        <v>38</v>
      </c>
      <c r="AH461">
        <v>60</v>
      </c>
      <c r="AI461">
        <v>66</v>
      </c>
      <c r="AJ461">
        <v>8</v>
      </c>
      <c r="AK461">
        <v>89</v>
      </c>
      <c r="AL461" t="s">
        <v>2666</v>
      </c>
      <c r="AM461" t="s">
        <v>6414</v>
      </c>
      <c r="AN461" t="s">
        <v>6415</v>
      </c>
      <c r="AO461" t="s">
        <v>74</v>
      </c>
      <c r="AP461" t="s">
        <v>9002</v>
      </c>
      <c r="AQ461" t="s">
        <v>74</v>
      </c>
      <c r="AR461" t="s">
        <v>9003</v>
      </c>
      <c r="AS461" t="s">
        <v>9004</v>
      </c>
      <c r="AT461" t="s">
        <v>8982</v>
      </c>
      <c r="AU461">
        <v>2014</v>
      </c>
      <c r="AV461">
        <v>12</v>
      </c>
      <c r="AW461" t="s">
        <v>74</v>
      </c>
      <c r="AX461" t="s">
        <v>74</v>
      </c>
      <c r="AY461" t="s">
        <v>74</v>
      </c>
      <c r="AZ461" t="s">
        <v>74</v>
      </c>
      <c r="BA461" t="s">
        <v>74</v>
      </c>
      <c r="BB461" t="s">
        <v>74</v>
      </c>
      <c r="BC461" t="s">
        <v>74</v>
      </c>
      <c r="BD461">
        <v>143</v>
      </c>
      <c r="BE461" t="s">
        <v>9005</v>
      </c>
      <c r="BF461" t="str">
        <f>HYPERLINK("http://dx.doi.org/10.1186/s40201-014-0143-1","http://dx.doi.org/10.1186/s40201-014-0143-1")</f>
        <v>http://dx.doi.org/10.1186/s40201-014-0143-1</v>
      </c>
      <c r="BG461" t="s">
        <v>74</v>
      </c>
      <c r="BH461" t="s">
        <v>74</v>
      </c>
      <c r="BI461">
        <v>9</v>
      </c>
      <c r="BJ461" t="s">
        <v>9006</v>
      </c>
      <c r="BK461" t="s">
        <v>91</v>
      </c>
      <c r="BL461" t="s">
        <v>9007</v>
      </c>
      <c r="BM461" t="s">
        <v>9008</v>
      </c>
      <c r="BN461">
        <v>25610635</v>
      </c>
      <c r="BO461" t="s">
        <v>2544</v>
      </c>
      <c r="BP461" t="s">
        <v>74</v>
      </c>
      <c r="BQ461" t="s">
        <v>74</v>
      </c>
      <c r="BR461" t="s">
        <v>93</v>
      </c>
      <c r="BS461" t="s">
        <v>9009</v>
      </c>
      <c r="BT461" t="str">
        <f>HYPERLINK("https%3A%2F%2Fwww.webofscience.com%2Fwos%2Fwoscc%2Ffull-record%2FWOS:000349185800001","View Full Record in Web of Science")</f>
        <v>View Full Record in Web of Science</v>
      </c>
    </row>
    <row r="462" spans="1:72" x14ac:dyDescent="0.15">
      <c r="A462" t="s">
        <v>72</v>
      </c>
      <c r="B462" t="s">
        <v>9010</v>
      </c>
      <c r="C462" t="s">
        <v>74</v>
      </c>
      <c r="D462" t="s">
        <v>74</v>
      </c>
      <c r="E462" t="s">
        <v>74</v>
      </c>
      <c r="F462" t="s">
        <v>9011</v>
      </c>
      <c r="G462" t="s">
        <v>74</v>
      </c>
      <c r="H462" t="s">
        <v>74</v>
      </c>
      <c r="I462" t="s">
        <v>9012</v>
      </c>
      <c r="J462" t="s">
        <v>9013</v>
      </c>
      <c r="K462" t="s">
        <v>74</v>
      </c>
      <c r="L462" t="s">
        <v>74</v>
      </c>
      <c r="M462" t="s">
        <v>78</v>
      </c>
      <c r="N462" t="s">
        <v>99</v>
      </c>
      <c r="O462" t="s">
        <v>74</v>
      </c>
      <c r="P462" t="s">
        <v>74</v>
      </c>
      <c r="Q462" t="s">
        <v>74</v>
      </c>
      <c r="R462" t="s">
        <v>74</v>
      </c>
      <c r="S462" t="s">
        <v>74</v>
      </c>
      <c r="T462" t="s">
        <v>9014</v>
      </c>
      <c r="U462" t="s">
        <v>9015</v>
      </c>
      <c r="V462" t="s">
        <v>9016</v>
      </c>
      <c r="W462" t="s">
        <v>9017</v>
      </c>
      <c r="X462" t="s">
        <v>9018</v>
      </c>
      <c r="Y462" t="s">
        <v>9019</v>
      </c>
      <c r="Z462" t="s">
        <v>9020</v>
      </c>
      <c r="AA462" t="s">
        <v>9021</v>
      </c>
      <c r="AB462" t="s">
        <v>74</v>
      </c>
      <c r="AC462" t="s">
        <v>9022</v>
      </c>
      <c r="AD462" t="s">
        <v>9023</v>
      </c>
      <c r="AE462" t="s">
        <v>9024</v>
      </c>
      <c r="AF462" t="s">
        <v>74</v>
      </c>
      <c r="AG462">
        <v>35</v>
      </c>
      <c r="AH462">
        <v>54</v>
      </c>
      <c r="AI462">
        <v>58</v>
      </c>
      <c r="AJ462">
        <v>0</v>
      </c>
      <c r="AK462">
        <v>38</v>
      </c>
      <c r="AL462" t="s">
        <v>9025</v>
      </c>
      <c r="AM462" t="s">
        <v>1946</v>
      </c>
      <c r="AN462" t="s">
        <v>9026</v>
      </c>
      <c r="AO462" t="s">
        <v>9027</v>
      </c>
      <c r="AP462" t="s">
        <v>9028</v>
      </c>
      <c r="AQ462" t="s">
        <v>74</v>
      </c>
      <c r="AR462" t="s">
        <v>9029</v>
      </c>
      <c r="AS462" t="s">
        <v>9030</v>
      </c>
      <c r="AT462" t="s">
        <v>9031</v>
      </c>
      <c r="AU462">
        <v>2014</v>
      </c>
      <c r="AV462">
        <v>111</v>
      </c>
      <c r="AW462">
        <v>51</v>
      </c>
      <c r="AX462" t="s">
        <v>74</v>
      </c>
      <c r="AY462" t="s">
        <v>74</v>
      </c>
      <c r="AZ462" t="s">
        <v>74</v>
      </c>
      <c r="BA462" t="s">
        <v>74</v>
      </c>
      <c r="BB462">
        <v>18156</v>
      </c>
      <c r="BC462">
        <v>18161</v>
      </c>
      <c r="BD462" t="s">
        <v>74</v>
      </c>
      <c r="BE462" t="s">
        <v>9032</v>
      </c>
      <c r="BF462" t="str">
        <f>HYPERLINK("http://dx.doi.org/10.1073/pnas.1418197111","http://dx.doi.org/10.1073/pnas.1418197111")</f>
        <v>http://dx.doi.org/10.1073/pnas.1418197111</v>
      </c>
      <c r="BG462" t="s">
        <v>74</v>
      </c>
      <c r="BH462" t="s">
        <v>74</v>
      </c>
      <c r="BI462">
        <v>6</v>
      </c>
      <c r="BJ462" t="s">
        <v>201</v>
      </c>
      <c r="BK462" t="s">
        <v>91</v>
      </c>
      <c r="BL462" t="s">
        <v>203</v>
      </c>
      <c r="BM462" t="s">
        <v>9033</v>
      </c>
      <c r="BN462">
        <v>25489069</v>
      </c>
      <c r="BO462" t="s">
        <v>3478</v>
      </c>
      <c r="BP462" t="s">
        <v>74</v>
      </c>
      <c r="BQ462" t="s">
        <v>74</v>
      </c>
      <c r="BR462" t="s">
        <v>93</v>
      </c>
      <c r="BS462" t="s">
        <v>9034</v>
      </c>
      <c r="BT462" t="str">
        <f>HYPERLINK("https%3A%2F%2Fwww.webofscience.com%2Fwos%2Fwoscc%2Ffull-record%2FWOS:000346767200034","View Full Record in Web of Science")</f>
        <v>View Full Record in Web of Science</v>
      </c>
    </row>
    <row r="463" spans="1:72" x14ac:dyDescent="0.15">
      <c r="A463" t="s">
        <v>72</v>
      </c>
      <c r="B463" t="s">
        <v>9035</v>
      </c>
      <c r="C463" t="s">
        <v>74</v>
      </c>
      <c r="D463" t="s">
        <v>74</v>
      </c>
      <c r="E463" t="s">
        <v>74</v>
      </c>
      <c r="F463" t="s">
        <v>9036</v>
      </c>
      <c r="G463" t="s">
        <v>74</v>
      </c>
      <c r="H463" t="s">
        <v>74</v>
      </c>
      <c r="I463" t="s">
        <v>9037</v>
      </c>
      <c r="J463" t="s">
        <v>9038</v>
      </c>
      <c r="K463" t="s">
        <v>74</v>
      </c>
      <c r="L463" t="s">
        <v>74</v>
      </c>
      <c r="M463" t="s">
        <v>78</v>
      </c>
      <c r="N463" t="s">
        <v>99</v>
      </c>
      <c r="O463" t="s">
        <v>74</v>
      </c>
      <c r="P463" t="s">
        <v>74</v>
      </c>
      <c r="Q463" t="s">
        <v>74</v>
      </c>
      <c r="R463" t="s">
        <v>74</v>
      </c>
      <c r="S463" t="s">
        <v>74</v>
      </c>
      <c r="T463" t="s">
        <v>9039</v>
      </c>
      <c r="U463" t="s">
        <v>9040</v>
      </c>
      <c r="V463" t="s">
        <v>9041</v>
      </c>
      <c r="W463" t="s">
        <v>9042</v>
      </c>
      <c r="X463" t="s">
        <v>9043</v>
      </c>
      <c r="Y463" t="s">
        <v>9044</v>
      </c>
      <c r="Z463" t="s">
        <v>9045</v>
      </c>
      <c r="AA463" t="s">
        <v>9046</v>
      </c>
      <c r="AB463" t="s">
        <v>9047</v>
      </c>
      <c r="AC463" t="s">
        <v>9048</v>
      </c>
      <c r="AD463" t="s">
        <v>9049</v>
      </c>
      <c r="AE463" t="s">
        <v>9050</v>
      </c>
      <c r="AF463" t="s">
        <v>74</v>
      </c>
      <c r="AG463">
        <v>72</v>
      </c>
      <c r="AH463">
        <v>75</v>
      </c>
      <c r="AI463">
        <v>81</v>
      </c>
      <c r="AJ463">
        <v>2</v>
      </c>
      <c r="AK463">
        <v>73</v>
      </c>
      <c r="AL463" t="s">
        <v>5958</v>
      </c>
      <c r="AM463" t="s">
        <v>5959</v>
      </c>
      <c r="AN463" t="s">
        <v>5960</v>
      </c>
      <c r="AO463" t="s">
        <v>9051</v>
      </c>
      <c r="AP463" t="s">
        <v>74</v>
      </c>
      <c r="AQ463" t="s">
        <v>74</v>
      </c>
      <c r="AR463" t="s">
        <v>9052</v>
      </c>
      <c r="AS463" t="s">
        <v>9053</v>
      </c>
      <c r="AT463" t="s">
        <v>9054</v>
      </c>
      <c r="AU463">
        <v>2014</v>
      </c>
      <c r="AV463">
        <v>5</v>
      </c>
      <c r="AW463" t="s">
        <v>74</v>
      </c>
      <c r="AX463" t="s">
        <v>74</v>
      </c>
      <c r="AY463" t="s">
        <v>74</v>
      </c>
      <c r="AZ463" t="s">
        <v>74</v>
      </c>
      <c r="BA463" t="s">
        <v>74</v>
      </c>
      <c r="BB463" t="s">
        <v>74</v>
      </c>
      <c r="BC463" t="s">
        <v>74</v>
      </c>
      <c r="BD463">
        <v>646</v>
      </c>
      <c r="BE463" t="s">
        <v>9055</v>
      </c>
      <c r="BF463" t="str">
        <f>HYPERLINK("http://dx.doi.org/10.3389/fmicb.2014.00646","http://dx.doi.org/10.3389/fmicb.2014.00646")</f>
        <v>http://dx.doi.org/10.3389/fmicb.2014.00646</v>
      </c>
      <c r="BG463" t="s">
        <v>74</v>
      </c>
      <c r="BH463" t="s">
        <v>74</v>
      </c>
      <c r="BI463">
        <v>13</v>
      </c>
      <c r="BJ463" t="s">
        <v>5926</v>
      </c>
      <c r="BK463" t="s">
        <v>91</v>
      </c>
      <c r="BL463" t="s">
        <v>5926</v>
      </c>
      <c r="BM463" t="s">
        <v>9056</v>
      </c>
      <c r="BN463">
        <v>25566197</v>
      </c>
      <c r="BO463" t="s">
        <v>1971</v>
      </c>
      <c r="BP463" t="s">
        <v>74</v>
      </c>
      <c r="BQ463" t="s">
        <v>74</v>
      </c>
      <c r="BR463" t="s">
        <v>93</v>
      </c>
      <c r="BS463" t="s">
        <v>9057</v>
      </c>
      <c r="BT463" t="str">
        <f>HYPERLINK("https%3A%2F%2Fwww.webofscience.com%2Fwos%2Fwoscc%2Ffull-record%2FWOS:000348523100001","View Full Record in Web of Science")</f>
        <v>View Full Record in Web of Science</v>
      </c>
    </row>
    <row r="464" spans="1:72" x14ac:dyDescent="0.15">
      <c r="A464" t="s">
        <v>72</v>
      </c>
      <c r="B464" t="s">
        <v>9058</v>
      </c>
      <c r="C464" t="s">
        <v>74</v>
      </c>
      <c r="D464" t="s">
        <v>74</v>
      </c>
      <c r="E464" t="s">
        <v>74</v>
      </c>
      <c r="F464" t="s">
        <v>9059</v>
      </c>
      <c r="G464" t="s">
        <v>74</v>
      </c>
      <c r="H464" t="s">
        <v>74</v>
      </c>
      <c r="I464" t="s">
        <v>9060</v>
      </c>
      <c r="J464" t="s">
        <v>9061</v>
      </c>
      <c r="K464" t="s">
        <v>74</v>
      </c>
      <c r="L464" t="s">
        <v>74</v>
      </c>
      <c r="M464" t="s">
        <v>78</v>
      </c>
      <c r="N464" t="s">
        <v>99</v>
      </c>
      <c r="O464" t="s">
        <v>74</v>
      </c>
      <c r="P464" t="s">
        <v>74</v>
      </c>
      <c r="Q464" t="s">
        <v>74</v>
      </c>
      <c r="R464" t="s">
        <v>74</v>
      </c>
      <c r="S464" t="s">
        <v>74</v>
      </c>
      <c r="T464" t="s">
        <v>74</v>
      </c>
      <c r="U464" t="s">
        <v>9062</v>
      </c>
      <c r="V464" t="s">
        <v>9063</v>
      </c>
      <c r="W464" t="s">
        <v>9064</v>
      </c>
      <c r="X464" t="s">
        <v>9065</v>
      </c>
      <c r="Y464" t="s">
        <v>9066</v>
      </c>
      <c r="Z464" t="s">
        <v>9067</v>
      </c>
      <c r="AA464" t="s">
        <v>9068</v>
      </c>
      <c r="AB464" t="s">
        <v>9069</v>
      </c>
      <c r="AC464" t="s">
        <v>9070</v>
      </c>
      <c r="AD464" t="s">
        <v>9071</v>
      </c>
      <c r="AE464" t="s">
        <v>9072</v>
      </c>
      <c r="AF464" t="s">
        <v>74</v>
      </c>
      <c r="AG464">
        <v>33</v>
      </c>
      <c r="AH464">
        <v>47</v>
      </c>
      <c r="AI464">
        <v>52</v>
      </c>
      <c r="AJ464">
        <v>0</v>
      </c>
      <c r="AK464">
        <v>69</v>
      </c>
      <c r="AL464" t="s">
        <v>9073</v>
      </c>
      <c r="AM464" t="s">
        <v>1946</v>
      </c>
      <c r="AN464" t="s">
        <v>9074</v>
      </c>
      <c r="AO464" t="s">
        <v>9075</v>
      </c>
      <c r="AP464" t="s">
        <v>9076</v>
      </c>
      <c r="AQ464" t="s">
        <v>74</v>
      </c>
      <c r="AR464" t="s">
        <v>9061</v>
      </c>
      <c r="AS464" t="s">
        <v>9077</v>
      </c>
      <c r="AT464" t="s">
        <v>9054</v>
      </c>
      <c r="AU464">
        <v>2014</v>
      </c>
      <c r="AV464">
        <v>346</v>
      </c>
      <c r="AW464">
        <v>6216</v>
      </c>
      <c r="AX464" t="s">
        <v>74</v>
      </c>
      <c r="AY464" t="s">
        <v>74</v>
      </c>
      <c r="AZ464" t="s">
        <v>74</v>
      </c>
      <c r="BA464" t="s">
        <v>74</v>
      </c>
      <c r="BB464">
        <v>1514</v>
      </c>
      <c r="BC464">
        <v>1517</v>
      </c>
      <c r="BD464" t="s">
        <v>74</v>
      </c>
      <c r="BE464" t="s">
        <v>9078</v>
      </c>
      <c r="BF464" t="str">
        <f>HYPERLINK("http://dx.doi.org/10.1126/science.1256620","http://dx.doi.org/10.1126/science.1256620")</f>
        <v>http://dx.doi.org/10.1126/science.1256620</v>
      </c>
      <c r="BG464" t="s">
        <v>74</v>
      </c>
      <c r="BH464" t="s">
        <v>74</v>
      </c>
      <c r="BI464">
        <v>4</v>
      </c>
      <c r="BJ464" t="s">
        <v>201</v>
      </c>
      <c r="BK464" t="s">
        <v>91</v>
      </c>
      <c r="BL464" t="s">
        <v>203</v>
      </c>
      <c r="BM464" t="s">
        <v>9079</v>
      </c>
      <c r="BN464">
        <v>25525246</v>
      </c>
      <c r="BO464" t="s">
        <v>74</v>
      </c>
      <c r="BP464" t="s">
        <v>74</v>
      </c>
      <c r="BQ464" t="s">
        <v>74</v>
      </c>
      <c r="BR464" t="s">
        <v>93</v>
      </c>
      <c r="BS464" t="s">
        <v>9080</v>
      </c>
      <c r="BT464" t="str">
        <f>HYPERLINK("https%3A%2F%2Fwww.webofscience.com%2Fwos%2Fwoscc%2Ffull-record%2FWOS:000346536500064","View Full Record in Web of Science")</f>
        <v>View Full Record in Web of Science</v>
      </c>
    </row>
    <row r="465" spans="1:72" x14ac:dyDescent="0.15">
      <c r="A465" t="s">
        <v>72</v>
      </c>
      <c r="B465" t="s">
        <v>9081</v>
      </c>
      <c r="C465" t="s">
        <v>74</v>
      </c>
      <c r="D465" t="s">
        <v>74</v>
      </c>
      <c r="E465" t="s">
        <v>74</v>
      </c>
      <c r="F465" t="s">
        <v>9082</v>
      </c>
      <c r="G465" t="s">
        <v>74</v>
      </c>
      <c r="H465" t="s">
        <v>74</v>
      </c>
      <c r="I465" t="s">
        <v>9083</v>
      </c>
      <c r="J465" t="s">
        <v>9084</v>
      </c>
      <c r="K465" t="s">
        <v>74</v>
      </c>
      <c r="L465" t="s">
        <v>74</v>
      </c>
      <c r="M465" t="s">
        <v>78</v>
      </c>
      <c r="N465" t="s">
        <v>99</v>
      </c>
      <c r="O465" t="s">
        <v>74</v>
      </c>
      <c r="P465" t="s">
        <v>74</v>
      </c>
      <c r="Q465" t="s">
        <v>74</v>
      </c>
      <c r="R465" t="s">
        <v>74</v>
      </c>
      <c r="S465" t="s">
        <v>74</v>
      </c>
      <c r="T465" t="s">
        <v>74</v>
      </c>
      <c r="U465" t="s">
        <v>9085</v>
      </c>
      <c r="V465" t="s">
        <v>9086</v>
      </c>
      <c r="W465" t="s">
        <v>9087</v>
      </c>
      <c r="X465" t="s">
        <v>9088</v>
      </c>
      <c r="Y465" t="s">
        <v>9089</v>
      </c>
      <c r="Z465" t="s">
        <v>9090</v>
      </c>
      <c r="AA465" t="s">
        <v>9091</v>
      </c>
      <c r="AB465" t="s">
        <v>9092</v>
      </c>
      <c r="AC465" t="s">
        <v>74</v>
      </c>
      <c r="AD465" t="s">
        <v>74</v>
      </c>
      <c r="AE465" t="s">
        <v>74</v>
      </c>
      <c r="AF465" t="s">
        <v>74</v>
      </c>
      <c r="AG465">
        <v>43</v>
      </c>
      <c r="AH465">
        <v>29</v>
      </c>
      <c r="AI465">
        <v>33</v>
      </c>
      <c r="AJ465">
        <v>2</v>
      </c>
      <c r="AK465">
        <v>85</v>
      </c>
      <c r="AL465" t="s">
        <v>9093</v>
      </c>
      <c r="AM465" t="s">
        <v>9094</v>
      </c>
      <c r="AN465" t="s">
        <v>9095</v>
      </c>
      <c r="AO465" t="s">
        <v>9096</v>
      </c>
      <c r="AP465" t="s">
        <v>74</v>
      </c>
      <c r="AQ465" t="s">
        <v>74</v>
      </c>
      <c r="AR465" t="s">
        <v>9084</v>
      </c>
      <c r="AS465" t="s">
        <v>9097</v>
      </c>
      <c r="AT465" t="s">
        <v>9098</v>
      </c>
      <c r="AU465">
        <v>2014</v>
      </c>
      <c r="AV465">
        <v>9</v>
      </c>
      <c r="AW465">
        <v>12</v>
      </c>
      <c r="AX465" t="s">
        <v>74</v>
      </c>
      <c r="AY465" t="s">
        <v>74</v>
      </c>
      <c r="AZ465" t="s">
        <v>74</v>
      </c>
      <c r="BA465" t="s">
        <v>74</v>
      </c>
      <c r="BB465" t="s">
        <v>74</v>
      </c>
      <c r="BC465" t="s">
        <v>74</v>
      </c>
      <c r="BD465" t="s">
        <v>9099</v>
      </c>
      <c r="BE465" t="s">
        <v>9100</v>
      </c>
      <c r="BF465" t="str">
        <f>HYPERLINK("http://dx.doi.org/10.1371/journal.pone.0114978","http://dx.doi.org/10.1371/journal.pone.0114978")</f>
        <v>http://dx.doi.org/10.1371/journal.pone.0114978</v>
      </c>
      <c r="BG465" t="s">
        <v>74</v>
      </c>
      <c r="BH465" t="s">
        <v>74</v>
      </c>
      <c r="BI465">
        <v>21</v>
      </c>
      <c r="BJ465" t="s">
        <v>201</v>
      </c>
      <c r="BK465" t="s">
        <v>91</v>
      </c>
      <c r="BL465" t="s">
        <v>203</v>
      </c>
      <c r="BM465" t="s">
        <v>9101</v>
      </c>
      <c r="BN465">
        <v>25517505</v>
      </c>
      <c r="BO465" t="s">
        <v>4211</v>
      </c>
      <c r="BP465" t="s">
        <v>74</v>
      </c>
      <c r="BQ465" t="s">
        <v>74</v>
      </c>
      <c r="BR465" t="s">
        <v>93</v>
      </c>
      <c r="BS465" t="s">
        <v>9102</v>
      </c>
      <c r="BT465" t="str">
        <f>HYPERLINK("https%3A%2F%2Fwww.webofscience.com%2Fwos%2Fwoscc%2Ffull-record%2FWOS:000347215600034","View Full Record in Web of Science")</f>
        <v>View Full Record in Web of Science</v>
      </c>
    </row>
    <row r="466" spans="1:72" x14ac:dyDescent="0.15">
      <c r="A466" t="s">
        <v>72</v>
      </c>
      <c r="B466" t="s">
        <v>9103</v>
      </c>
      <c r="C466" t="s">
        <v>74</v>
      </c>
      <c r="D466" t="s">
        <v>74</v>
      </c>
      <c r="E466" t="s">
        <v>74</v>
      </c>
      <c r="F466" t="s">
        <v>9104</v>
      </c>
      <c r="G466" t="s">
        <v>74</v>
      </c>
      <c r="H466" t="s">
        <v>74</v>
      </c>
      <c r="I466" t="s">
        <v>9105</v>
      </c>
      <c r="J466" t="s">
        <v>8813</v>
      </c>
      <c r="K466" t="s">
        <v>74</v>
      </c>
      <c r="L466" t="s">
        <v>74</v>
      </c>
      <c r="M466" t="s">
        <v>78</v>
      </c>
      <c r="N466" t="s">
        <v>99</v>
      </c>
      <c r="O466" t="s">
        <v>74</v>
      </c>
      <c r="P466" t="s">
        <v>74</v>
      </c>
      <c r="Q466" t="s">
        <v>74</v>
      </c>
      <c r="R466" t="s">
        <v>74</v>
      </c>
      <c r="S466" t="s">
        <v>74</v>
      </c>
      <c r="T466" t="s">
        <v>9106</v>
      </c>
      <c r="U466" t="s">
        <v>9107</v>
      </c>
      <c r="V466" t="s">
        <v>9108</v>
      </c>
      <c r="W466" t="s">
        <v>9109</v>
      </c>
      <c r="X466" t="s">
        <v>9110</v>
      </c>
      <c r="Y466" t="s">
        <v>9111</v>
      </c>
      <c r="Z466" t="s">
        <v>9112</v>
      </c>
      <c r="AA466" t="s">
        <v>9113</v>
      </c>
      <c r="AB466" t="s">
        <v>9114</v>
      </c>
      <c r="AC466" t="s">
        <v>9115</v>
      </c>
      <c r="AD466" t="s">
        <v>9116</v>
      </c>
      <c r="AE466" t="s">
        <v>9117</v>
      </c>
      <c r="AF466" t="s">
        <v>74</v>
      </c>
      <c r="AG466">
        <v>20</v>
      </c>
      <c r="AH466">
        <v>13</v>
      </c>
      <c r="AI466">
        <v>15</v>
      </c>
      <c r="AJ466">
        <v>0</v>
      </c>
      <c r="AK466">
        <v>10</v>
      </c>
      <c r="AL466" t="s">
        <v>1945</v>
      </c>
      <c r="AM466" t="s">
        <v>1946</v>
      </c>
      <c r="AN466" t="s">
        <v>1947</v>
      </c>
      <c r="AO466" t="s">
        <v>8826</v>
      </c>
      <c r="AP466" t="s">
        <v>8827</v>
      </c>
      <c r="AQ466" t="s">
        <v>74</v>
      </c>
      <c r="AR466" t="s">
        <v>8828</v>
      </c>
      <c r="AS466" t="s">
        <v>8829</v>
      </c>
      <c r="AT466" t="s">
        <v>9118</v>
      </c>
      <c r="AU466">
        <v>2014</v>
      </c>
      <c r="AV466">
        <v>41</v>
      </c>
      <c r="AW466">
        <v>23</v>
      </c>
      <c r="AX466" t="s">
        <v>74</v>
      </c>
      <c r="AY466" t="s">
        <v>74</v>
      </c>
      <c r="AZ466" t="s">
        <v>74</v>
      </c>
      <c r="BA466" t="s">
        <v>74</v>
      </c>
      <c r="BB466">
        <v>8215</v>
      </c>
      <c r="BC466">
        <v>8220</v>
      </c>
      <c r="BD466" t="s">
        <v>74</v>
      </c>
      <c r="BE466" t="s">
        <v>9119</v>
      </c>
      <c r="BF466" t="str">
        <f>HYPERLINK("http://dx.doi.org/10.1002/2014GL062271","http://dx.doi.org/10.1002/2014GL062271")</f>
        <v>http://dx.doi.org/10.1002/2014GL062271</v>
      </c>
      <c r="BG466" t="s">
        <v>74</v>
      </c>
      <c r="BH466" t="s">
        <v>74</v>
      </c>
      <c r="BI466">
        <v>6</v>
      </c>
      <c r="BJ466" t="s">
        <v>1953</v>
      </c>
      <c r="BK466" t="s">
        <v>91</v>
      </c>
      <c r="BL466" t="s">
        <v>1954</v>
      </c>
      <c r="BM466" t="s">
        <v>9120</v>
      </c>
      <c r="BN466" t="s">
        <v>74</v>
      </c>
      <c r="BO466" t="s">
        <v>375</v>
      </c>
      <c r="BP466" t="s">
        <v>74</v>
      </c>
      <c r="BQ466" t="s">
        <v>74</v>
      </c>
      <c r="BR466" t="s">
        <v>93</v>
      </c>
      <c r="BS466" t="s">
        <v>9121</v>
      </c>
      <c r="BT466" t="str">
        <f>HYPERLINK("https%3A%2F%2Fwww.webofscience.com%2Fwos%2Fwoscc%2Ffull-record%2FWOS:000348462000010","View Full Record in Web of Science")</f>
        <v>View Full Record in Web of Science</v>
      </c>
    </row>
    <row r="467" spans="1:72" x14ac:dyDescent="0.15">
      <c r="A467" t="s">
        <v>72</v>
      </c>
      <c r="B467" t="s">
        <v>9122</v>
      </c>
      <c r="C467" t="s">
        <v>74</v>
      </c>
      <c r="D467" t="s">
        <v>74</v>
      </c>
      <c r="E467" t="s">
        <v>74</v>
      </c>
      <c r="F467" t="s">
        <v>9123</v>
      </c>
      <c r="G467" t="s">
        <v>74</v>
      </c>
      <c r="H467" t="s">
        <v>74</v>
      </c>
      <c r="I467" t="s">
        <v>9124</v>
      </c>
      <c r="J467" t="s">
        <v>8813</v>
      </c>
      <c r="K467" t="s">
        <v>74</v>
      </c>
      <c r="L467" t="s">
        <v>74</v>
      </c>
      <c r="M467" t="s">
        <v>78</v>
      </c>
      <c r="N467" t="s">
        <v>99</v>
      </c>
      <c r="O467" t="s">
        <v>74</v>
      </c>
      <c r="P467" t="s">
        <v>74</v>
      </c>
      <c r="Q467" t="s">
        <v>74</v>
      </c>
      <c r="R467" t="s">
        <v>74</v>
      </c>
      <c r="S467" t="s">
        <v>74</v>
      </c>
      <c r="T467" t="s">
        <v>9125</v>
      </c>
      <c r="U467" t="s">
        <v>9126</v>
      </c>
      <c r="V467" t="s">
        <v>9127</v>
      </c>
      <c r="W467" t="s">
        <v>9128</v>
      </c>
      <c r="X467" t="s">
        <v>9129</v>
      </c>
      <c r="Y467" t="s">
        <v>9130</v>
      </c>
      <c r="Z467" t="s">
        <v>9131</v>
      </c>
      <c r="AA467" t="s">
        <v>74</v>
      </c>
      <c r="AB467" t="s">
        <v>9132</v>
      </c>
      <c r="AC467" t="s">
        <v>6276</v>
      </c>
      <c r="AD467" t="s">
        <v>6277</v>
      </c>
      <c r="AE467" t="s">
        <v>9133</v>
      </c>
      <c r="AF467" t="s">
        <v>74</v>
      </c>
      <c r="AG467">
        <v>32</v>
      </c>
      <c r="AH467">
        <v>1</v>
      </c>
      <c r="AI467">
        <v>1</v>
      </c>
      <c r="AJ467">
        <v>0</v>
      </c>
      <c r="AK467">
        <v>24</v>
      </c>
      <c r="AL467" t="s">
        <v>1945</v>
      </c>
      <c r="AM467" t="s">
        <v>1946</v>
      </c>
      <c r="AN467" t="s">
        <v>1947</v>
      </c>
      <c r="AO467" t="s">
        <v>8826</v>
      </c>
      <c r="AP467" t="s">
        <v>8827</v>
      </c>
      <c r="AQ467" t="s">
        <v>74</v>
      </c>
      <c r="AR467" t="s">
        <v>8828</v>
      </c>
      <c r="AS467" t="s">
        <v>8829</v>
      </c>
      <c r="AT467" t="s">
        <v>9118</v>
      </c>
      <c r="AU467">
        <v>2014</v>
      </c>
      <c r="AV467">
        <v>41</v>
      </c>
      <c r="AW467">
        <v>23</v>
      </c>
      <c r="AX467" t="s">
        <v>74</v>
      </c>
      <c r="AY467" t="s">
        <v>74</v>
      </c>
      <c r="AZ467" t="s">
        <v>74</v>
      </c>
      <c r="BA467" t="s">
        <v>74</v>
      </c>
      <c r="BB467">
        <v>8404</v>
      </c>
      <c r="BC467">
        <v>8410</v>
      </c>
      <c r="BD467" t="s">
        <v>74</v>
      </c>
      <c r="BE467" t="s">
        <v>9134</v>
      </c>
      <c r="BF467" t="str">
        <f>HYPERLINK("http://dx.doi.org/10.1002/2014GL062167","http://dx.doi.org/10.1002/2014GL062167")</f>
        <v>http://dx.doi.org/10.1002/2014GL062167</v>
      </c>
      <c r="BG467" t="s">
        <v>74</v>
      </c>
      <c r="BH467" t="s">
        <v>74</v>
      </c>
      <c r="BI467">
        <v>7</v>
      </c>
      <c r="BJ467" t="s">
        <v>1953</v>
      </c>
      <c r="BK467" t="s">
        <v>91</v>
      </c>
      <c r="BL467" t="s">
        <v>1954</v>
      </c>
      <c r="BM467" t="s">
        <v>9120</v>
      </c>
      <c r="BN467" t="s">
        <v>74</v>
      </c>
      <c r="BO467" t="s">
        <v>375</v>
      </c>
      <c r="BP467" t="s">
        <v>74</v>
      </c>
      <c r="BQ467" t="s">
        <v>74</v>
      </c>
      <c r="BR467" t="s">
        <v>93</v>
      </c>
      <c r="BS467" t="s">
        <v>9135</v>
      </c>
      <c r="BT467" t="str">
        <f>HYPERLINK("https%3A%2F%2Fwww.webofscience.com%2Fwos%2Fwoscc%2Ffull-record%2FWOS:000348462000034","View Full Record in Web of Science")</f>
        <v>View Full Record in Web of Science</v>
      </c>
    </row>
    <row r="468" spans="1:72" x14ac:dyDescent="0.15">
      <c r="A468" t="s">
        <v>72</v>
      </c>
      <c r="B468" t="s">
        <v>9136</v>
      </c>
      <c r="C468" t="s">
        <v>74</v>
      </c>
      <c r="D468" t="s">
        <v>74</v>
      </c>
      <c r="E468" t="s">
        <v>74</v>
      </c>
      <c r="F468" t="s">
        <v>9137</v>
      </c>
      <c r="G468" t="s">
        <v>74</v>
      </c>
      <c r="H468" t="s">
        <v>74</v>
      </c>
      <c r="I468" t="s">
        <v>9138</v>
      </c>
      <c r="J468" t="s">
        <v>8813</v>
      </c>
      <c r="K468" t="s">
        <v>74</v>
      </c>
      <c r="L468" t="s">
        <v>74</v>
      </c>
      <c r="M468" t="s">
        <v>78</v>
      </c>
      <c r="N468" t="s">
        <v>99</v>
      </c>
      <c r="O468" t="s">
        <v>74</v>
      </c>
      <c r="P468" t="s">
        <v>74</v>
      </c>
      <c r="Q468" t="s">
        <v>74</v>
      </c>
      <c r="R468" t="s">
        <v>74</v>
      </c>
      <c r="S468" t="s">
        <v>74</v>
      </c>
      <c r="T468" t="s">
        <v>9139</v>
      </c>
      <c r="U468" t="s">
        <v>9140</v>
      </c>
      <c r="V468" t="s">
        <v>9141</v>
      </c>
      <c r="W468" t="s">
        <v>9142</v>
      </c>
      <c r="X468" t="s">
        <v>9143</v>
      </c>
      <c r="Y468" t="s">
        <v>9144</v>
      </c>
      <c r="Z468" t="s">
        <v>9145</v>
      </c>
      <c r="AA468" t="s">
        <v>9146</v>
      </c>
      <c r="AB468" t="s">
        <v>9147</v>
      </c>
      <c r="AC468" t="s">
        <v>9148</v>
      </c>
      <c r="AD468" t="s">
        <v>9149</v>
      </c>
      <c r="AE468" t="s">
        <v>9150</v>
      </c>
      <c r="AF468" t="s">
        <v>74</v>
      </c>
      <c r="AG468">
        <v>45</v>
      </c>
      <c r="AH468">
        <v>43</v>
      </c>
      <c r="AI468">
        <v>47</v>
      </c>
      <c r="AJ468">
        <v>2</v>
      </c>
      <c r="AK468">
        <v>44</v>
      </c>
      <c r="AL468" t="s">
        <v>1945</v>
      </c>
      <c r="AM468" t="s">
        <v>1946</v>
      </c>
      <c r="AN468" t="s">
        <v>1947</v>
      </c>
      <c r="AO468" t="s">
        <v>8826</v>
      </c>
      <c r="AP468" t="s">
        <v>8827</v>
      </c>
      <c r="AQ468" t="s">
        <v>74</v>
      </c>
      <c r="AR468" t="s">
        <v>8828</v>
      </c>
      <c r="AS468" t="s">
        <v>8829</v>
      </c>
      <c r="AT468" t="s">
        <v>9118</v>
      </c>
      <c r="AU468">
        <v>2014</v>
      </c>
      <c r="AV468">
        <v>41</v>
      </c>
      <c r="AW468">
        <v>23</v>
      </c>
      <c r="AX468" t="s">
        <v>74</v>
      </c>
      <c r="AY468" t="s">
        <v>74</v>
      </c>
      <c r="AZ468" t="s">
        <v>74</v>
      </c>
      <c r="BA468" t="s">
        <v>74</v>
      </c>
      <c r="BB468">
        <v>8429</v>
      </c>
      <c r="BC468">
        <v>8437</v>
      </c>
      <c r="BD468" t="s">
        <v>74</v>
      </c>
      <c r="BE468" t="s">
        <v>9151</v>
      </c>
      <c r="BF468" t="str">
        <f>HYPERLINK("http://dx.doi.org/10.1002/2014GL061659","http://dx.doi.org/10.1002/2014GL061659")</f>
        <v>http://dx.doi.org/10.1002/2014GL061659</v>
      </c>
      <c r="BG468" t="s">
        <v>74</v>
      </c>
      <c r="BH468" t="s">
        <v>74</v>
      </c>
      <c r="BI468">
        <v>9</v>
      </c>
      <c r="BJ468" t="s">
        <v>1953</v>
      </c>
      <c r="BK468" t="s">
        <v>91</v>
      </c>
      <c r="BL468" t="s">
        <v>1954</v>
      </c>
      <c r="BM468" t="s">
        <v>9120</v>
      </c>
      <c r="BN468" t="s">
        <v>74</v>
      </c>
      <c r="BO468" t="s">
        <v>2056</v>
      </c>
      <c r="BP468" t="s">
        <v>74</v>
      </c>
      <c r="BQ468" t="s">
        <v>74</v>
      </c>
      <c r="BR468" t="s">
        <v>93</v>
      </c>
      <c r="BS468" t="s">
        <v>9152</v>
      </c>
      <c r="BT468" t="str">
        <f>HYPERLINK("https%3A%2F%2Fwww.webofscience.com%2Fwos%2Fwoscc%2Ffull-record%2FWOS:000348462000037","View Full Record in Web of Science")</f>
        <v>View Full Record in Web of Science</v>
      </c>
    </row>
    <row r="469" spans="1:72" x14ac:dyDescent="0.15">
      <c r="A469" t="s">
        <v>72</v>
      </c>
      <c r="B469" t="s">
        <v>9153</v>
      </c>
      <c r="C469" t="s">
        <v>74</v>
      </c>
      <c r="D469" t="s">
        <v>74</v>
      </c>
      <c r="E469" t="s">
        <v>74</v>
      </c>
      <c r="F469" t="s">
        <v>9154</v>
      </c>
      <c r="G469" t="s">
        <v>74</v>
      </c>
      <c r="H469" t="s">
        <v>74</v>
      </c>
      <c r="I469" t="s">
        <v>9155</v>
      </c>
      <c r="J469" t="s">
        <v>9038</v>
      </c>
      <c r="K469" t="s">
        <v>74</v>
      </c>
      <c r="L469" t="s">
        <v>74</v>
      </c>
      <c r="M469" t="s">
        <v>78</v>
      </c>
      <c r="N469" t="s">
        <v>99</v>
      </c>
      <c r="O469" t="s">
        <v>74</v>
      </c>
      <c r="P469" t="s">
        <v>74</v>
      </c>
      <c r="Q469" t="s">
        <v>74</v>
      </c>
      <c r="R469" t="s">
        <v>74</v>
      </c>
      <c r="S469" t="s">
        <v>74</v>
      </c>
      <c r="T469" t="s">
        <v>9156</v>
      </c>
      <c r="U469" t="s">
        <v>9157</v>
      </c>
      <c r="V469" t="s">
        <v>9158</v>
      </c>
      <c r="W469" t="s">
        <v>9159</v>
      </c>
      <c r="X469" t="s">
        <v>9160</v>
      </c>
      <c r="Y469" t="s">
        <v>9161</v>
      </c>
      <c r="Z469" t="s">
        <v>9162</v>
      </c>
      <c r="AA469" t="s">
        <v>9163</v>
      </c>
      <c r="AB469" t="s">
        <v>9164</v>
      </c>
      <c r="AC469" t="s">
        <v>9165</v>
      </c>
      <c r="AD469" t="s">
        <v>9166</v>
      </c>
      <c r="AE469" t="s">
        <v>9167</v>
      </c>
      <c r="AF469" t="s">
        <v>74</v>
      </c>
      <c r="AG469">
        <v>58</v>
      </c>
      <c r="AH469">
        <v>53</v>
      </c>
      <c r="AI469">
        <v>63</v>
      </c>
      <c r="AJ469">
        <v>5</v>
      </c>
      <c r="AK469">
        <v>93</v>
      </c>
      <c r="AL469" t="s">
        <v>5958</v>
      </c>
      <c r="AM469" t="s">
        <v>5959</v>
      </c>
      <c r="AN469" t="s">
        <v>5960</v>
      </c>
      <c r="AO469" t="s">
        <v>74</v>
      </c>
      <c r="AP469" t="s">
        <v>9051</v>
      </c>
      <c r="AQ469" t="s">
        <v>74</v>
      </c>
      <c r="AR469" t="s">
        <v>9052</v>
      </c>
      <c r="AS469" t="s">
        <v>9053</v>
      </c>
      <c r="AT469" t="s">
        <v>9118</v>
      </c>
      <c r="AU469">
        <v>2014</v>
      </c>
      <c r="AV469">
        <v>5</v>
      </c>
      <c r="AW469" t="s">
        <v>74</v>
      </c>
      <c r="AX469" t="s">
        <v>74</v>
      </c>
      <c r="AY469" t="s">
        <v>74</v>
      </c>
      <c r="AZ469" t="s">
        <v>74</v>
      </c>
      <c r="BA469" t="s">
        <v>74</v>
      </c>
      <c r="BB469" t="s">
        <v>74</v>
      </c>
      <c r="BC469" t="s">
        <v>74</v>
      </c>
      <c r="BD469">
        <v>647</v>
      </c>
      <c r="BE469" t="s">
        <v>9168</v>
      </c>
      <c r="BF469" t="str">
        <f>HYPERLINK("http://dx.doi.org/10.3389/fmicb.2014.00647","http://dx.doi.org/10.3389/fmicb.2014.00647")</f>
        <v>http://dx.doi.org/10.3389/fmicb.2014.00647</v>
      </c>
      <c r="BG469" t="s">
        <v>74</v>
      </c>
      <c r="BH469" t="s">
        <v>74</v>
      </c>
      <c r="BI469">
        <v>12</v>
      </c>
      <c r="BJ469" t="s">
        <v>5926</v>
      </c>
      <c r="BK469" t="s">
        <v>91</v>
      </c>
      <c r="BL469" t="s">
        <v>5926</v>
      </c>
      <c r="BM469" t="s">
        <v>9169</v>
      </c>
      <c r="BN469">
        <v>25566198</v>
      </c>
      <c r="BO469" t="s">
        <v>1971</v>
      </c>
      <c r="BP469" t="s">
        <v>74</v>
      </c>
      <c r="BQ469" t="s">
        <v>74</v>
      </c>
      <c r="BR469" t="s">
        <v>93</v>
      </c>
      <c r="BS469" t="s">
        <v>9170</v>
      </c>
      <c r="BT469" t="str">
        <f>HYPERLINK("https%3A%2F%2Fwww.webofscience.com%2Fwos%2Fwoscc%2Ffull-record%2FWOS:000347243500001","View Full Record in Web of Science")</f>
        <v>View Full Record in Web of Science</v>
      </c>
    </row>
    <row r="470" spans="1:72" x14ac:dyDescent="0.15">
      <c r="A470" t="s">
        <v>72</v>
      </c>
      <c r="B470" t="s">
        <v>9171</v>
      </c>
      <c r="C470" t="s">
        <v>74</v>
      </c>
      <c r="D470" t="s">
        <v>74</v>
      </c>
      <c r="E470" t="s">
        <v>74</v>
      </c>
      <c r="F470" t="s">
        <v>9172</v>
      </c>
      <c r="G470" t="s">
        <v>74</v>
      </c>
      <c r="H470" t="s">
        <v>74</v>
      </c>
      <c r="I470" t="s">
        <v>9173</v>
      </c>
      <c r="J470" t="s">
        <v>8813</v>
      </c>
      <c r="K470" t="s">
        <v>74</v>
      </c>
      <c r="L470" t="s">
        <v>74</v>
      </c>
      <c r="M470" t="s">
        <v>78</v>
      </c>
      <c r="N470" t="s">
        <v>99</v>
      </c>
      <c r="O470" t="s">
        <v>74</v>
      </c>
      <c r="P470" t="s">
        <v>74</v>
      </c>
      <c r="Q470" t="s">
        <v>74</v>
      </c>
      <c r="R470" t="s">
        <v>74</v>
      </c>
      <c r="S470" t="s">
        <v>74</v>
      </c>
      <c r="T470" t="s">
        <v>9174</v>
      </c>
      <c r="U470" t="s">
        <v>9175</v>
      </c>
      <c r="V470" t="s">
        <v>9176</v>
      </c>
      <c r="W470" t="s">
        <v>9177</v>
      </c>
      <c r="X470" t="s">
        <v>9178</v>
      </c>
      <c r="Y470" t="s">
        <v>9179</v>
      </c>
      <c r="Z470" t="s">
        <v>9180</v>
      </c>
      <c r="AA470" t="s">
        <v>9181</v>
      </c>
      <c r="AB470" t="s">
        <v>9182</v>
      </c>
      <c r="AC470" t="s">
        <v>9183</v>
      </c>
      <c r="AD470" t="s">
        <v>9184</v>
      </c>
      <c r="AE470" t="s">
        <v>9185</v>
      </c>
      <c r="AF470" t="s">
        <v>74</v>
      </c>
      <c r="AG470">
        <v>35</v>
      </c>
      <c r="AH470">
        <v>23</v>
      </c>
      <c r="AI470">
        <v>23</v>
      </c>
      <c r="AJ470">
        <v>0</v>
      </c>
      <c r="AK470">
        <v>5</v>
      </c>
      <c r="AL470" t="s">
        <v>1945</v>
      </c>
      <c r="AM470" t="s">
        <v>1946</v>
      </c>
      <c r="AN470" t="s">
        <v>1947</v>
      </c>
      <c r="AO470" t="s">
        <v>8826</v>
      </c>
      <c r="AP470" t="s">
        <v>8827</v>
      </c>
      <c r="AQ470" t="s">
        <v>74</v>
      </c>
      <c r="AR470" t="s">
        <v>8828</v>
      </c>
      <c r="AS470" t="s">
        <v>8829</v>
      </c>
      <c r="AT470" t="s">
        <v>9118</v>
      </c>
      <c r="AU470">
        <v>2014</v>
      </c>
      <c r="AV470">
        <v>41</v>
      </c>
      <c r="AW470">
        <v>23</v>
      </c>
      <c r="AX470" t="s">
        <v>74</v>
      </c>
      <c r="AY470" t="s">
        <v>74</v>
      </c>
      <c r="AZ470" t="s">
        <v>74</v>
      </c>
      <c r="BA470" t="s">
        <v>74</v>
      </c>
      <c r="BB470">
        <v>8176</v>
      </c>
      <c r="BC470">
        <v>8184</v>
      </c>
      <c r="BD470" t="s">
        <v>74</v>
      </c>
      <c r="BE470" t="s">
        <v>9186</v>
      </c>
      <c r="BF470" t="str">
        <f>HYPERLINK("http://dx.doi.org/10.1002/2014GL062203","http://dx.doi.org/10.1002/2014GL062203")</f>
        <v>http://dx.doi.org/10.1002/2014GL062203</v>
      </c>
      <c r="BG470" t="s">
        <v>74</v>
      </c>
      <c r="BH470" t="s">
        <v>74</v>
      </c>
      <c r="BI470">
        <v>9</v>
      </c>
      <c r="BJ470" t="s">
        <v>1953</v>
      </c>
      <c r="BK470" t="s">
        <v>91</v>
      </c>
      <c r="BL470" t="s">
        <v>1954</v>
      </c>
      <c r="BM470" t="s">
        <v>9120</v>
      </c>
      <c r="BN470" t="s">
        <v>74</v>
      </c>
      <c r="BO470" t="s">
        <v>74</v>
      </c>
      <c r="BP470" t="s">
        <v>74</v>
      </c>
      <c r="BQ470" t="s">
        <v>74</v>
      </c>
      <c r="BR470" t="s">
        <v>93</v>
      </c>
      <c r="BS470" t="s">
        <v>9187</v>
      </c>
      <c r="BT470" t="str">
        <f>HYPERLINK("https%3A%2F%2Fwww.webofscience.com%2Fwos%2Fwoscc%2Ffull-record%2FWOS:000348462000005","View Full Record in Web of Science")</f>
        <v>View Full Record in Web of Science</v>
      </c>
    </row>
    <row r="471" spans="1:72" x14ac:dyDescent="0.15">
      <c r="A471" t="s">
        <v>72</v>
      </c>
      <c r="B471" t="s">
        <v>9188</v>
      </c>
      <c r="C471" t="s">
        <v>74</v>
      </c>
      <c r="D471" t="s">
        <v>74</v>
      </c>
      <c r="E471" t="s">
        <v>74</v>
      </c>
      <c r="F471" t="s">
        <v>9189</v>
      </c>
      <c r="G471" t="s">
        <v>74</v>
      </c>
      <c r="H471" t="s">
        <v>74</v>
      </c>
      <c r="I471" t="s">
        <v>9190</v>
      </c>
      <c r="J471" t="s">
        <v>8813</v>
      </c>
      <c r="K471" t="s">
        <v>74</v>
      </c>
      <c r="L471" t="s">
        <v>74</v>
      </c>
      <c r="M471" t="s">
        <v>78</v>
      </c>
      <c r="N471" t="s">
        <v>99</v>
      </c>
      <c r="O471" t="s">
        <v>74</v>
      </c>
      <c r="P471" t="s">
        <v>74</v>
      </c>
      <c r="Q471" t="s">
        <v>74</v>
      </c>
      <c r="R471" t="s">
        <v>74</v>
      </c>
      <c r="S471" t="s">
        <v>74</v>
      </c>
      <c r="T471" t="s">
        <v>9191</v>
      </c>
      <c r="U471" t="s">
        <v>9192</v>
      </c>
      <c r="V471" t="s">
        <v>9193</v>
      </c>
      <c r="W471" t="s">
        <v>9194</v>
      </c>
      <c r="X471" t="s">
        <v>9195</v>
      </c>
      <c r="Y471" t="s">
        <v>9196</v>
      </c>
      <c r="Z471" t="s">
        <v>9197</v>
      </c>
      <c r="AA471" t="s">
        <v>9198</v>
      </c>
      <c r="AB471" t="s">
        <v>9199</v>
      </c>
      <c r="AC471" t="s">
        <v>9200</v>
      </c>
      <c r="AD471" t="s">
        <v>9201</v>
      </c>
      <c r="AE471" t="s">
        <v>9202</v>
      </c>
      <c r="AF471" t="s">
        <v>74</v>
      </c>
      <c r="AG471">
        <v>32</v>
      </c>
      <c r="AH471">
        <v>17</v>
      </c>
      <c r="AI471">
        <v>19</v>
      </c>
      <c r="AJ471">
        <v>0</v>
      </c>
      <c r="AK471">
        <v>14</v>
      </c>
      <c r="AL471" t="s">
        <v>1945</v>
      </c>
      <c r="AM471" t="s">
        <v>1946</v>
      </c>
      <c r="AN471" t="s">
        <v>1947</v>
      </c>
      <c r="AO471" t="s">
        <v>8826</v>
      </c>
      <c r="AP471" t="s">
        <v>8827</v>
      </c>
      <c r="AQ471" t="s">
        <v>74</v>
      </c>
      <c r="AR471" t="s">
        <v>8828</v>
      </c>
      <c r="AS471" t="s">
        <v>8829</v>
      </c>
      <c r="AT471" t="s">
        <v>9118</v>
      </c>
      <c r="AU471">
        <v>2014</v>
      </c>
      <c r="AV471">
        <v>41</v>
      </c>
      <c r="AW471">
        <v>23</v>
      </c>
      <c r="AX471" t="s">
        <v>74</v>
      </c>
      <c r="AY471" t="s">
        <v>74</v>
      </c>
      <c r="AZ471" t="s">
        <v>74</v>
      </c>
      <c r="BA471" t="s">
        <v>74</v>
      </c>
      <c r="BB471">
        <v>8396</v>
      </c>
      <c r="BC471">
        <v>8403</v>
      </c>
      <c r="BD471" t="s">
        <v>74</v>
      </c>
      <c r="BE471" t="s">
        <v>9203</v>
      </c>
      <c r="BF471" t="str">
        <f>HYPERLINK("http://dx.doi.org/10.1002/2014GL062081","http://dx.doi.org/10.1002/2014GL062081")</f>
        <v>http://dx.doi.org/10.1002/2014GL062081</v>
      </c>
      <c r="BG471" t="s">
        <v>74</v>
      </c>
      <c r="BH471" t="s">
        <v>74</v>
      </c>
      <c r="BI471">
        <v>8</v>
      </c>
      <c r="BJ471" t="s">
        <v>1953</v>
      </c>
      <c r="BK471" t="s">
        <v>91</v>
      </c>
      <c r="BL471" t="s">
        <v>1954</v>
      </c>
      <c r="BM471" t="s">
        <v>9120</v>
      </c>
      <c r="BN471" t="s">
        <v>74</v>
      </c>
      <c r="BO471" t="s">
        <v>2056</v>
      </c>
      <c r="BP471" t="s">
        <v>74</v>
      </c>
      <c r="BQ471" t="s">
        <v>74</v>
      </c>
      <c r="BR471" t="s">
        <v>93</v>
      </c>
      <c r="BS471" t="s">
        <v>9204</v>
      </c>
      <c r="BT471" t="str">
        <f>HYPERLINK("https%3A%2F%2Fwww.webofscience.com%2Fwos%2Fwoscc%2Ffull-record%2FWOS:000348462000033","View Full Record in Web of Science")</f>
        <v>View Full Record in Web of Science</v>
      </c>
    </row>
    <row r="472" spans="1:72" x14ac:dyDescent="0.15">
      <c r="A472" t="s">
        <v>72</v>
      </c>
      <c r="B472" t="s">
        <v>9205</v>
      </c>
      <c r="C472" t="s">
        <v>74</v>
      </c>
      <c r="D472" t="s">
        <v>74</v>
      </c>
      <c r="E472" t="s">
        <v>74</v>
      </c>
      <c r="F472" t="s">
        <v>9206</v>
      </c>
      <c r="G472" t="s">
        <v>74</v>
      </c>
      <c r="H472" t="s">
        <v>74</v>
      </c>
      <c r="I472" t="s">
        <v>9207</v>
      </c>
      <c r="J472" t="s">
        <v>8813</v>
      </c>
      <c r="K472" t="s">
        <v>74</v>
      </c>
      <c r="L472" t="s">
        <v>74</v>
      </c>
      <c r="M472" t="s">
        <v>78</v>
      </c>
      <c r="N472" t="s">
        <v>99</v>
      </c>
      <c r="O472" t="s">
        <v>74</v>
      </c>
      <c r="P472" t="s">
        <v>74</v>
      </c>
      <c r="Q472" t="s">
        <v>74</v>
      </c>
      <c r="R472" t="s">
        <v>74</v>
      </c>
      <c r="S472" t="s">
        <v>74</v>
      </c>
      <c r="T472" t="s">
        <v>9208</v>
      </c>
      <c r="U472" t="s">
        <v>9209</v>
      </c>
      <c r="V472" t="s">
        <v>9210</v>
      </c>
      <c r="W472" t="s">
        <v>9211</v>
      </c>
      <c r="X472" t="s">
        <v>9212</v>
      </c>
      <c r="Y472" t="s">
        <v>9213</v>
      </c>
      <c r="Z472" t="s">
        <v>9214</v>
      </c>
      <c r="AA472" t="s">
        <v>9215</v>
      </c>
      <c r="AB472" t="s">
        <v>9216</v>
      </c>
      <c r="AC472" t="s">
        <v>9217</v>
      </c>
      <c r="AD472" t="s">
        <v>9218</v>
      </c>
      <c r="AE472" t="s">
        <v>9219</v>
      </c>
      <c r="AF472" t="s">
        <v>74</v>
      </c>
      <c r="AG472">
        <v>32</v>
      </c>
      <c r="AH472">
        <v>47</v>
      </c>
      <c r="AI472">
        <v>51</v>
      </c>
      <c r="AJ472">
        <v>0</v>
      </c>
      <c r="AK472">
        <v>17</v>
      </c>
      <c r="AL472" t="s">
        <v>1945</v>
      </c>
      <c r="AM472" t="s">
        <v>1946</v>
      </c>
      <c r="AN472" t="s">
        <v>1947</v>
      </c>
      <c r="AO472" t="s">
        <v>8826</v>
      </c>
      <c r="AP472" t="s">
        <v>8827</v>
      </c>
      <c r="AQ472" t="s">
        <v>74</v>
      </c>
      <c r="AR472" t="s">
        <v>8828</v>
      </c>
      <c r="AS472" t="s">
        <v>8829</v>
      </c>
      <c r="AT472" t="s">
        <v>9118</v>
      </c>
      <c r="AU472">
        <v>2014</v>
      </c>
      <c r="AV472">
        <v>41</v>
      </c>
      <c r="AW472">
        <v>23</v>
      </c>
      <c r="AX472" t="s">
        <v>74</v>
      </c>
      <c r="AY472" t="s">
        <v>74</v>
      </c>
      <c r="AZ472" t="s">
        <v>74</v>
      </c>
      <c r="BA472" t="s">
        <v>74</v>
      </c>
      <c r="BB472">
        <v>8445</v>
      </c>
      <c r="BC472">
        <v>8451</v>
      </c>
      <c r="BD472" t="s">
        <v>74</v>
      </c>
      <c r="BE472" t="s">
        <v>9220</v>
      </c>
      <c r="BF472" t="str">
        <f>HYPERLINK("http://dx.doi.org/10.1002/2014GL062421","http://dx.doi.org/10.1002/2014GL062421")</f>
        <v>http://dx.doi.org/10.1002/2014GL062421</v>
      </c>
      <c r="BG472" t="s">
        <v>74</v>
      </c>
      <c r="BH472" t="s">
        <v>74</v>
      </c>
      <c r="BI472">
        <v>7</v>
      </c>
      <c r="BJ472" t="s">
        <v>1953</v>
      </c>
      <c r="BK472" t="s">
        <v>91</v>
      </c>
      <c r="BL472" t="s">
        <v>1954</v>
      </c>
      <c r="BM472" t="s">
        <v>9120</v>
      </c>
      <c r="BN472" t="s">
        <v>74</v>
      </c>
      <c r="BO472" t="s">
        <v>2081</v>
      </c>
      <c r="BP472" t="s">
        <v>74</v>
      </c>
      <c r="BQ472" t="s">
        <v>74</v>
      </c>
      <c r="BR472" t="s">
        <v>93</v>
      </c>
      <c r="BS472" t="s">
        <v>9221</v>
      </c>
      <c r="BT472" t="str">
        <f>HYPERLINK("https%3A%2F%2Fwww.webofscience.com%2Fwos%2Fwoscc%2Ffull-record%2FWOS:000348462000039","View Full Record in Web of Science")</f>
        <v>View Full Record in Web of Science</v>
      </c>
    </row>
    <row r="473" spans="1:72" x14ac:dyDescent="0.15">
      <c r="A473" t="s">
        <v>72</v>
      </c>
      <c r="B473" t="s">
        <v>9222</v>
      </c>
      <c r="C473" t="s">
        <v>74</v>
      </c>
      <c r="D473" t="s">
        <v>74</v>
      </c>
      <c r="E473" t="s">
        <v>74</v>
      </c>
      <c r="F473" t="s">
        <v>9223</v>
      </c>
      <c r="G473" t="s">
        <v>74</v>
      </c>
      <c r="H473" t="s">
        <v>74</v>
      </c>
      <c r="I473" t="s">
        <v>9224</v>
      </c>
      <c r="J473" t="s">
        <v>8813</v>
      </c>
      <c r="K473" t="s">
        <v>74</v>
      </c>
      <c r="L473" t="s">
        <v>74</v>
      </c>
      <c r="M473" t="s">
        <v>78</v>
      </c>
      <c r="N473" t="s">
        <v>99</v>
      </c>
      <c r="O473" t="s">
        <v>74</v>
      </c>
      <c r="P473" t="s">
        <v>74</v>
      </c>
      <c r="Q473" t="s">
        <v>74</v>
      </c>
      <c r="R473" t="s">
        <v>74</v>
      </c>
      <c r="S473" t="s">
        <v>74</v>
      </c>
      <c r="T473" t="s">
        <v>9225</v>
      </c>
      <c r="U473" t="s">
        <v>9226</v>
      </c>
      <c r="V473" t="s">
        <v>9227</v>
      </c>
      <c r="W473" t="s">
        <v>9228</v>
      </c>
      <c r="X473" t="s">
        <v>9229</v>
      </c>
      <c r="Y473" t="s">
        <v>9230</v>
      </c>
      <c r="Z473" t="s">
        <v>9231</v>
      </c>
      <c r="AA473" t="s">
        <v>9232</v>
      </c>
      <c r="AB473" t="s">
        <v>9233</v>
      </c>
      <c r="AC473" t="s">
        <v>9234</v>
      </c>
      <c r="AD473" t="s">
        <v>9235</v>
      </c>
      <c r="AE473" t="s">
        <v>9236</v>
      </c>
      <c r="AF473" t="s">
        <v>74</v>
      </c>
      <c r="AG473">
        <v>40</v>
      </c>
      <c r="AH473">
        <v>13</v>
      </c>
      <c r="AI473">
        <v>14</v>
      </c>
      <c r="AJ473">
        <v>0</v>
      </c>
      <c r="AK473">
        <v>34</v>
      </c>
      <c r="AL473" t="s">
        <v>1945</v>
      </c>
      <c r="AM473" t="s">
        <v>1946</v>
      </c>
      <c r="AN473" t="s">
        <v>1947</v>
      </c>
      <c r="AO473" t="s">
        <v>8826</v>
      </c>
      <c r="AP473" t="s">
        <v>8827</v>
      </c>
      <c r="AQ473" t="s">
        <v>74</v>
      </c>
      <c r="AR473" t="s">
        <v>8828</v>
      </c>
      <c r="AS473" t="s">
        <v>8829</v>
      </c>
      <c r="AT473" t="s">
        <v>9118</v>
      </c>
      <c r="AU473">
        <v>2014</v>
      </c>
      <c r="AV473">
        <v>41</v>
      </c>
      <c r="AW473">
        <v>23</v>
      </c>
      <c r="AX473" t="s">
        <v>74</v>
      </c>
      <c r="AY473" t="s">
        <v>74</v>
      </c>
      <c r="AZ473" t="s">
        <v>74</v>
      </c>
      <c r="BA473" t="s">
        <v>74</v>
      </c>
      <c r="BB473">
        <v>8530</v>
      </c>
      <c r="BC473">
        <v>8537</v>
      </c>
      <c r="BD473" t="s">
        <v>74</v>
      </c>
      <c r="BE473" t="s">
        <v>9237</v>
      </c>
      <c r="BF473" t="str">
        <f>HYPERLINK("http://dx.doi.org/10.1002/2014GL062051","http://dx.doi.org/10.1002/2014GL062051")</f>
        <v>http://dx.doi.org/10.1002/2014GL062051</v>
      </c>
      <c r="BG473" t="s">
        <v>74</v>
      </c>
      <c r="BH473" t="s">
        <v>74</v>
      </c>
      <c r="BI473">
        <v>8</v>
      </c>
      <c r="BJ473" t="s">
        <v>1953</v>
      </c>
      <c r="BK473" t="s">
        <v>91</v>
      </c>
      <c r="BL473" t="s">
        <v>1954</v>
      </c>
      <c r="BM473" t="s">
        <v>9120</v>
      </c>
      <c r="BN473" t="s">
        <v>74</v>
      </c>
      <c r="BO473" t="s">
        <v>9238</v>
      </c>
      <c r="BP473" t="s">
        <v>74</v>
      </c>
      <c r="BQ473" t="s">
        <v>74</v>
      </c>
      <c r="BR473" t="s">
        <v>93</v>
      </c>
      <c r="BS473" t="s">
        <v>9239</v>
      </c>
      <c r="BT473" t="str">
        <f>HYPERLINK("https%3A%2F%2Fwww.webofscience.com%2Fwos%2Fwoscc%2Ffull-record%2FWOS:000348462000049","View Full Record in Web of Science")</f>
        <v>View Full Record in Web of Science</v>
      </c>
    </row>
    <row r="474" spans="1:72" x14ac:dyDescent="0.15">
      <c r="A474" t="s">
        <v>72</v>
      </c>
      <c r="B474" t="s">
        <v>9240</v>
      </c>
      <c r="C474" t="s">
        <v>74</v>
      </c>
      <c r="D474" t="s">
        <v>74</v>
      </c>
      <c r="E474" t="s">
        <v>74</v>
      </c>
      <c r="F474" t="s">
        <v>9241</v>
      </c>
      <c r="G474" t="s">
        <v>74</v>
      </c>
      <c r="H474" t="s">
        <v>74</v>
      </c>
      <c r="I474" t="s">
        <v>9242</v>
      </c>
      <c r="J474" t="s">
        <v>8813</v>
      </c>
      <c r="K474" t="s">
        <v>74</v>
      </c>
      <c r="L474" t="s">
        <v>74</v>
      </c>
      <c r="M474" t="s">
        <v>78</v>
      </c>
      <c r="N474" t="s">
        <v>99</v>
      </c>
      <c r="O474" t="s">
        <v>74</v>
      </c>
      <c r="P474" t="s">
        <v>74</v>
      </c>
      <c r="Q474" t="s">
        <v>74</v>
      </c>
      <c r="R474" t="s">
        <v>74</v>
      </c>
      <c r="S474" t="s">
        <v>74</v>
      </c>
      <c r="T474" t="s">
        <v>9243</v>
      </c>
      <c r="U474" t="s">
        <v>9244</v>
      </c>
      <c r="V474" t="s">
        <v>9245</v>
      </c>
      <c r="W474" t="s">
        <v>9246</v>
      </c>
      <c r="X474" t="s">
        <v>9247</v>
      </c>
      <c r="Y474" t="s">
        <v>9248</v>
      </c>
      <c r="Z474" t="s">
        <v>9249</v>
      </c>
      <c r="AA474" t="s">
        <v>9250</v>
      </c>
      <c r="AB474" t="s">
        <v>9251</v>
      </c>
      <c r="AC474" t="s">
        <v>9252</v>
      </c>
      <c r="AD474" t="s">
        <v>9253</v>
      </c>
      <c r="AE474" t="s">
        <v>9254</v>
      </c>
      <c r="AF474" t="s">
        <v>74</v>
      </c>
      <c r="AG474">
        <v>28</v>
      </c>
      <c r="AH474">
        <v>28</v>
      </c>
      <c r="AI474">
        <v>31</v>
      </c>
      <c r="AJ474">
        <v>0</v>
      </c>
      <c r="AK474">
        <v>9</v>
      </c>
      <c r="AL474" t="s">
        <v>1945</v>
      </c>
      <c r="AM474" t="s">
        <v>1946</v>
      </c>
      <c r="AN474" t="s">
        <v>1947</v>
      </c>
      <c r="AO474" t="s">
        <v>8826</v>
      </c>
      <c r="AP474" t="s">
        <v>8827</v>
      </c>
      <c r="AQ474" t="s">
        <v>74</v>
      </c>
      <c r="AR474" t="s">
        <v>8828</v>
      </c>
      <c r="AS474" t="s">
        <v>8829</v>
      </c>
      <c r="AT474" t="s">
        <v>9118</v>
      </c>
      <c r="AU474">
        <v>2014</v>
      </c>
      <c r="AV474">
        <v>41</v>
      </c>
      <c r="AW474">
        <v>23</v>
      </c>
      <c r="AX474" t="s">
        <v>74</v>
      </c>
      <c r="AY474" t="s">
        <v>74</v>
      </c>
      <c r="AZ474" t="s">
        <v>74</v>
      </c>
      <c r="BA474" t="s">
        <v>74</v>
      </c>
      <c r="BB474">
        <v>8602</v>
      </c>
      <c r="BC474">
        <v>8610</v>
      </c>
      <c r="BD474" t="s">
        <v>74</v>
      </c>
      <c r="BE474" t="s">
        <v>9255</v>
      </c>
      <c r="BF474" t="str">
        <f>HYPERLINK("http://dx.doi.org/10.1002/2014GL061627","http://dx.doi.org/10.1002/2014GL061627")</f>
        <v>http://dx.doi.org/10.1002/2014GL061627</v>
      </c>
      <c r="BG474" t="s">
        <v>74</v>
      </c>
      <c r="BH474" t="s">
        <v>74</v>
      </c>
      <c r="BI474">
        <v>9</v>
      </c>
      <c r="BJ474" t="s">
        <v>1953</v>
      </c>
      <c r="BK474" t="s">
        <v>91</v>
      </c>
      <c r="BL474" t="s">
        <v>1954</v>
      </c>
      <c r="BM474" t="s">
        <v>9120</v>
      </c>
      <c r="BN474" t="s">
        <v>74</v>
      </c>
      <c r="BO474" t="s">
        <v>2081</v>
      </c>
      <c r="BP474" t="s">
        <v>74</v>
      </c>
      <c r="BQ474" t="s">
        <v>74</v>
      </c>
      <c r="BR474" t="s">
        <v>93</v>
      </c>
      <c r="BS474" t="s">
        <v>9256</v>
      </c>
      <c r="BT474" t="str">
        <f>HYPERLINK("https%3A%2F%2Fwww.webofscience.com%2Fwos%2Fwoscc%2Ffull-record%2FWOS:000348462000058","View Full Record in Web of Science")</f>
        <v>View Full Record in Web of Science</v>
      </c>
    </row>
    <row r="475" spans="1:72" x14ac:dyDescent="0.15">
      <c r="A475" t="s">
        <v>72</v>
      </c>
      <c r="B475" t="s">
        <v>1559</v>
      </c>
      <c r="C475" t="s">
        <v>74</v>
      </c>
      <c r="D475" t="s">
        <v>74</v>
      </c>
      <c r="E475" t="s">
        <v>74</v>
      </c>
      <c r="F475" t="s">
        <v>1559</v>
      </c>
      <c r="G475" t="s">
        <v>74</v>
      </c>
      <c r="H475" t="s">
        <v>74</v>
      </c>
      <c r="I475" t="s">
        <v>9257</v>
      </c>
      <c r="J475" t="s">
        <v>9258</v>
      </c>
      <c r="K475" t="s">
        <v>74</v>
      </c>
      <c r="L475" t="s">
        <v>74</v>
      </c>
      <c r="M475" t="s">
        <v>78</v>
      </c>
      <c r="N475" t="s">
        <v>1562</v>
      </c>
      <c r="O475" t="s">
        <v>74</v>
      </c>
      <c r="P475" t="s">
        <v>74</v>
      </c>
      <c r="Q475" t="s">
        <v>74</v>
      </c>
      <c r="R475" t="s">
        <v>74</v>
      </c>
      <c r="S475" t="s">
        <v>74</v>
      </c>
      <c r="T475" t="s">
        <v>74</v>
      </c>
      <c r="U475" t="s">
        <v>74</v>
      </c>
      <c r="V475" t="s">
        <v>74</v>
      </c>
      <c r="W475" t="s">
        <v>74</v>
      </c>
      <c r="X475" t="s">
        <v>74</v>
      </c>
      <c r="Y475" t="s">
        <v>74</v>
      </c>
      <c r="Z475" t="s">
        <v>74</v>
      </c>
      <c r="AA475" t="s">
        <v>74</v>
      </c>
      <c r="AB475" t="s">
        <v>74</v>
      </c>
      <c r="AC475" t="s">
        <v>74</v>
      </c>
      <c r="AD475" t="s">
        <v>74</v>
      </c>
      <c r="AE475" t="s">
        <v>74</v>
      </c>
      <c r="AF475" t="s">
        <v>74</v>
      </c>
      <c r="AG475">
        <v>0</v>
      </c>
      <c r="AH475">
        <v>0</v>
      </c>
      <c r="AI475">
        <v>0</v>
      </c>
      <c r="AJ475">
        <v>0</v>
      </c>
      <c r="AK475">
        <v>2</v>
      </c>
      <c r="AL475" t="s">
        <v>2439</v>
      </c>
      <c r="AM475" t="s">
        <v>1411</v>
      </c>
      <c r="AN475" t="s">
        <v>2440</v>
      </c>
      <c r="AO475" t="s">
        <v>9259</v>
      </c>
      <c r="AP475" t="s">
        <v>9260</v>
      </c>
      <c r="AQ475" t="s">
        <v>74</v>
      </c>
      <c r="AR475" t="s">
        <v>9261</v>
      </c>
      <c r="AS475" t="s">
        <v>9262</v>
      </c>
      <c r="AT475" t="s">
        <v>9263</v>
      </c>
      <c r="AU475">
        <v>2014</v>
      </c>
      <c r="AV475">
        <v>89</v>
      </c>
      <c r="AW475" t="s">
        <v>2766</v>
      </c>
      <c r="AX475" t="s">
        <v>74</v>
      </c>
      <c r="AY475" t="s">
        <v>74</v>
      </c>
      <c r="AZ475" t="s">
        <v>74</v>
      </c>
      <c r="BA475" t="s">
        <v>74</v>
      </c>
      <c r="BB475">
        <v>2</v>
      </c>
      <c r="BC475">
        <v>2</v>
      </c>
      <c r="BD475" t="s">
        <v>74</v>
      </c>
      <c r="BE475" t="s">
        <v>74</v>
      </c>
      <c r="BF475" t="s">
        <v>74</v>
      </c>
      <c r="BG475" t="s">
        <v>74</v>
      </c>
      <c r="BH475" t="s">
        <v>74</v>
      </c>
      <c r="BI475">
        <v>1</v>
      </c>
      <c r="BJ475" t="s">
        <v>2673</v>
      </c>
      <c r="BK475" t="s">
        <v>91</v>
      </c>
      <c r="BL475" t="s">
        <v>2674</v>
      </c>
      <c r="BM475" t="s">
        <v>9264</v>
      </c>
      <c r="BN475">
        <v>25606611</v>
      </c>
      <c r="BO475" t="s">
        <v>74</v>
      </c>
      <c r="BP475" t="s">
        <v>74</v>
      </c>
      <c r="BQ475" t="s">
        <v>74</v>
      </c>
      <c r="BR475" t="s">
        <v>93</v>
      </c>
      <c r="BS475" t="s">
        <v>9265</v>
      </c>
      <c r="BT475" t="str">
        <f>HYPERLINK("https%3A%2F%2Fwww.webofscience.com%2Fwos%2Fwoscc%2Ffull-record%2FWOS:000347494700005","View Full Record in Web of Science")</f>
        <v>View Full Record in Web of Science</v>
      </c>
    </row>
    <row r="476" spans="1:72" x14ac:dyDescent="0.15">
      <c r="A476" t="s">
        <v>72</v>
      </c>
      <c r="B476" t="s">
        <v>1559</v>
      </c>
      <c r="C476" t="s">
        <v>74</v>
      </c>
      <c r="D476" t="s">
        <v>74</v>
      </c>
      <c r="E476" t="s">
        <v>74</v>
      </c>
      <c r="F476" t="s">
        <v>1559</v>
      </c>
      <c r="G476" t="s">
        <v>74</v>
      </c>
      <c r="H476" t="s">
        <v>74</v>
      </c>
      <c r="I476" t="s">
        <v>9266</v>
      </c>
      <c r="J476" t="s">
        <v>9258</v>
      </c>
      <c r="K476" t="s">
        <v>74</v>
      </c>
      <c r="L476" t="s">
        <v>74</v>
      </c>
      <c r="M476" t="s">
        <v>78</v>
      </c>
      <c r="N476" t="s">
        <v>1562</v>
      </c>
      <c r="O476" t="s">
        <v>74</v>
      </c>
      <c r="P476" t="s">
        <v>74</v>
      </c>
      <c r="Q476" t="s">
        <v>74</v>
      </c>
      <c r="R476" t="s">
        <v>74</v>
      </c>
      <c r="S476" t="s">
        <v>74</v>
      </c>
      <c r="T476" t="s">
        <v>74</v>
      </c>
      <c r="U476" t="s">
        <v>74</v>
      </c>
      <c r="V476" t="s">
        <v>74</v>
      </c>
      <c r="W476" t="s">
        <v>74</v>
      </c>
      <c r="X476" t="s">
        <v>74</v>
      </c>
      <c r="Y476" t="s">
        <v>74</v>
      </c>
      <c r="Z476" t="s">
        <v>74</v>
      </c>
      <c r="AA476" t="s">
        <v>74</v>
      </c>
      <c r="AB476" t="s">
        <v>74</v>
      </c>
      <c r="AC476" t="s">
        <v>74</v>
      </c>
      <c r="AD476" t="s">
        <v>74</v>
      </c>
      <c r="AE476" t="s">
        <v>74</v>
      </c>
      <c r="AF476" t="s">
        <v>74</v>
      </c>
      <c r="AG476">
        <v>0</v>
      </c>
      <c r="AH476">
        <v>0</v>
      </c>
      <c r="AI476">
        <v>0</v>
      </c>
      <c r="AJ476">
        <v>0</v>
      </c>
      <c r="AK476">
        <v>0</v>
      </c>
      <c r="AL476" t="s">
        <v>2439</v>
      </c>
      <c r="AM476" t="s">
        <v>1411</v>
      </c>
      <c r="AN476" t="s">
        <v>2440</v>
      </c>
      <c r="AO476" t="s">
        <v>9259</v>
      </c>
      <c r="AP476" t="s">
        <v>9260</v>
      </c>
      <c r="AQ476" t="s">
        <v>74</v>
      </c>
      <c r="AR476" t="s">
        <v>9261</v>
      </c>
      <c r="AS476" t="s">
        <v>9262</v>
      </c>
      <c r="AT476" t="s">
        <v>9263</v>
      </c>
      <c r="AU476">
        <v>2014</v>
      </c>
      <c r="AV476">
        <v>89</v>
      </c>
      <c r="AW476" t="s">
        <v>2766</v>
      </c>
      <c r="AX476" t="s">
        <v>74</v>
      </c>
      <c r="AY476" t="s">
        <v>74</v>
      </c>
      <c r="AZ476" t="s">
        <v>74</v>
      </c>
      <c r="BA476" t="s">
        <v>74</v>
      </c>
      <c r="BB476">
        <v>3</v>
      </c>
      <c r="BC476">
        <v>3</v>
      </c>
      <c r="BD476" t="s">
        <v>74</v>
      </c>
      <c r="BE476" t="s">
        <v>74</v>
      </c>
      <c r="BF476" t="s">
        <v>74</v>
      </c>
      <c r="BG476" t="s">
        <v>74</v>
      </c>
      <c r="BH476" t="s">
        <v>74</v>
      </c>
      <c r="BI476">
        <v>1</v>
      </c>
      <c r="BJ476" t="s">
        <v>2673</v>
      </c>
      <c r="BK476" t="s">
        <v>91</v>
      </c>
      <c r="BL476" t="s">
        <v>2674</v>
      </c>
      <c r="BM476" t="s">
        <v>9264</v>
      </c>
      <c r="BN476">
        <v>25606616</v>
      </c>
      <c r="BO476" t="s">
        <v>74</v>
      </c>
      <c r="BP476" t="s">
        <v>74</v>
      </c>
      <c r="BQ476" t="s">
        <v>74</v>
      </c>
      <c r="BR476" t="s">
        <v>93</v>
      </c>
      <c r="BS476" t="s">
        <v>9267</v>
      </c>
      <c r="BT476" t="str">
        <f>HYPERLINK("https%3A%2F%2Fwww.webofscience.com%2Fwos%2Fwoscc%2Ffull-record%2FWOS:000347494700010","View Full Record in Web of Science")</f>
        <v>View Full Record in Web of Science</v>
      </c>
    </row>
    <row r="477" spans="1:72" x14ac:dyDescent="0.15">
      <c r="A477" t="s">
        <v>72</v>
      </c>
      <c r="B477" t="s">
        <v>9268</v>
      </c>
      <c r="C477" t="s">
        <v>74</v>
      </c>
      <c r="D477" t="s">
        <v>74</v>
      </c>
      <c r="E477" t="s">
        <v>74</v>
      </c>
      <c r="F477" t="s">
        <v>9269</v>
      </c>
      <c r="G477" t="s">
        <v>74</v>
      </c>
      <c r="H477" t="s">
        <v>74</v>
      </c>
      <c r="I477" t="s">
        <v>9270</v>
      </c>
      <c r="J477" t="s">
        <v>9258</v>
      </c>
      <c r="K477" t="s">
        <v>74</v>
      </c>
      <c r="L477" t="s">
        <v>74</v>
      </c>
      <c r="M477" t="s">
        <v>78</v>
      </c>
      <c r="N477" t="s">
        <v>99</v>
      </c>
      <c r="O477" t="s">
        <v>74</v>
      </c>
      <c r="P477" t="s">
        <v>74</v>
      </c>
      <c r="Q477" t="s">
        <v>74</v>
      </c>
      <c r="R477" t="s">
        <v>74</v>
      </c>
      <c r="S477" t="s">
        <v>74</v>
      </c>
      <c r="T477" t="s">
        <v>9271</v>
      </c>
      <c r="U477" t="s">
        <v>9272</v>
      </c>
      <c r="V477" t="s">
        <v>9273</v>
      </c>
      <c r="W477" t="s">
        <v>9274</v>
      </c>
      <c r="X477" t="s">
        <v>9275</v>
      </c>
      <c r="Y477" t="s">
        <v>9276</v>
      </c>
      <c r="Z477" t="s">
        <v>9277</v>
      </c>
      <c r="AA477" t="s">
        <v>9278</v>
      </c>
      <c r="AB477" t="s">
        <v>9279</v>
      </c>
      <c r="AC477" t="s">
        <v>9280</v>
      </c>
      <c r="AD477" t="s">
        <v>9281</v>
      </c>
      <c r="AE477" t="s">
        <v>9282</v>
      </c>
      <c r="AF477" t="s">
        <v>74</v>
      </c>
      <c r="AG477">
        <v>34</v>
      </c>
      <c r="AH477">
        <v>4</v>
      </c>
      <c r="AI477">
        <v>4</v>
      </c>
      <c r="AJ477">
        <v>0</v>
      </c>
      <c r="AK477">
        <v>12</v>
      </c>
      <c r="AL477" t="s">
        <v>2439</v>
      </c>
      <c r="AM477" t="s">
        <v>1411</v>
      </c>
      <c r="AN477" t="s">
        <v>2440</v>
      </c>
      <c r="AO477" t="s">
        <v>9259</v>
      </c>
      <c r="AP477" t="s">
        <v>9260</v>
      </c>
      <c r="AQ477" t="s">
        <v>74</v>
      </c>
      <c r="AR477" t="s">
        <v>9261</v>
      </c>
      <c r="AS477" t="s">
        <v>9262</v>
      </c>
      <c r="AT477" t="s">
        <v>9263</v>
      </c>
      <c r="AU477">
        <v>2014</v>
      </c>
      <c r="AV477">
        <v>89</v>
      </c>
      <c r="AW477" t="s">
        <v>2766</v>
      </c>
      <c r="AX477" t="s">
        <v>74</v>
      </c>
      <c r="AY477" t="s">
        <v>74</v>
      </c>
      <c r="AZ477" t="s">
        <v>74</v>
      </c>
      <c r="BA477" t="s">
        <v>74</v>
      </c>
      <c r="BB477">
        <v>284</v>
      </c>
      <c r="BC477">
        <v>295</v>
      </c>
      <c r="BD477" t="s">
        <v>74</v>
      </c>
      <c r="BE477" t="s">
        <v>9283</v>
      </c>
      <c r="BF477" t="str">
        <f>HYPERLINK("http://dx.doi.org/10.1016/j.marpolbul.2014.09.045","http://dx.doi.org/10.1016/j.marpolbul.2014.09.045")</f>
        <v>http://dx.doi.org/10.1016/j.marpolbul.2014.09.045</v>
      </c>
      <c r="BG477" t="s">
        <v>74</v>
      </c>
      <c r="BH477" t="s">
        <v>74</v>
      </c>
      <c r="BI477">
        <v>12</v>
      </c>
      <c r="BJ477" t="s">
        <v>2673</v>
      </c>
      <c r="BK477" t="s">
        <v>91</v>
      </c>
      <c r="BL477" t="s">
        <v>2674</v>
      </c>
      <c r="BM477" t="s">
        <v>9264</v>
      </c>
      <c r="BN477">
        <v>25306301</v>
      </c>
      <c r="BO477" t="s">
        <v>74</v>
      </c>
      <c r="BP477" t="s">
        <v>74</v>
      </c>
      <c r="BQ477" t="s">
        <v>74</v>
      </c>
      <c r="BR477" t="s">
        <v>93</v>
      </c>
      <c r="BS477" t="s">
        <v>9284</v>
      </c>
      <c r="BT477" t="str">
        <f>HYPERLINK("https%3A%2F%2Fwww.webofscience.com%2Fwos%2Fwoscc%2Ffull-record%2FWOS:000347494700048","View Full Record in Web of Science")</f>
        <v>View Full Record in Web of Science</v>
      </c>
    </row>
    <row r="478" spans="1:72" x14ac:dyDescent="0.15">
      <c r="A478" t="s">
        <v>72</v>
      </c>
      <c r="B478" t="s">
        <v>9285</v>
      </c>
      <c r="C478" t="s">
        <v>74</v>
      </c>
      <c r="D478" t="s">
        <v>74</v>
      </c>
      <c r="E478" t="s">
        <v>74</v>
      </c>
      <c r="F478" t="s">
        <v>9286</v>
      </c>
      <c r="G478" t="s">
        <v>74</v>
      </c>
      <c r="H478" t="s">
        <v>74</v>
      </c>
      <c r="I478" t="s">
        <v>9287</v>
      </c>
      <c r="J478" t="s">
        <v>2450</v>
      </c>
      <c r="K478" t="s">
        <v>74</v>
      </c>
      <c r="L478" t="s">
        <v>74</v>
      </c>
      <c r="M478" t="s">
        <v>78</v>
      </c>
      <c r="N478" t="s">
        <v>99</v>
      </c>
      <c r="O478" t="s">
        <v>74</v>
      </c>
      <c r="P478" t="s">
        <v>74</v>
      </c>
      <c r="Q478" t="s">
        <v>74</v>
      </c>
      <c r="R478" t="s">
        <v>74</v>
      </c>
      <c r="S478" t="s">
        <v>74</v>
      </c>
      <c r="T478" t="s">
        <v>9288</v>
      </c>
      <c r="U478" t="s">
        <v>9289</v>
      </c>
      <c r="V478" t="s">
        <v>9290</v>
      </c>
      <c r="W478" t="s">
        <v>9291</v>
      </c>
      <c r="X478" t="s">
        <v>9292</v>
      </c>
      <c r="Y478" t="s">
        <v>9293</v>
      </c>
      <c r="Z478" t="s">
        <v>9294</v>
      </c>
      <c r="AA478" t="s">
        <v>9295</v>
      </c>
      <c r="AB478" t="s">
        <v>9296</v>
      </c>
      <c r="AC478" t="s">
        <v>9297</v>
      </c>
      <c r="AD478" t="s">
        <v>9298</v>
      </c>
      <c r="AE478" t="s">
        <v>9299</v>
      </c>
      <c r="AF478" t="s">
        <v>74</v>
      </c>
      <c r="AG478">
        <v>39</v>
      </c>
      <c r="AH478">
        <v>20</v>
      </c>
      <c r="AI478">
        <v>22</v>
      </c>
      <c r="AJ478">
        <v>0</v>
      </c>
      <c r="AK478">
        <v>14</v>
      </c>
      <c r="AL478" t="s">
        <v>2458</v>
      </c>
      <c r="AM478" t="s">
        <v>1411</v>
      </c>
      <c r="AN478" t="s">
        <v>2459</v>
      </c>
      <c r="AO478" t="s">
        <v>2460</v>
      </c>
      <c r="AP478" t="s">
        <v>2461</v>
      </c>
      <c r="AQ478" t="s">
        <v>74</v>
      </c>
      <c r="AR478" t="s">
        <v>2462</v>
      </c>
      <c r="AS478" t="s">
        <v>2463</v>
      </c>
      <c r="AT478" t="s">
        <v>9263</v>
      </c>
      <c r="AU478">
        <v>2014</v>
      </c>
      <c r="AV478">
        <v>54</v>
      </c>
      <c r="AW478">
        <v>12</v>
      </c>
      <c r="AX478" t="s">
        <v>74</v>
      </c>
      <c r="AY478" t="s">
        <v>74</v>
      </c>
      <c r="AZ478" t="s">
        <v>74</v>
      </c>
      <c r="BA478" t="s">
        <v>74</v>
      </c>
      <c r="BB478">
        <v>2467</v>
      </c>
      <c r="BC478">
        <v>2477</v>
      </c>
      <c r="BD478" t="s">
        <v>74</v>
      </c>
      <c r="BE478" t="s">
        <v>9300</v>
      </c>
      <c r="BF478" t="str">
        <f>HYPERLINK("http://dx.doi.org/10.1016/j.asr.2013.09.001","http://dx.doi.org/10.1016/j.asr.2013.09.001")</f>
        <v>http://dx.doi.org/10.1016/j.asr.2013.09.001</v>
      </c>
      <c r="BG478" t="s">
        <v>74</v>
      </c>
      <c r="BH478" t="s">
        <v>74</v>
      </c>
      <c r="BI478">
        <v>11</v>
      </c>
      <c r="BJ478" t="s">
        <v>2466</v>
      </c>
      <c r="BK478" t="s">
        <v>91</v>
      </c>
      <c r="BL478" t="s">
        <v>2467</v>
      </c>
      <c r="BM478" t="s">
        <v>9301</v>
      </c>
      <c r="BN478" t="s">
        <v>74</v>
      </c>
      <c r="BO478" t="s">
        <v>74</v>
      </c>
      <c r="BP478" t="s">
        <v>74</v>
      </c>
      <c r="BQ478" t="s">
        <v>74</v>
      </c>
      <c r="BR478" t="s">
        <v>93</v>
      </c>
      <c r="BS478" t="s">
        <v>9302</v>
      </c>
      <c r="BT478" t="str">
        <f>HYPERLINK("https%3A%2F%2Fwww.webofscience.com%2Fwos%2Fwoscc%2Ffull-record%2FWOS:000347130200001","View Full Record in Web of Science")</f>
        <v>View Full Record in Web of Science</v>
      </c>
    </row>
    <row r="479" spans="1:72" x14ac:dyDescent="0.15">
      <c r="A479" t="s">
        <v>72</v>
      </c>
      <c r="B479" t="s">
        <v>9303</v>
      </c>
      <c r="C479" t="s">
        <v>74</v>
      </c>
      <c r="D479" t="s">
        <v>74</v>
      </c>
      <c r="E479" t="s">
        <v>74</v>
      </c>
      <c r="F479" t="s">
        <v>9304</v>
      </c>
      <c r="G479" t="s">
        <v>74</v>
      </c>
      <c r="H479" t="s">
        <v>74</v>
      </c>
      <c r="I479" t="s">
        <v>9305</v>
      </c>
      <c r="J479" t="s">
        <v>2450</v>
      </c>
      <c r="K479" t="s">
        <v>74</v>
      </c>
      <c r="L479" t="s">
        <v>74</v>
      </c>
      <c r="M479" t="s">
        <v>78</v>
      </c>
      <c r="N479" t="s">
        <v>99</v>
      </c>
      <c r="O479" t="s">
        <v>74</v>
      </c>
      <c r="P479" t="s">
        <v>74</v>
      </c>
      <c r="Q479" t="s">
        <v>74</v>
      </c>
      <c r="R479" t="s">
        <v>74</v>
      </c>
      <c r="S479" t="s">
        <v>74</v>
      </c>
      <c r="T479" t="s">
        <v>9306</v>
      </c>
      <c r="U479" t="s">
        <v>9307</v>
      </c>
      <c r="V479" t="s">
        <v>9308</v>
      </c>
      <c r="W479" t="s">
        <v>9309</v>
      </c>
      <c r="X479" t="s">
        <v>2186</v>
      </c>
      <c r="Y479" t="s">
        <v>9310</v>
      </c>
      <c r="Z479" t="s">
        <v>9311</v>
      </c>
      <c r="AA479" t="s">
        <v>74</v>
      </c>
      <c r="AB479" t="s">
        <v>74</v>
      </c>
      <c r="AC479" t="s">
        <v>74</v>
      </c>
      <c r="AD479" t="s">
        <v>74</v>
      </c>
      <c r="AE479" t="s">
        <v>74</v>
      </c>
      <c r="AF479" t="s">
        <v>74</v>
      </c>
      <c r="AG479">
        <v>45</v>
      </c>
      <c r="AH479">
        <v>5</v>
      </c>
      <c r="AI479">
        <v>7</v>
      </c>
      <c r="AJ479">
        <v>1</v>
      </c>
      <c r="AK479">
        <v>11</v>
      </c>
      <c r="AL479" t="s">
        <v>2458</v>
      </c>
      <c r="AM479" t="s">
        <v>1411</v>
      </c>
      <c r="AN479" t="s">
        <v>2459</v>
      </c>
      <c r="AO479" t="s">
        <v>2460</v>
      </c>
      <c r="AP479" t="s">
        <v>2461</v>
      </c>
      <c r="AQ479" t="s">
        <v>74</v>
      </c>
      <c r="AR479" t="s">
        <v>2462</v>
      </c>
      <c r="AS479" t="s">
        <v>2463</v>
      </c>
      <c r="AT479" t="s">
        <v>9263</v>
      </c>
      <c r="AU479">
        <v>2014</v>
      </c>
      <c r="AV479">
        <v>54</v>
      </c>
      <c r="AW479">
        <v>12</v>
      </c>
      <c r="AX479" t="s">
        <v>74</v>
      </c>
      <c r="AY479" t="s">
        <v>74</v>
      </c>
      <c r="AZ479" t="s">
        <v>74</v>
      </c>
      <c r="BA479" t="s">
        <v>74</v>
      </c>
      <c r="BB479">
        <v>2499</v>
      </c>
      <c r="BC479">
        <v>2510</v>
      </c>
      <c r="BD479" t="s">
        <v>74</v>
      </c>
      <c r="BE479" t="s">
        <v>9312</v>
      </c>
      <c r="BF479" t="str">
        <f>HYPERLINK("http://dx.doi.org/10.1016/j.asr.2014.01.019","http://dx.doi.org/10.1016/j.asr.2014.01.019")</f>
        <v>http://dx.doi.org/10.1016/j.asr.2014.01.019</v>
      </c>
      <c r="BG479" t="s">
        <v>74</v>
      </c>
      <c r="BH479" t="s">
        <v>74</v>
      </c>
      <c r="BI479">
        <v>12</v>
      </c>
      <c r="BJ479" t="s">
        <v>2466</v>
      </c>
      <c r="BK479" t="s">
        <v>91</v>
      </c>
      <c r="BL479" t="s">
        <v>2467</v>
      </c>
      <c r="BM479" t="s">
        <v>9301</v>
      </c>
      <c r="BN479" t="s">
        <v>74</v>
      </c>
      <c r="BO479" t="s">
        <v>74</v>
      </c>
      <c r="BP479" t="s">
        <v>74</v>
      </c>
      <c r="BQ479" t="s">
        <v>74</v>
      </c>
      <c r="BR479" t="s">
        <v>93</v>
      </c>
      <c r="BS479" t="s">
        <v>9313</v>
      </c>
      <c r="BT479" t="str">
        <f>HYPERLINK("https%3A%2F%2Fwww.webofscience.com%2Fwos%2Fwoscc%2Ffull-record%2FWOS:000347130200004","View Full Record in Web of Science")</f>
        <v>View Full Record in Web of Science</v>
      </c>
    </row>
    <row r="480" spans="1:72" x14ac:dyDescent="0.15">
      <c r="A480" t="s">
        <v>72</v>
      </c>
      <c r="B480" t="s">
        <v>9314</v>
      </c>
      <c r="C480" t="s">
        <v>74</v>
      </c>
      <c r="D480" t="s">
        <v>74</v>
      </c>
      <c r="E480" t="s">
        <v>74</v>
      </c>
      <c r="F480" t="s">
        <v>9315</v>
      </c>
      <c r="G480" t="s">
        <v>74</v>
      </c>
      <c r="H480" t="s">
        <v>74</v>
      </c>
      <c r="I480" t="s">
        <v>9316</v>
      </c>
      <c r="J480" t="s">
        <v>2773</v>
      </c>
      <c r="K480" t="s">
        <v>74</v>
      </c>
      <c r="L480" t="s">
        <v>74</v>
      </c>
      <c r="M480" t="s">
        <v>78</v>
      </c>
      <c r="N480" t="s">
        <v>99</v>
      </c>
      <c r="O480" t="s">
        <v>74</v>
      </c>
      <c r="P480" t="s">
        <v>74</v>
      </c>
      <c r="Q480" t="s">
        <v>74</v>
      </c>
      <c r="R480" t="s">
        <v>74</v>
      </c>
      <c r="S480" t="s">
        <v>74</v>
      </c>
      <c r="T480" t="s">
        <v>9317</v>
      </c>
      <c r="U480" t="s">
        <v>9318</v>
      </c>
      <c r="V480" t="s">
        <v>9319</v>
      </c>
      <c r="W480" t="s">
        <v>9320</v>
      </c>
      <c r="X480" t="s">
        <v>9321</v>
      </c>
      <c r="Y480" t="s">
        <v>9322</v>
      </c>
      <c r="Z480" t="s">
        <v>9323</v>
      </c>
      <c r="AA480" t="s">
        <v>9324</v>
      </c>
      <c r="AB480" t="s">
        <v>9325</v>
      </c>
      <c r="AC480" t="s">
        <v>9326</v>
      </c>
      <c r="AD480" t="s">
        <v>9327</v>
      </c>
      <c r="AE480" t="s">
        <v>9328</v>
      </c>
      <c r="AF480" t="s">
        <v>74</v>
      </c>
      <c r="AG480">
        <v>56</v>
      </c>
      <c r="AH480">
        <v>9</v>
      </c>
      <c r="AI480">
        <v>13</v>
      </c>
      <c r="AJ480">
        <v>0</v>
      </c>
      <c r="AK480">
        <v>23</v>
      </c>
      <c r="AL480" t="s">
        <v>2640</v>
      </c>
      <c r="AM480" t="s">
        <v>1176</v>
      </c>
      <c r="AN480" t="s">
        <v>2641</v>
      </c>
      <c r="AO480" t="s">
        <v>2786</v>
      </c>
      <c r="AP480" t="s">
        <v>2787</v>
      </c>
      <c r="AQ480" t="s">
        <v>74</v>
      </c>
      <c r="AR480" t="s">
        <v>2788</v>
      </c>
      <c r="AS480" t="s">
        <v>2789</v>
      </c>
      <c r="AT480" t="s">
        <v>9263</v>
      </c>
      <c r="AU480">
        <v>2014</v>
      </c>
      <c r="AV480">
        <v>408</v>
      </c>
      <c r="AW480" t="s">
        <v>74</v>
      </c>
      <c r="AX480" t="s">
        <v>74</v>
      </c>
      <c r="AY480" t="s">
        <v>74</v>
      </c>
      <c r="AZ480" t="s">
        <v>74</v>
      </c>
      <c r="BA480" t="s">
        <v>74</v>
      </c>
      <c r="BB480">
        <v>362</v>
      </c>
      <c r="BC480">
        <v>369</v>
      </c>
      <c r="BD480" t="s">
        <v>74</v>
      </c>
      <c r="BE480" t="s">
        <v>9329</v>
      </c>
      <c r="BF480" t="str">
        <f>HYPERLINK("http://dx.doi.org/10.1016/j.epsl.2014.10.034","http://dx.doi.org/10.1016/j.epsl.2014.10.034")</f>
        <v>http://dx.doi.org/10.1016/j.epsl.2014.10.034</v>
      </c>
      <c r="BG480" t="s">
        <v>74</v>
      </c>
      <c r="BH480" t="s">
        <v>74</v>
      </c>
      <c r="BI480">
        <v>8</v>
      </c>
      <c r="BJ480" t="s">
        <v>1902</v>
      </c>
      <c r="BK480" t="s">
        <v>91</v>
      </c>
      <c r="BL480" t="s">
        <v>1902</v>
      </c>
      <c r="BM480" t="s">
        <v>9330</v>
      </c>
      <c r="BN480" t="s">
        <v>74</v>
      </c>
      <c r="BO480" t="s">
        <v>74</v>
      </c>
      <c r="BP480" t="s">
        <v>74</v>
      </c>
      <c r="BQ480" t="s">
        <v>74</v>
      </c>
      <c r="BR480" t="s">
        <v>93</v>
      </c>
      <c r="BS480" t="s">
        <v>9331</v>
      </c>
      <c r="BT480" t="str">
        <f>HYPERLINK("https%3A%2F%2Fwww.webofscience.com%2Fwos%2Fwoscc%2Ffull-record%2FWOS:000346944000034","View Full Record in Web of Science")</f>
        <v>View Full Record in Web of Science</v>
      </c>
    </row>
    <row r="481" spans="1:72" x14ac:dyDescent="0.15">
      <c r="A481" t="s">
        <v>72</v>
      </c>
      <c r="B481" t="s">
        <v>9332</v>
      </c>
      <c r="C481" t="s">
        <v>74</v>
      </c>
      <c r="D481" t="s">
        <v>74</v>
      </c>
      <c r="E481" t="s">
        <v>74</v>
      </c>
      <c r="F481" t="s">
        <v>9333</v>
      </c>
      <c r="G481" t="s">
        <v>74</v>
      </c>
      <c r="H481" t="s">
        <v>74</v>
      </c>
      <c r="I481" t="s">
        <v>9334</v>
      </c>
      <c r="J481" t="s">
        <v>2450</v>
      </c>
      <c r="K481" t="s">
        <v>74</v>
      </c>
      <c r="L481" t="s">
        <v>74</v>
      </c>
      <c r="M481" t="s">
        <v>78</v>
      </c>
      <c r="N481" t="s">
        <v>99</v>
      </c>
      <c r="O481" t="s">
        <v>74</v>
      </c>
      <c r="P481" t="s">
        <v>74</v>
      </c>
      <c r="Q481" t="s">
        <v>74</v>
      </c>
      <c r="R481" t="s">
        <v>74</v>
      </c>
      <c r="S481" t="s">
        <v>74</v>
      </c>
      <c r="T481" t="s">
        <v>9335</v>
      </c>
      <c r="U481" t="s">
        <v>9336</v>
      </c>
      <c r="V481" t="s">
        <v>9337</v>
      </c>
      <c r="W481" t="s">
        <v>9338</v>
      </c>
      <c r="X481" t="s">
        <v>9339</v>
      </c>
      <c r="Y481" t="s">
        <v>9340</v>
      </c>
      <c r="Z481" t="s">
        <v>9341</v>
      </c>
      <c r="AA481" t="s">
        <v>9342</v>
      </c>
      <c r="AB481" t="s">
        <v>9296</v>
      </c>
      <c r="AC481" t="s">
        <v>9343</v>
      </c>
      <c r="AD481" t="s">
        <v>9298</v>
      </c>
      <c r="AE481" t="s">
        <v>9344</v>
      </c>
      <c r="AF481" t="s">
        <v>74</v>
      </c>
      <c r="AG481">
        <v>25</v>
      </c>
      <c r="AH481">
        <v>10</v>
      </c>
      <c r="AI481">
        <v>10</v>
      </c>
      <c r="AJ481">
        <v>0</v>
      </c>
      <c r="AK481">
        <v>4</v>
      </c>
      <c r="AL481" t="s">
        <v>2458</v>
      </c>
      <c r="AM481" t="s">
        <v>1411</v>
      </c>
      <c r="AN481" t="s">
        <v>2459</v>
      </c>
      <c r="AO481" t="s">
        <v>2460</v>
      </c>
      <c r="AP481" t="s">
        <v>2461</v>
      </c>
      <c r="AQ481" t="s">
        <v>74</v>
      </c>
      <c r="AR481" t="s">
        <v>2462</v>
      </c>
      <c r="AS481" t="s">
        <v>2463</v>
      </c>
      <c r="AT481" t="s">
        <v>9263</v>
      </c>
      <c r="AU481">
        <v>2014</v>
      </c>
      <c r="AV481">
        <v>54</v>
      </c>
      <c r="AW481">
        <v>12</v>
      </c>
      <c r="AX481" t="s">
        <v>74</v>
      </c>
      <c r="AY481" t="s">
        <v>74</v>
      </c>
      <c r="AZ481" t="s">
        <v>74</v>
      </c>
      <c r="BA481" t="s">
        <v>74</v>
      </c>
      <c r="BB481">
        <v>2491</v>
      </c>
      <c r="BC481">
        <v>2498</v>
      </c>
      <c r="BD481" t="s">
        <v>74</v>
      </c>
      <c r="BE481" t="s">
        <v>9345</v>
      </c>
      <c r="BF481" t="str">
        <f>HYPERLINK("http://dx.doi.org/10.1016/j.asr.2013.11.057","http://dx.doi.org/10.1016/j.asr.2013.11.057")</f>
        <v>http://dx.doi.org/10.1016/j.asr.2013.11.057</v>
      </c>
      <c r="BG481" t="s">
        <v>74</v>
      </c>
      <c r="BH481" t="s">
        <v>74</v>
      </c>
      <c r="BI481">
        <v>8</v>
      </c>
      <c r="BJ481" t="s">
        <v>2466</v>
      </c>
      <c r="BK481" t="s">
        <v>91</v>
      </c>
      <c r="BL481" t="s">
        <v>2467</v>
      </c>
      <c r="BM481" t="s">
        <v>9301</v>
      </c>
      <c r="BN481" t="s">
        <v>74</v>
      </c>
      <c r="BO481" t="s">
        <v>74</v>
      </c>
      <c r="BP481" t="s">
        <v>74</v>
      </c>
      <c r="BQ481" t="s">
        <v>74</v>
      </c>
      <c r="BR481" t="s">
        <v>93</v>
      </c>
      <c r="BS481" t="s">
        <v>9346</v>
      </c>
      <c r="BT481" t="str">
        <f>HYPERLINK("https%3A%2F%2Fwww.webofscience.com%2Fwos%2Fwoscc%2Ffull-record%2FWOS:000347130200003","View Full Record in Web of Science")</f>
        <v>View Full Record in Web of Science</v>
      </c>
    </row>
    <row r="482" spans="1:72" x14ac:dyDescent="0.15">
      <c r="A482" t="s">
        <v>72</v>
      </c>
      <c r="B482" t="s">
        <v>9347</v>
      </c>
      <c r="C482" t="s">
        <v>74</v>
      </c>
      <c r="D482" t="s">
        <v>74</v>
      </c>
      <c r="E482" t="s">
        <v>74</v>
      </c>
      <c r="F482" t="s">
        <v>9348</v>
      </c>
      <c r="G482" t="s">
        <v>74</v>
      </c>
      <c r="H482" t="s">
        <v>74</v>
      </c>
      <c r="I482" t="s">
        <v>9349</v>
      </c>
      <c r="J482" t="s">
        <v>2773</v>
      </c>
      <c r="K482" t="s">
        <v>74</v>
      </c>
      <c r="L482" t="s">
        <v>74</v>
      </c>
      <c r="M482" t="s">
        <v>78</v>
      </c>
      <c r="N482" t="s">
        <v>99</v>
      </c>
      <c r="O482" t="s">
        <v>74</v>
      </c>
      <c r="P482" t="s">
        <v>74</v>
      </c>
      <c r="Q482" t="s">
        <v>74</v>
      </c>
      <c r="R482" t="s">
        <v>74</v>
      </c>
      <c r="S482" t="s">
        <v>74</v>
      </c>
      <c r="T482" t="s">
        <v>9350</v>
      </c>
      <c r="U482" t="s">
        <v>9351</v>
      </c>
      <c r="V482" t="s">
        <v>9352</v>
      </c>
      <c r="W482" t="s">
        <v>9353</v>
      </c>
      <c r="X482" t="s">
        <v>9354</v>
      </c>
      <c r="Y482" t="s">
        <v>9355</v>
      </c>
      <c r="Z482" t="s">
        <v>9356</v>
      </c>
      <c r="AA482" t="s">
        <v>9357</v>
      </c>
      <c r="AB482" t="s">
        <v>9358</v>
      </c>
      <c r="AC482" t="s">
        <v>9359</v>
      </c>
      <c r="AD482" t="s">
        <v>9360</v>
      </c>
      <c r="AE482" t="s">
        <v>9361</v>
      </c>
      <c r="AF482" t="s">
        <v>74</v>
      </c>
      <c r="AG482">
        <v>96</v>
      </c>
      <c r="AH482">
        <v>63</v>
      </c>
      <c r="AI482">
        <v>77</v>
      </c>
      <c r="AJ482">
        <v>0</v>
      </c>
      <c r="AK482">
        <v>21</v>
      </c>
      <c r="AL482" t="s">
        <v>2640</v>
      </c>
      <c r="AM482" t="s">
        <v>1176</v>
      </c>
      <c r="AN482" t="s">
        <v>2641</v>
      </c>
      <c r="AO482" t="s">
        <v>2786</v>
      </c>
      <c r="AP482" t="s">
        <v>2787</v>
      </c>
      <c r="AQ482" t="s">
        <v>74</v>
      </c>
      <c r="AR482" t="s">
        <v>2788</v>
      </c>
      <c r="AS482" t="s">
        <v>2789</v>
      </c>
      <c r="AT482" t="s">
        <v>9263</v>
      </c>
      <c r="AU482">
        <v>2014</v>
      </c>
      <c r="AV482">
        <v>408</v>
      </c>
      <c r="AW482" t="s">
        <v>74</v>
      </c>
      <c r="AX482" t="s">
        <v>74</v>
      </c>
      <c r="AY482" t="s">
        <v>74</v>
      </c>
      <c r="AZ482" t="s">
        <v>74</v>
      </c>
      <c r="BA482" t="s">
        <v>74</v>
      </c>
      <c r="BB482">
        <v>66</v>
      </c>
      <c r="BC482">
        <v>78</v>
      </c>
      <c r="BD482" t="s">
        <v>74</v>
      </c>
      <c r="BE482" t="s">
        <v>9362</v>
      </c>
      <c r="BF482" t="str">
        <f>HYPERLINK("http://dx.doi.org/10.1016/j.epsl.2014.09.043","http://dx.doi.org/10.1016/j.epsl.2014.09.043")</f>
        <v>http://dx.doi.org/10.1016/j.epsl.2014.09.043</v>
      </c>
      <c r="BG482" t="s">
        <v>74</v>
      </c>
      <c r="BH482" t="s">
        <v>74</v>
      </c>
      <c r="BI482">
        <v>13</v>
      </c>
      <c r="BJ482" t="s">
        <v>1902</v>
      </c>
      <c r="BK482" t="s">
        <v>91</v>
      </c>
      <c r="BL482" t="s">
        <v>1902</v>
      </c>
      <c r="BM482" t="s">
        <v>9330</v>
      </c>
      <c r="BN482" t="s">
        <v>74</v>
      </c>
      <c r="BO482" t="s">
        <v>134</v>
      </c>
      <c r="BP482" t="s">
        <v>74</v>
      </c>
      <c r="BQ482" t="s">
        <v>74</v>
      </c>
      <c r="BR482" t="s">
        <v>93</v>
      </c>
      <c r="BS482" t="s">
        <v>9363</v>
      </c>
      <c r="BT482" t="str">
        <f>HYPERLINK("https%3A%2F%2Fwww.webofscience.com%2Fwos%2Fwoscc%2Ffull-record%2FWOS:000346944000008","View Full Record in Web of Science")</f>
        <v>View Full Record in Web of Science</v>
      </c>
    </row>
    <row r="483" spans="1:72" x14ac:dyDescent="0.15">
      <c r="A483" t="s">
        <v>72</v>
      </c>
      <c r="B483" t="s">
        <v>9364</v>
      </c>
      <c r="C483" t="s">
        <v>74</v>
      </c>
      <c r="D483" t="s">
        <v>74</v>
      </c>
      <c r="E483" t="s">
        <v>74</v>
      </c>
      <c r="F483" t="s">
        <v>9365</v>
      </c>
      <c r="G483" t="s">
        <v>74</v>
      </c>
      <c r="H483" t="s">
        <v>74</v>
      </c>
      <c r="I483" t="s">
        <v>9366</v>
      </c>
      <c r="J483" t="s">
        <v>9367</v>
      </c>
      <c r="K483" t="s">
        <v>74</v>
      </c>
      <c r="L483" t="s">
        <v>74</v>
      </c>
      <c r="M483" t="s">
        <v>78</v>
      </c>
      <c r="N483" t="s">
        <v>99</v>
      </c>
      <c r="O483" t="s">
        <v>74</v>
      </c>
      <c r="P483" t="s">
        <v>74</v>
      </c>
      <c r="Q483" t="s">
        <v>74</v>
      </c>
      <c r="R483" t="s">
        <v>74</v>
      </c>
      <c r="S483" t="s">
        <v>74</v>
      </c>
      <c r="T483" t="s">
        <v>9368</v>
      </c>
      <c r="U483" t="s">
        <v>9369</v>
      </c>
      <c r="V483" t="s">
        <v>9370</v>
      </c>
      <c r="W483" t="s">
        <v>9371</v>
      </c>
      <c r="X483" t="s">
        <v>9372</v>
      </c>
      <c r="Y483" t="s">
        <v>9373</v>
      </c>
      <c r="Z483" t="s">
        <v>9374</v>
      </c>
      <c r="AA483" t="s">
        <v>9375</v>
      </c>
      <c r="AB483" t="s">
        <v>9376</v>
      </c>
      <c r="AC483" t="s">
        <v>9377</v>
      </c>
      <c r="AD483" t="s">
        <v>9378</v>
      </c>
      <c r="AE483" t="s">
        <v>9379</v>
      </c>
      <c r="AF483" t="s">
        <v>74</v>
      </c>
      <c r="AG483">
        <v>60</v>
      </c>
      <c r="AH483">
        <v>24</v>
      </c>
      <c r="AI483">
        <v>24</v>
      </c>
      <c r="AJ483">
        <v>0</v>
      </c>
      <c r="AK483">
        <v>26</v>
      </c>
      <c r="AL483" t="s">
        <v>2640</v>
      </c>
      <c r="AM483" t="s">
        <v>1176</v>
      </c>
      <c r="AN483" t="s">
        <v>2641</v>
      </c>
      <c r="AO483" t="s">
        <v>9380</v>
      </c>
      <c r="AP483" t="s">
        <v>9381</v>
      </c>
      <c r="AQ483" t="s">
        <v>74</v>
      </c>
      <c r="AR483" t="s">
        <v>9367</v>
      </c>
      <c r="AS483" t="s">
        <v>9382</v>
      </c>
      <c r="AT483" t="s">
        <v>9263</v>
      </c>
      <c r="AU483">
        <v>2014</v>
      </c>
      <c r="AV483">
        <v>553</v>
      </c>
      <c r="AW483">
        <v>2</v>
      </c>
      <c r="AX483" t="s">
        <v>74</v>
      </c>
      <c r="AY483" t="s">
        <v>74</v>
      </c>
      <c r="AZ483" t="s">
        <v>74</v>
      </c>
      <c r="BA483" t="s">
        <v>74</v>
      </c>
      <c r="BB483">
        <v>117</v>
      </c>
      <c r="BC483">
        <v>125</v>
      </c>
      <c r="BD483" t="s">
        <v>74</v>
      </c>
      <c r="BE483" t="s">
        <v>9383</v>
      </c>
      <c r="BF483" t="str">
        <f>HYPERLINK("http://dx.doi.org/10.1016/j.gene.2014.10.010","http://dx.doi.org/10.1016/j.gene.2014.10.010")</f>
        <v>http://dx.doi.org/10.1016/j.gene.2014.10.010</v>
      </c>
      <c r="BG483" t="s">
        <v>74</v>
      </c>
      <c r="BH483" t="s">
        <v>74</v>
      </c>
      <c r="BI483">
        <v>9</v>
      </c>
      <c r="BJ483" t="s">
        <v>9384</v>
      </c>
      <c r="BK483" t="s">
        <v>91</v>
      </c>
      <c r="BL483" t="s">
        <v>9384</v>
      </c>
      <c r="BM483" t="s">
        <v>9385</v>
      </c>
      <c r="BN483">
        <v>25303871</v>
      </c>
      <c r="BO483" t="s">
        <v>74</v>
      </c>
      <c r="BP483" t="s">
        <v>74</v>
      </c>
      <c r="BQ483" t="s">
        <v>74</v>
      </c>
      <c r="BR483" t="s">
        <v>93</v>
      </c>
      <c r="BS483" t="s">
        <v>9386</v>
      </c>
      <c r="BT483" t="str">
        <f>HYPERLINK("https%3A%2F%2Fwww.webofscience.com%2Fwos%2Fwoscc%2Ffull-record%2FWOS:000345488400007","View Full Record in Web of Science")</f>
        <v>View Full Record in Web of Science</v>
      </c>
    </row>
    <row r="484" spans="1:72" x14ac:dyDescent="0.15">
      <c r="A484" t="s">
        <v>72</v>
      </c>
      <c r="B484" t="s">
        <v>9387</v>
      </c>
      <c r="C484" t="s">
        <v>74</v>
      </c>
      <c r="D484" t="s">
        <v>74</v>
      </c>
      <c r="E484" t="s">
        <v>74</v>
      </c>
      <c r="F484" t="s">
        <v>9388</v>
      </c>
      <c r="G484" t="s">
        <v>74</v>
      </c>
      <c r="H484" t="s">
        <v>74</v>
      </c>
      <c r="I484" t="s">
        <v>9389</v>
      </c>
      <c r="J484" t="s">
        <v>9390</v>
      </c>
      <c r="K484" t="s">
        <v>74</v>
      </c>
      <c r="L484" t="s">
        <v>74</v>
      </c>
      <c r="M484" t="s">
        <v>78</v>
      </c>
      <c r="N484" t="s">
        <v>99</v>
      </c>
      <c r="O484" t="s">
        <v>74</v>
      </c>
      <c r="P484" t="s">
        <v>74</v>
      </c>
      <c r="Q484" t="s">
        <v>74</v>
      </c>
      <c r="R484" t="s">
        <v>74</v>
      </c>
      <c r="S484" t="s">
        <v>74</v>
      </c>
      <c r="T484" t="s">
        <v>9391</v>
      </c>
      <c r="U484" t="s">
        <v>9392</v>
      </c>
      <c r="V484" t="s">
        <v>9393</v>
      </c>
      <c r="W484" t="s">
        <v>9394</v>
      </c>
      <c r="X484" t="s">
        <v>9395</v>
      </c>
      <c r="Y484" t="s">
        <v>9396</v>
      </c>
      <c r="Z484" t="s">
        <v>9397</v>
      </c>
      <c r="AA484" t="s">
        <v>9398</v>
      </c>
      <c r="AB484" t="s">
        <v>74</v>
      </c>
      <c r="AC484" t="s">
        <v>9399</v>
      </c>
      <c r="AD484" t="s">
        <v>9400</v>
      </c>
      <c r="AE484" t="s">
        <v>9401</v>
      </c>
      <c r="AF484" t="s">
        <v>74</v>
      </c>
      <c r="AG484">
        <v>88</v>
      </c>
      <c r="AH484">
        <v>10</v>
      </c>
      <c r="AI484">
        <v>10</v>
      </c>
      <c r="AJ484">
        <v>1</v>
      </c>
      <c r="AK484">
        <v>28</v>
      </c>
      <c r="AL484" t="s">
        <v>1219</v>
      </c>
      <c r="AM484" t="s">
        <v>1220</v>
      </c>
      <c r="AN484" t="s">
        <v>1221</v>
      </c>
      <c r="AO484" t="s">
        <v>9402</v>
      </c>
      <c r="AP484" t="s">
        <v>9403</v>
      </c>
      <c r="AQ484" t="s">
        <v>74</v>
      </c>
      <c r="AR484" t="s">
        <v>9404</v>
      </c>
      <c r="AS484" t="s">
        <v>9405</v>
      </c>
      <c r="AT484" t="s">
        <v>9263</v>
      </c>
      <c r="AU484">
        <v>2014</v>
      </c>
      <c r="AV484">
        <v>517</v>
      </c>
      <c r="AW484" t="s">
        <v>74</v>
      </c>
      <c r="AX484" t="s">
        <v>74</v>
      </c>
      <c r="AY484" t="s">
        <v>74</v>
      </c>
      <c r="AZ484" t="s">
        <v>74</v>
      </c>
      <c r="BA484" t="s">
        <v>74</v>
      </c>
      <c r="BB484">
        <v>251</v>
      </c>
      <c r="BC484">
        <v>263</v>
      </c>
      <c r="BD484" t="s">
        <v>74</v>
      </c>
      <c r="BE484" t="s">
        <v>9406</v>
      </c>
      <c r="BF484" t="str">
        <f>HYPERLINK("http://dx.doi.org/10.3354/meps11061","http://dx.doi.org/10.3354/meps11061")</f>
        <v>http://dx.doi.org/10.3354/meps11061</v>
      </c>
      <c r="BG484" t="s">
        <v>74</v>
      </c>
      <c r="BH484" t="s">
        <v>74</v>
      </c>
      <c r="BI484">
        <v>13</v>
      </c>
      <c r="BJ484" t="s">
        <v>9407</v>
      </c>
      <c r="BK484" t="s">
        <v>91</v>
      </c>
      <c r="BL484" t="s">
        <v>9408</v>
      </c>
      <c r="BM484" t="s">
        <v>9409</v>
      </c>
      <c r="BN484" t="s">
        <v>74</v>
      </c>
      <c r="BO484" t="s">
        <v>375</v>
      </c>
      <c r="BP484" t="s">
        <v>74</v>
      </c>
      <c r="BQ484" t="s">
        <v>74</v>
      </c>
      <c r="BR484" t="s">
        <v>93</v>
      </c>
      <c r="BS484" t="s">
        <v>9410</v>
      </c>
      <c r="BT484" t="str">
        <f>HYPERLINK("https%3A%2F%2Fwww.webofscience.com%2Fwos%2Fwoscc%2Ffull-record%2FWOS:000346421400019","View Full Record in Web of Science")</f>
        <v>View Full Record in Web of Science</v>
      </c>
    </row>
    <row r="485" spans="1:72" x14ac:dyDescent="0.15">
      <c r="A485" t="s">
        <v>72</v>
      </c>
      <c r="B485" t="s">
        <v>9411</v>
      </c>
      <c r="C485" t="s">
        <v>74</v>
      </c>
      <c r="D485" t="s">
        <v>74</v>
      </c>
      <c r="E485" t="s">
        <v>74</v>
      </c>
      <c r="F485" t="s">
        <v>9412</v>
      </c>
      <c r="G485" t="s">
        <v>74</v>
      </c>
      <c r="H485" t="s">
        <v>74</v>
      </c>
      <c r="I485" t="s">
        <v>9413</v>
      </c>
      <c r="J485" t="s">
        <v>9258</v>
      </c>
      <c r="K485" t="s">
        <v>74</v>
      </c>
      <c r="L485" t="s">
        <v>74</v>
      </c>
      <c r="M485" t="s">
        <v>78</v>
      </c>
      <c r="N485" t="s">
        <v>99</v>
      </c>
      <c r="O485" t="s">
        <v>74</v>
      </c>
      <c r="P485" t="s">
        <v>74</v>
      </c>
      <c r="Q485" t="s">
        <v>74</v>
      </c>
      <c r="R485" t="s">
        <v>74</v>
      </c>
      <c r="S485" t="s">
        <v>74</v>
      </c>
      <c r="T485" t="s">
        <v>9414</v>
      </c>
      <c r="U485" t="s">
        <v>9415</v>
      </c>
      <c r="V485" t="s">
        <v>9416</v>
      </c>
      <c r="W485" t="s">
        <v>9417</v>
      </c>
      <c r="X485" t="s">
        <v>9418</v>
      </c>
      <c r="Y485" t="s">
        <v>9419</v>
      </c>
      <c r="Z485" t="s">
        <v>9420</v>
      </c>
      <c r="AA485" t="s">
        <v>74</v>
      </c>
      <c r="AB485" t="s">
        <v>9421</v>
      </c>
      <c r="AC485" t="s">
        <v>9422</v>
      </c>
      <c r="AD485" t="s">
        <v>9422</v>
      </c>
      <c r="AE485" t="s">
        <v>9423</v>
      </c>
      <c r="AF485" t="s">
        <v>74</v>
      </c>
      <c r="AG485">
        <v>23</v>
      </c>
      <c r="AH485">
        <v>32</v>
      </c>
      <c r="AI485">
        <v>32</v>
      </c>
      <c r="AJ485">
        <v>0</v>
      </c>
      <c r="AK485">
        <v>37</v>
      </c>
      <c r="AL485" t="s">
        <v>2439</v>
      </c>
      <c r="AM485" t="s">
        <v>1411</v>
      </c>
      <c r="AN485" t="s">
        <v>2440</v>
      </c>
      <c r="AO485" t="s">
        <v>9259</v>
      </c>
      <c r="AP485" t="s">
        <v>9260</v>
      </c>
      <c r="AQ485" t="s">
        <v>74</v>
      </c>
      <c r="AR485" t="s">
        <v>9261</v>
      </c>
      <c r="AS485" t="s">
        <v>9262</v>
      </c>
      <c r="AT485" t="s">
        <v>9263</v>
      </c>
      <c r="AU485">
        <v>2014</v>
      </c>
      <c r="AV485">
        <v>89</v>
      </c>
      <c r="AW485" t="s">
        <v>2766</v>
      </c>
      <c r="AX485" t="s">
        <v>74</v>
      </c>
      <c r="AY485" t="s">
        <v>74</v>
      </c>
      <c r="AZ485" t="s">
        <v>74</v>
      </c>
      <c r="BA485" t="s">
        <v>74</v>
      </c>
      <c r="BB485">
        <v>16</v>
      </c>
      <c r="BC485">
        <v>19</v>
      </c>
      <c r="BD485" t="s">
        <v>74</v>
      </c>
      <c r="BE485" t="s">
        <v>9424</v>
      </c>
      <c r="BF485" t="str">
        <f>HYPERLINK("http://dx.doi.org/10.1016/j.marpolbul.2014.10.043","http://dx.doi.org/10.1016/j.marpolbul.2014.10.043")</f>
        <v>http://dx.doi.org/10.1016/j.marpolbul.2014.10.043</v>
      </c>
      <c r="BG485" t="s">
        <v>74</v>
      </c>
      <c r="BH485" t="s">
        <v>74</v>
      </c>
      <c r="BI485">
        <v>4</v>
      </c>
      <c r="BJ485" t="s">
        <v>2673</v>
      </c>
      <c r="BK485" t="s">
        <v>91</v>
      </c>
      <c r="BL485" t="s">
        <v>2674</v>
      </c>
      <c r="BM485" t="s">
        <v>9264</v>
      </c>
      <c r="BN485">
        <v>25455366</v>
      </c>
      <c r="BO485" t="s">
        <v>74</v>
      </c>
      <c r="BP485" t="s">
        <v>74</v>
      </c>
      <c r="BQ485" t="s">
        <v>74</v>
      </c>
      <c r="BR485" t="s">
        <v>93</v>
      </c>
      <c r="BS485" t="s">
        <v>9425</v>
      </c>
      <c r="BT485" t="str">
        <f>HYPERLINK("https%3A%2F%2Fwww.webofscience.com%2Fwos%2Fwoscc%2Ffull-record%2FWOS:000347494700017","View Full Record in Web of Science")</f>
        <v>View Full Record in Web of Science</v>
      </c>
    </row>
    <row r="486" spans="1:72" x14ac:dyDescent="0.15">
      <c r="A486" t="s">
        <v>72</v>
      </c>
      <c r="B486" t="s">
        <v>9426</v>
      </c>
      <c r="C486" t="s">
        <v>74</v>
      </c>
      <c r="D486" t="s">
        <v>74</v>
      </c>
      <c r="E486" t="s">
        <v>74</v>
      </c>
      <c r="F486" t="s">
        <v>9427</v>
      </c>
      <c r="G486" t="s">
        <v>74</v>
      </c>
      <c r="H486" t="s">
        <v>74</v>
      </c>
      <c r="I486" t="s">
        <v>9428</v>
      </c>
      <c r="J486" t="s">
        <v>8888</v>
      </c>
      <c r="K486" t="s">
        <v>74</v>
      </c>
      <c r="L486" t="s">
        <v>74</v>
      </c>
      <c r="M486" t="s">
        <v>78</v>
      </c>
      <c r="N486" t="s">
        <v>99</v>
      </c>
      <c r="O486" t="s">
        <v>74</v>
      </c>
      <c r="P486" t="s">
        <v>74</v>
      </c>
      <c r="Q486" t="s">
        <v>74</v>
      </c>
      <c r="R486" t="s">
        <v>74</v>
      </c>
      <c r="S486" t="s">
        <v>74</v>
      </c>
      <c r="T486" t="s">
        <v>9429</v>
      </c>
      <c r="U486" t="s">
        <v>9430</v>
      </c>
      <c r="V486" t="s">
        <v>9431</v>
      </c>
      <c r="W486" t="s">
        <v>9432</v>
      </c>
      <c r="X486" t="s">
        <v>9433</v>
      </c>
      <c r="Y486" t="s">
        <v>9434</v>
      </c>
      <c r="Z486" t="s">
        <v>9435</v>
      </c>
      <c r="AA486" t="s">
        <v>9436</v>
      </c>
      <c r="AB486" t="s">
        <v>9437</v>
      </c>
      <c r="AC486" t="s">
        <v>74</v>
      </c>
      <c r="AD486" t="s">
        <v>74</v>
      </c>
      <c r="AE486" t="s">
        <v>74</v>
      </c>
      <c r="AF486" t="s">
        <v>74</v>
      </c>
      <c r="AG486">
        <v>71</v>
      </c>
      <c r="AH486">
        <v>21</v>
      </c>
      <c r="AI486">
        <v>25</v>
      </c>
      <c r="AJ486">
        <v>1</v>
      </c>
      <c r="AK486">
        <v>26</v>
      </c>
      <c r="AL486" t="s">
        <v>8896</v>
      </c>
      <c r="AM486" t="s">
        <v>219</v>
      </c>
      <c r="AN486" t="s">
        <v>8897</v>
      </c>
      <c r="AO486" t="s">
        <v>8898</v>
      </c>
      <c r="AP486" t="s">
        <v>8899</v>
      </c>
      <c r="AQ486" t="s">
        <v>74</v>
      </c>
      <c r="AR486" t="s">
        <v>8900</v>
      </c>
      <c r="AS486" t="s">
        <v>8901</v>
      </c>
      <c r="AT486" t="s">
        <v>9438</v>
      </c>
      <c r="AU486">
        <v>2014</v>
      </c>
      <c r="AV486">
        <v>372</v>
      </c>
      <c r="AW486">
        <v>2030</v>
      </c>
      <c r="AX486" t="s">
        <v>74</v>
      </c>
      <c r="AY486" t="s">
        <v>74</v>
      </c>
      <c r="AZ486" t="s">
        <v>1437</v>
      </c>
      <c r="BA486" t="s">
        <v>74</v>
      </c>
      <c r="BB486" t="s">
        <v>74</v>
      </c>
      <c r="BC486" t="s">
        <v>74</v>
      </c>
      <c r="BD486">
        <v>20140198</v>
      </c>
      <c r="BE486" t="s">
        <v>9439</v>
      </c>
      <c r="BF486" t="str">
        <f>HYPERLINK("http://dx.doi.org/10.1098/rsta.2014.0198","http://dx.doi.org/10.1098/rsta.2014.0198")</f>
        <v>http://dx.doi.org/10.1098/rsta.2014.0198</v>
      </c>
      <c r="BG486" t="s">
        <v>74</v>
      </c>
      <c r="BH486" t="s">
        <v>74</v>
      </c>
      <c r="BI486">
        <v>26</v>
      </c>
      <c r="BJ486" t="s">
        <v>201</v>
      </c>
      <c r="BK486" t="s">
        <v>91</v>
      </c>
      <c r="BL486" t="s">
        <v>203</v>
      </c>
      <c r="BM486" t="s">
        <v>9440</v>
      </c>
      <c r="BN486">
        <v>25368345</v>
      </c>
      <c r="BO486" t="s">
        <v>375</v>
      </c>
      <c r="BP486" t="s">
        <v>74</v>
      </c>
      <c r="BQ486" t="s">
        <v>74</v>
      </c>
      <c r="BR486" t="s">
        <v>93</v>
      </c>
      <c r="BS486" t="s">
        <v>9441</v>
      </c>
      <c r="BT486" t="str">
        <f>HYPERLINK("https%3A%2F%2Fwww.webofscience.com%2Fwos%2Fwoscc%2Ffull-record%2FWOS:000344991900006","View Full Record in Web of Science")</f>
        <v>View Full Record in Web of Science</v>
      </c>
    </row>
    <row r="487" spans="1:72" x14ac:dyDescent="0.15">
      <c r="A487" t="s">
        <v>72</v>
      </c>
      <c r="B487" t="s">
        <v>9442</v>
      </c>
      <c r="C487" t="s">
        <v>74</v>
      </c>
      <c r="D487" t="s">
        <v>74</v>
      </c>
      <c r="E487" t="s">
        <v>74</v>
      </c>
      <c r="F487" t="s">
        <v>9443</v>
      </c>
      <c r="G487" t="s">
        <v>74</v>
      </c>
      <c r="H487" t="s">
        <v>74</v>
      </c>
      <c r="I487" t="s">
        <v>9444</v>
      </c>
      <c r="J487" t="s">
        <v>8888</v>
      </c>
      <c r="K487" t="s">
        <v>74</v>
      </c>
      <c r="L487" t="s">
        <v>74</v>
      </c>
      <c r="M487" t="s">
        <v>78</v>
      </c>
      <c r="N487" t="s">
        <v>99</v>
      </c>
      <c r="O487" t="s">
        <v>74</v>
      </c>
      <c r="P487" t="s">
        <v>74</v>
      </c>
      <c r="Q487" t="s">
        <v>74</v>
      </c>
      <c r="R487" t="s">
        <v>74</v>
      </c>
      <c r="S487" t="s">
        <v>74</v>
      </c>
      <c r="T487" t="s">
        <v>9445</v>
      </c>
      <c r="U487" t="s">
        <v>9446</v>
      </c>
      <c r="V487" t="s">
        <v>9447</v>
      </c>
      <c r="W487" t="s">
        <v>9448</v>
      </c>
      <c r="X487" t="s">
        <v>9449</v>
      </c>
      <c r="Y487" t="s">
        <v>9450</v>
      </c>
      <c r="Z487" t="s">
        <v>9451</v>
      </c>
      <c r="AA487" t="s">
        <v>9452</v>
      </c>
      <c r="AB487" t="s">
        <v>9453</v>
      </c>
      <c r="AC487" t="s">
        <v>9454</v>
      </c>
      <c r="AD487" t="s">
        <v>9455</v>
      </c>
      <c r="AE487" t="s">
        <v>74</v>
      </c>
      <c r="AF487" t="s">
        <v>74</v>
      </c>
      <c r="AG487">
        <v>54</v>
      </c>
      <c r="AH487">
        <v>29</v>
      </c>
      <c r="AI487">
        <v>29</v>
      </c>
      <c r="AJ487">
        <v>0</v>
      </c>
      <c r="AK487">
        <v>49</v>
      </c>
      <c r="AL487" t="s">
        <v>8896</v>
      </c>
      <c r="AM487" t="s">
        <v>219</v>
      </c>
      <c r="AN487" t="s">
        <v>8897</v>
      </c>
      <c r="AO487" t="s">
        <v>8898</v>
      </c>
      <c r="AP487" t="s">
        <v>8899</v>
      </c>
      <c r="AQ487" t="s">
        <v>74</v>
      </c>
      <c r="AR487" t="s">
        <v>8900</v>
      </c>
      <c r="AS487" t="s">
        <v>8901</v>
      </c>
      <c r="AT487" t="s">
        <v>9438</v>
      </c>
      <c r="AU487">
        <v>2014</v>
      </c>
      <c r="AV487">
        <v>372</v>
      </c>
      <c r="AW487">
        <v>2030</v>
      </c>
      <c r="AX487" t="s">
        <v>74</v>
      </c>
      <c r="AY487" t="s">
        <v>74</v>
      </c>
      <c r="AZ487" t="s">
        <v>1437</v>
      </c>
      <c r="BA487" t="s">
        <v>74</v>
      </c>
      <c r="BB487" t="s">
        <v>74</v>
      </c>
      <c r="BC487" t="s">
        <v>74</v>
      </c>
      <c r="BD487" t="s">
        <v>9456</v>
      </c>
      <c r="BE487" t="s">
        <v>9457</v>
      </c>
      <c r="BF487" t="str">
        <f>HYPERLINK("http://dx.doi.org/10.1098/rsta.2014.0193","http://dx.doi.org/10.1098/rsta.2014.0193")</f>
        <v>http://dx.doi.org/10.1098/rsta.2014.0193</v>
      </c>
      <c r="BG487" t="s">
        <v>74</v>
      </c>
      <c r="BH487" t="s">
        <v>74</v>
      </c>
      <c r="BI487">
        <v>12</v>
      </c>
      <c r="BJ487" t="s">
        <v>201</v>
      </c>
      <c r="BK487" t="s">
        <v>91</v>
      </c>
      <c r="BL487" t="s">
        <v>203</v>
      </c>
      <c r="BM487" t="s">
        <v>9440</v>
      </c>
      <c r="BN487">
        <v>25368349</v>
      </c>
      <c r="BO487" t="s">
        <v>375</v>
      </c>
      <c r="BP487" t="s">
        <v>74</v>
      </c>
      <c r="BQ487" t="s">
        <v>74</v>
      </c>
      <c r="BR487" t="s">
        <v>93</v>
      </c>
      <c r="BS487" t="s">
        <v>9458</v>
      </c>
      <c r="BT487" t="str">
        <f>HYPERLINK("https%3A%2F%2Fwww.webofscience.com%2Fwos%2Fwoscc%2Ffull-record%2FWOS:000344991900001","View Full Record in Web of Science")</f>
        <v>View Full Record in Web of Science</v>
      </c>
    </row>
    <row r="488" spans="1:72" x14ac:dyDescent="0.15">
      <c r="A488" t="s">
        <v>72</v>
      </c>
      <c r="B488" t="s">
        <v>9459</v>
      </c>
      <c r="C488" t="s">
        <v>74</v>
      </c>
      <c r="D488" t="s">
        <v>74</v>
      </c>
      <c r="E488" t="s">
        <v>74</v>
      </c>
      <c r="F488" t="s">
        <v>9460</v>
      </c>
      <c r="G488" t="s">
        <v>74</v>
      </c>
      <c r="H488" t="s">
        <v>74</v>
      </c>
      <c r="I488" t="s">
        <v>9461</v>
      </c>
      <c r="J488" t="s">
        <v>8888</v>
      </c>
      <c r="K488" t="s">
        <v>74</v>
      </c>
      <c r="L488" t="s">
        <v>74</v>
      </c>
      <c r="M488" t="s">
        <v>78</v>
      </c>
      <c r="N488" t="s">
        <v>99</v>
      </c>
      <c r="O488" t="s">
        <v>74</v>
      </c>
      <c r="P488" t="s">
        <v>74</v>
      </c>
      <c r="Q488" t="s">
        <v>74</v>
      </c>
      <c r="R488" t="s">
        <v>74</v>
      </c>
      <c r="S488" t="s">
        <v>74</v>
      </c>
      <c r="T488" t="s">
        <v>9462</v>
      </c>
      <c r="U488" t="s">
        <v>9463</v>
      </c>
      <c r="V488" t="s">
        <v>9464</v>
      </c>
      <c r="W488" t="s">
        <v>9465</v>
      </c>
      <c r="X488" t="s">
        <v>9466</v>
      </c>
      <c r="Y488" t="s">
        <v>9467</v>
      </c>
      <c r="Z488" t="s">
        <v>9468</v>
      </c>
      <c r="AA488" t="s">
        <v>9469</v>
      </c>
      <c r="AB488" t="s">
        <v>9470</v>
      </c>
      <c r="AC488" t="s">
        <v>9471</v>
      </c>
      <c r="AD488" t="s">
        <v>9472</v>
      </c>
      <c r="AE488" t="s">
        <v>9473</v>
      </c>
      <c r="AF488" t="s">
        <v>74</v>
      </c>
      <c r="AG488">
        <v>98</v>
      </c>
      <c r="AH488">
        <v>27</v>
      </c>
      <c r="AI488">
        <v>27</v>
      </c>
      <c r="AJ488">
        <v>2</v>
      </c>
      <c r="AK488">
        <v>48</v>
      </c>
      <c r="AL488" t="s">
        <v>8896</v>
      </c>
      <c r="AM488" t="s">
        <v>219</v>
      </c>
      <c r="AN488" t="s">
        <v>8897</v>
      </c>
      <c r="AO488" t="s">
        <v>8898</v>
      </c>
      <c r="AP488" t="s">
        <v>8899</v>
      </c>
      <c r="AQ488" t="s">
        <v>74</v>
      </c>
      <c r="AR488" t="s">
        <v>8900</v>
      </c>
      <c r="AS488" t="s">
        <v>8901</v>
      </c>
      <c r="AT488" t="s">
        <v>9438</v>
      </c>
      <c r="AU488">
        <v>2014</v>
      </c>
      <c r="AV488">
        <v>372</v>
      </c>
      <c r="AW488">
        <v>2030</v>
      </c>
      <c r="AX488" t="s">
        <v>74</v>
      </c>
      <c r="AY488" t="s">
        <v>74</v>
      </c>
      <c r="AZ488" t="s">
        <v>1437</v>
      </c>
      <c r="BA488" t="s">
        <v>74</v>
      </c>
      <c r="BB488" t="s">
        <v>74</v>
      </c>
      <c r="BC488" t="s">
        <v>74</v>
      </c>
      <c r="BD488" t="s">
        <v>9474</v>
      </c>
      <c r="BE488" t="s">
        <v>9475</v>
      </c>
      <c r="BF488" t="str">
        <f>HYPERLINK("http://dx.doi.org/10.1098/rsta.2014.0196","http://dx.doi.org/10.1098/rsta.2014.0196")</f>
        <v>http://dx.doi.org/10.1098/rsta.2014.0196</v>
      </c>
      <c r="BG488" t="s">
        <v>74</v>
      </c>
      <c r="BH488" t="s">
        <v>74</v>
      </c>
      <c r="BI488">
        <v>22</v>
      </c>
      <c r="BJ488" t="s">
        <v>201</v>
      </c>
      <c r="BK488" t="s">
        <v>91</v>
      </c>
      <c r="BL488" t="s">
        <v>203</v>
      </c>
      <c r="BM488" t="s">
        <v>9440</v>
      </c>
      <c r="BN488">
        <v>25368344</v>
      </c>
      <c r="BO488" t="s">
        <v>375</v>
      </c>
      <c r="BP488" t="s">
        <v>74</v>
      </c>
      <c r="BQ488" t="s">
        <v>74</v>
      </c>
      <c r="BR488" t="s">
        <v>93</v>
      </c>
      <c r="BS488" t="s">
        <v>9476</v>
      </c>
      <c r="BT488" t="str">
        <f>HYPERLINK("https%3A%2F%2Fwww.webofscience.com%2Fwos%2Fwoscc%2Ffull-record%2FWOS:000344991900004","View Full Record in Web of Science")</f>
        <v>View Full Record in Web of Science</v>
      </c>
    </row>
    <row r="489" spans="1:72" x14ac:dyDescent="0.15">
      <c r="A489" t="s">
        <v>72</v>
      </c>
      <c r="B489" t="s">
        <v>9477</v>
      </c>
      <c r="C489" t="s">
        <v>74</v>
      </c>
      <c r="D489" t="s">
        <v>74</v>
      </c>
      <c r="E489" t="s">
        <v>74</v>
      </c>
      <c r="F489" t="s">
        <v>9478</v>
      </c>
      <c r="G489" t="s">
        <v>74</v>
      </c>
      <c r="H489" t="s">
        <v>74</v>
      </c>
      <c r="I489" t="s">
        <v>9479</v>
      </c>
      <c r="J489" t="s">
        <v>9480</v>
      </c>
      <c r="K489" t="s">
        <v>74</v>
      </c>
      <c r="L489" t="s">
        <v>74</v>
      </c>
      <c r="M489" t="s">
        <v>78</v>
      </c>
      <c r="N489" t="s">
        <v>99</v>
      </c>
      <c r="O489" t="s">
        <v>74</v>
      </c>
      <c r="P489" t="s">
        <v>74</v>
      </c>
      <c r="Q489" t="s">
        <v>74</v>
      </c>
      <c r="R489" t="s">
        <v>74</v>
      </c>
      <c r="S489" t="s">
        <v>74</v>
      </c>
      <c r="T489" t="s">
        <v>9481</v>
      </c>
      <c r="U489" t="s">
        <v>9482</v>
      </c>
      <c r="V489" t="s">
        <v>9483</v>
      </c>
      <c r="W489" t="s">
        <v>9484</v>
      </c>
      <c r="X489" t="s">
        <v>9485</v>
      </c>
      <c r="Y489" t="s">
        <v>9486</v>
      </c>
      <c r="Z489" t="s">
        <v>9487</v>
      </c>
      <c r="AA489" t="s">
        <v>9488</v>
      </c>
      <c r="AB489" t="s">
        <v>9489</v>
      </c>
      <c r="AC489" t="s">
        <v>9490</v>
      </c>
      <c r="AD489" t="s">
        <v>9491</v>
      </c>
      <c r="AE489" t="s">
        <v>9492</v>
      </c>
      <c r="AF489" t="s">
        <v>74</v>
      </c>
      <c r="AG489">
        <v>86</v>
      </c>
      <c r="AH489">
        <v>54</v>
      </c>
      <c r="AI489">
        <v>62</v>
      </c>
      <c r="AJ489">
        <v>11</v>
      </c>
      <c r="AK489">
        <v>177</v>
      </c>
      <c r="AL489" t="s">
        <v>5866</v>
      </c>
      <c r="AM489" t="s">
        <v>219</v>
      </c>
      <c r="AN489" t="s">
        <v>5867</v>
      </c>
      <c r="AO489" t="s">
        <v>9493</v>
      </c>
      <c r="AP489" t="s">
        <v>74</v>
      </c>
      <c r="AQ489" t="s">
        <v>74</v>
      </c>
      <c r="AR489" t="s">
        <v>9480</v>
      </c>
      <c r="AS489" t="s">
        <v>9494</v>
      </c>
      <c r="AT489" t="s">
        <v>9495</v>
      </c>
      <c r="AU489">
        <v>2014</v>
      </c>
      <c r="AV489">
        <v>3</v>
      </c>
      <c r="AW489" t="s">
        <v>74</v>
      </c>
      <c r="AX489" t="s">
        <v>74</v>
      </c>
      <c r="AY489" t="s">
        <v>74</v>
      </c>
      <c r="AZ489" t="s">
        <v>74</v>
      </c>
      <c r="BA489" t="s">
        <v>74</v>
      </c>
      <c r="BB489" t="s">
        <v>74</v>
      </c>
      <c r="BC489" t="s">
        <v>74</v>
      </c>
      <c r="BD489">
        <v>27</v>
      </c>
      <c r="BE489" t="s">
        <v>9496</v>
      </c>
      <c r="BF489" t="str">
        <f>HYPERLINK("http://dx.doi.org/10.1186/2047-217X-3-27","http://dx.doi.org/10.1186/2047-217X-3-27")</f>
        <v>http://dx.doi.org/10.1186/2047-217X-3-27</v>
      </c>
      <c r="BG489" t="s">
        <v>74</v>
      </c>
      <c r="BH489" t="s">
        <v>74</v>
      </c>
      <c r="BI489">
        <v>15</v>
      </c>
      <c r="BJ489" t="s">
        <v>9497</v>
      </c>
      <c r="BK489" t="s">
        <v>91</v>
      </c>
      <c r="BL489" t="s">
        <v>9498</v>
      </c>
      <c r="BM489" t="s">
        <v>9499</v>
      </c>
      <c r="BN489">
        <v>25671092</v>
      </c>
      <c r="BO489" t="s">
        <v>159</v>
      </c>
      <c r="BP489" t="s">
        <v>74</v>
      </c>
      <c r="BQ489" t="s">
        <v>74</v>
      </c>
      <c r="BR489" t="s">
        <v>93</v>
      </c>
      <c r="BS489" t="s">
        <v>9500</v>
      </c>
      <c r="BT489" t="str">
        <f>HYPERLINK("https%3A%2F%2Fwww.webofscience.com%2Fwos%2Fwoscc%2Ffull-record%2FWOS:000365658300001","View Full Record in Web of Science")</f>
        <v>View Full Record in Web of Science</v>
      </c>
    </row>
    <row r="490" spans="1:72" x14ac:dyDescent="0.15">
      <c r="A490" t="s">
        <v>72</v>
      </c>
      <c r="B490" t="s">
        <v>9501</v>
      </c>
      <c r="C490" t="s">
        <v>74</v>
      </c>
      <c r="D490" t="s">
        <v>74</v>
      </c>
      <c r="E490" t="s">
        <v>74</v>
      </c>
      <c r="F490" t="s">
        <v>9502</v>
      </c>
      <c r="G490" t="s">
        <v>74</v>
      </c>
      <c r="H490" t="s">
        <v>74</v>
      </c>
      <c r="I490" t="s">
        <v>9503</v>
      </c>
      <c r="J490" t="s">
        <v>9038</v>
      </c>
      <c r="K490" t="s">
        <v>74</v>
      </c>
      <c r="L490" t="s">
        <v>74</v>
      </c>
      <c r="M490" t="s">
        <v>78</v>
      </c>
      <c r="N490" t="s">
        <v>99</v>
      </c>
      <c r="O490" t="s">
        <v>74</v>
      </c>
      <c r="P490" t="s">
        <v>74</v>
      </c>
      <c r="Q490" t="s">
        <v>74</v>
      </c>
      <c r="R490" t="s">
        <v>74</v>
      </c>
      <c r="S490" t="s">
        <v>74</v>
      </c>
      <c r="T490" t="s">
        <v>9504</v>
      </c>
      <c r="U490" t="s">
        <v>9505</v>
      </c>
      <c r="V490" t="s">
        <v>9506</v>
      </c>
      <c r="W490" t="s">
        <v>9507</v>
      </c>
      <c r="X490" t="s">
        <v>9508</v>
      </c>
      <c r="Y490" t="s">
        <v>9509</v>
      </c>
      <c r="Z490" t="s">
        <v>9510</v>
      </c>
      <c r="AA490" t="s">
        <v>9511</v>
      </c>
      <c r="AB490" t="s">
        <v>9512</v>
      </c>
      <c r="AC490" t="s">
        <v>9513</v>
      </c>
      <c r="AD490" t="s">
        <v>9514</v>
      </c>
      <c r="AE490" t="s">
        <v>9515</v>
      </c>
      <c r="AF490" t="s">
        <v>74</v>
      </c>
      <c r="AG490">
        <v>41</v>
      </c>
      <c r="AH490">
        <v>36</v>
      </c>
      <c r="AI490">
        <v>43</v>
      </c>
      <c r="AJ490">
        <v>3</v>
      </c>
      <c r="AK490">
        <v>44</v>
      </c>
      <c r="AL490" t="s">
        <v>5958</v>
      </c>
      <c r="AM490" t="s">
        <v>5959</v>
      </c>
      <c r="AN490" t="s">
        <v>5960</v>
      </c>
      <c r="AO490" t="s">
        <v>74</v>
      </c>
      <c r="AP490" t="s">
        <v>9051</v>
      </c>
      <c r="AQ490" t="s">
        <v>74</v>
      </c>
      <c r="AR490" t="s">
        <v>9052</v>
      </c>
      <c r="AS490" t="s">
        <v>9053</v>
      </c>
      <c r="AT490" t="s">
        <v>9516</v>
      </c>
      <c r="AU490">
        <v>2014</v>
      </c>
      <c r="AV490">
        <v>5</v>
      </c>
      <c r="AW490" t="s">
        <v>74</v>
      </c>
      <c r="AX490" t="s">
        <v>74</v>
      </c>
      <c r="AY490" t="s">
        <v>74</v>
      </c>
      <c r="AZ490" t="s">
        <v>74</v>
      </c>
      <c r="BA490" t="s">
        <v>74</v>
      </c>
      <c r="BB490" t="s">
        <v>74</v>
      </c>
      <c r="BC490" t="s">
        <v>74</v>
      </c>
      <c r="BD490">
        <v>694</v>
      </c>
      <c r="BE490" t="s">
        <v>9517</v>
      </c>
      <c r="BF490" t="str">
        <f>HYPERLINK("http://dx.doi.org/10.3389/fmicb.2014.00694","http://dx.doi.org/10.3389/fmicb.2014.00694")</f>
        <v>http://dx.doi.org/10.3389/fmicb.2014.00694</v>
      </c>
      <c r="BG490" t="s">
        <v>74</v>
      </c>
      <c r="BH490" t="s">
        <v>74</v>
      </c>
      <c r="BI490">
        <v>15</v>
      </c>
      <c r="BJ490" t="s">
        <v>5926</v>
      </c>
      <c r="BK490" t="s">
        <v>91</v>
      </c>
      <c r="BL490" t="s">
        <v>5926</v>
      </c>
      <c r="BM490" t="s">
        <v>9518</v>
      </c>
      <c r="BN490">
        <v>25566210</v>
      </c>
      <c r="BO490" t="s">
        <v>159</v>
      </c>
      <c r="BP490" t="s">
        <v>74</v>
      </c>
      <c r="BQ490" t="s">
        <v>74</v>
      </c>
      <c r="BR490" t="s">
        <v>93</v>
      </c>
      <c r="BS490" t="s">
        <v>9519</v>
      </c>
      <c r="BT490" t="str">
        <f>HYPERLINK("https%3A%2F%2Fwww.webofscience.com%2Fwos%2Fwoscc%2Ffull-record%2FWOS:000347242000001","View Full Record in Web of Science")</f>
        <v>View Full Record in Web of Science</v>
      </c>
    </row>
    <row r="491" spans="1:72" x14ac:dyDescent="0.15">
      <c r="A491" t="s">
        <v>72</v>
      </c>
      <c r="B491" t="s">
        <v>9520</v>
      </c>
      <c r="C491" t="s">
        <v>74</v>
      </c>
      <c r="D491" t="s">
        <v>74</v>
      </c>
      <c r="E491" t="s">
        <v>74</v>
      </c>
      <c r="F491" t="s">
        <v>9521</v>
      </c>
      <c r="G491" t="s">
        <v>74</v>
      </c>
      <c r="H491" t="s">
        <v>74</v>
      </c>
      <c r="I491" t="s">
        <v>9522</v>
      </c>
      <c r="J491" t="s">
        <v>9084</v>
      </c>
      <c r="K491" t="s">
        <v>74</v>
      </c>
      <c r="L491" t="s">
        <v>74</v>
      </c>
      <c r="M491" t="s">
        <v>78</v>
      </c>
      <c r="N491" t="s">
        <v>99</v>
      </c>
      <c r="O491" t="s">
        <v>74</v>
      </c>
      <c r="P491" t="s">
        <v>74</v>
      </c>
      <c r="Q491" t="s">
        <v>74</v>
      </c>
      <c r="R491" t="s">
        <v>74</v>
      </c>
      <c r="S491" t="s">
        <v>74</v>
      </c>
      <c r="T491" t="s">
        <v>74</v>
      </c>
      <c r="U491" t="s">
        <v>9523</v>
      </c>
      <c r="V491" t="s">
        <v>9524</v>
      </c>
      <c r="W491" t="s">
        <v>9525</v>
      </c>
      <c r="X491" t="s">
        <v>9526</v>
      </c>
      <c r="Y491" t="s">
        <v>9527</v>
      </c>
      <c r="Z491" t="s">
        <v>9528</v>
      </c>
      <c r="AA491" t="s">
        <v>9529</v>
      </c>
      <c r="AB491" t="s">
        <v>9530</v>
      </c>
      <c r="AC491" t="s">
        <v>9531</v>
      </c>
      <c r="AD491" t="s">
        <v>4292</v>
      </c>
      <c r="AE491" t="s">
        <v>9532</v>
      </c>
      <c r="AF491" t="s">
        <v>74</v>
      </c>
      <c r="AG491">
        <v>118</v>
      </c>
      <c r="AH491">
        <v>28</v>
      </c>
      <c r="AI491">
        <v>33</v>
      </c>
      <c r="AJ491">
        <v>1</v>
      </c>
      <c r="AK491">
        <v>19</v>
      </c>
      <c r="AL491" t="s">
        <v>9093</v>
      </c>
      <c r="AM491" t="s">
        <v>9094</v>
      </c>
      <c r="AN491" t="s">
        <v>9095</v>
      </c>
      <c r="AO491" t="s">
        <v>9096</v>
      </c>
      <c r="AP491" t="s">
        <v>74</v>
      </c>
      <c r="AQ491" t="s">
        <v>74</v>
      </c>
      <c r="AR491" t="s">
        <v>9084</v>
      </c>
      <c r="AS491" t="s">
        <v>9097</v>
      </c>
      <c r="AT491" t="s">
        <v>9533</v>
      </c>
      <c r="AU491">
        <v>2014</v>
      </c>
      <c r="AV491">
        <v>9</v>
      </c>
      <c r="AW491">
        <v>12</v>
      </c>
      <c r="AX491" t="s">
        <v>74</v>
      </c>
      <c r="AY491" t="s">
        <v>74</v>
      </c>
      <c r="AZ491" t="s">
        <v>74</v>
      </c>
      <c r="BA491" t="s">
        <v>74</v>
      </c>
      <c r="BB491" t="s">
        <v>74</v>
      </c>
      <c r="BC491" t="s">
        <v>74</v>
      </c>
      <c r="BD491" t="s">
        <v>9534</v>
      </c>
      <c r="BE491" t="s">
        <v>9535</v>
      </c>
      <c r="BF491" t="str">
        <f>HYPERLINK("http://dx.doi.org/10.1371/journal.pone.0114743","http://dx.doi.org/10.1371/journal.pone.0114743")</f>
        <v>http://dx.doi.org/10.1371/journal.pone.0114743</v>
      </c>
      <c r="BG491" t="s">
        <v>74</v>
      </c>
      <c r="BH491" t="s">
        <v>74</v>
      </c>
      <c r="BI491">
        <v>22</v>
      </c>
      <c r="BJ491" t="s">
        <v>201</v>
      </c>
      <c r="BK491" t="s">
        <v>91</v>
      </c>
      <c r="BL491" t="s">
        <v>203</v>
      </c>
      <c r="BM491" t="s">
        <v>9536</v>
      </c>
      <c r="BN491">
        <v>25493546</v>
      </c>
      <c r="BO491" t="s">
        <v>1989</v>
      </c>
      <c r="BP491" t="s">
        <v>74</v>
      </c>
      <c r="BQ491" t="s">
        <v>74</v>
      </c>
      <c r="BR491" t="s">
        <v>93</v>
      </c>
      <c r="BS491" t="s">
        <v>9537</v>
      </c>
      <c r="BT491" t="str">
        <f>HYPERLINK("https%3A%2F%2Fwww.webofscience.com%2Fwos%2Fwoscc%2Ffull-record%2FWOS:000346611400074","View Full Record in Web of Science")</f>
        <v>View Full Record in Web of Science</v>
      </c>
    </row>
    <row r="492" spans="1:72" x14ac:dyDescent="0.15">
      <c r="A492" t="s">
        <v>72</v>
      </c>
      <c r="B492" t="s">
        <v>9538</v>
      </c>
      <c r="C492" t="s">
        <v>74</v>
      </c>
      <c r="D492" t="s">
        <v>74</v>
      </c>
      <c r="E492" t="s">
        <v>74</v>
      </c>
      <c r="F492" t="s">
        <v>9539</v>
      </c>
      <c r="G492" t="s">
        <v>74</v>
      </c>
      <c r="H492" t="s">
        <v>74</v>
      </c>
      <c r="I492" t="s">
        <v>9540</v>
      </c>
      <c r="J492" t="s">
        <v>9541</v>
      </c>
      <c r="K492" t="s">
        <v>74</v>
      </c>
      <c r="L492" t="s">
        <v>74</v>
      </c>
      <c r="M492" t="s">
        <v>78</v>
      </c>
      <c r="N492" t="s">
        <v>99</v>
      </c>
      <c r="O492" t="s">
        <v>74</v>
      </c>
      <c r="P492" t="s">
        <v>74</v>
      </c>
      <c r="Q492" t="s">
        <v>74</v>
      </c>
      <c r="R492" t="s">
        <v>74</v>
      </c>
      <c r="S492" t="s">
        <v>74</v>
      </c>
      <c r="T492" t="s">
        <v>9542</v>
      </c>
      <c r="U492" t="s">
        <v>9543</v>
      </c>
      <c r="V492" t="s">
        <v>9544</v>
      </c>
      <c r="W492" t="s">
        <v>9545</v>
      </c>
      <c r="X492" t="s">
        <v>9546</v>
      </c>
      <c r="Y492" t="s">
        <v>9547</v>
      </c>
      <c r="Z492" t="s">
        <v>9548</v>
      </c>
      <c r="AA492" t="s">
        <v>9549</v>
      </c>
      <c r="AB492" t="s">
        <v>9550</v>
      </c>
      <c r="AC492" t="s">
        <v>9551</v>
      </c>
      <c r="AD492" t="s">
        <v>9551</v>
      </c>
      <c r="AE492" t="s">
        <v>9552</v>
      </c>
      <c r="AF492" t="s">
        <v>74</v>
      </c>
      <c r="AG492">
        <v>23</v>
      </c>
      <c r="AH492">
        <v>0</v>
      </c>
      <c r="AI492">
        <v>0</v>
      </c>
      <c r="AJ492">
        <v>5</v>
      </c>
      <c r="AK492">
        <v>42</v>
      </c>
      <c r="AL492" t="s">
        <v>82</v>
      </c>
      <c r="AM492" t="s">
        <v>83</v>
      </c>
      <c r="AN492" t="s">
        <v>84</v>
      </c>
      <c r="AO492" t="s">
        <v>9553</v>
      </c>
      <c r="AP492" t="s">
        <v>9554</v>
      </c>
      <c r="AQ492" t="s">
        <v>74</v>
      </c>
      <c r="AR492" t="s">
        <v>9555</v>
      </c>
      <c r="AS492" t="s">
        <v>9556</v>
      </c>
      <c r="AT492" t="s">
        <v>9557</v>
      </c>
      <c r="AU492">
        <v>2014</v>
      </c>
      <c r="AV492">
        <v>94</v>
      </c>
      <c r="AW492" t="s">
        <v>9558</v>
      </c>
      <c r="AX492" t="s">
        <v>74</v>
      </c>
      <c r="AY492" t="s">
        <v>74</v>
      </c>
      <c r="AZ492" t="s">
        <v>74</v>
      </c>
      <c r="BA492" t="s">
        <v>74</v>
      </c>
      <c r="BB492">
        <v>1343</v>
      </c>
      <c r="BC492">
        <v>1359</v>
      </c>
      <c r="BD492" t="s">
        <v>74</v>
      </c>
      <c r="BE492" t="s">
        <v>9559</v>
      </c>
      <c r="BF492" t="str">
        <f>HYPERLINK("http://dx.doi.org/10.1080/03067319.2014.974587","http://dx.doi.org/10.1080/03067319.2014.974587")</f>
        <v>http://dx.doi.org/10.1080/03067319.2014.974587</v>
      </c>
      <c r="BG492" t="s">
        <v>74</v>
      </c>
      <c r="BH492" t="s">
        <v>74</v>
      </c>
      <c r="BI492">
        <v>17</v>
      </c>
      <c r="BJ492" t="s">
        <v>571</v>
      </c>
      <c r="BK492" t="s">
        <v>91</v>
      </c>
      <c r="BL492" t="s">
        <v>572</v>
      </c>
      <c r="BM492" t="s">
        <v>9560</v>
      </c>
      <c r="BN492" t="s">
        <v>74</v>
      </c>
      <c r="BO492" t="s">
        <v>74</v>
      </c>
      <c r="BP492" t="s">
        <v>74</v>
      </c>
      <c r="BQ492" t="s">
        <v>74</v>
      </c>
      <c r="BR492" t="s">
        <v>93</v>
      </c>
      <c r="BS492" t="s">
        <v>9561</v>
      </c>
      <c r="BT492" t="str">
        <f>HYPERLINK("https%3A%2F%2Fwww.webofscience.com%2Fwos%2Fwoscc%2Ffull-record%2FWOS:000345839200001","View Full Record in Web of Science")</f>
        <v>View Full Record in Web of Science</v>
      </c>
    </row>
    <row r="493" spans="1:72" x14ac:dyDescent="0.15">
      <c r="A493" t="s">
        <v>72</v>
      </c>
      <c r="B493" t="s">
        <v>9562</v>
      </c>
      <c r="C493" t="s">
        <v>74</v>
      </c>
      <c r="D493" t="s">
        <v>74</v>
      </c>
      <c r="E493" t="s">
        <v>74</v>
      </c>
      <c r="F493" t="s">
        <v>9563</v>
      </c>
      <c r="G493" t="s">
        <v>74</v>
      </c>
      <c r="H493" t="s">
        <v>74</v>
      </c>
      <c r="I493" t="s">
        <v>9564</v>
      </c>
      <c r="J493" t="s">
        <v>9061</v>
      </c>
      <c r="K493" t="s">
        <v>74</v>
      </c>
      <c r="L493" t="s">
        <v>74</v>
      </c>
      <c r="M493" t="s">
        <v>78</v>
      </c>
      <c r="N493" t="s">
        <v>99</v>
      </c>
      <c r="O493" t="s">
        <v>74</v>
      </c>
      <c r="P493" t="s">
        <v>74</v>
      </c>
      <c r="Q493" t="s">
        <v>74</v>
      </c>
      <c r="R493" t="s">
        <v>74</v>
      </c>
      <c r="S493" t="s">
        <v>74</v>
      </c>
      <c r="T493" t="s">
        <v>74</v>
      </c>
      <c r="U493" t="s">
        <v>9565</v>
      </c>
      <c r="V493" t="s">
        <v>9566</v>
      </c>
      <c r="W493" t="s">
        <v>9567</v>
      </c>
      <c r="X493" t="s">
        <v>9568</v>
      </c>
      <c r="Y493" t="s">
        <v>9569</v>
      </c>
      <c r="Z493" t="s">
        <v>9570</v>
      </c>
      <c r="AA493" t="s">
        <v>9571</v>
      </c>
      <c r="AB493" t="s">
        <v>9572</v>
      </c>
      <c r="AC493" t="s">
        <v>9573</v>
      </c>
      <c r="AD493" t="s">
        <v>9574</v>
      </c>
      <c r="AE493" t="s">
        <v>9575</v>
      </c>
      <c r="AF493" t="s">
        <v>74</v>
      </c>
      <c r="AG493">
        <v>28</v>
      </c>
      <c r="AH493">
        <v>324</v>
      </c>
      <c r="AI493">
        <v>366</v>
      </c>
      <c r="AJ493">
        <v>11</v>
      </c>
      <c r="AK493">
        <v>197</v>
      </c>
      <c r="AL493" t="s">
        <v>9073</v>
      </c>
      <c r="AM493" t="s">
        <v>1946</v>
      </c>
      <c r="AN493" t="s">
        <v>9074</v>
      </c>
      <c r="AO493" t="s">
        <v>9075</v>
      </c>
      <c r="AP493" t="s">
        <v>9076</v>
      </c>
      <c r="AQ493" t="s">
        <v>74</v>
      </c>
      <c r="AR493" t="s">
        <v>9061</v>
      </c>
      <c r="AS493" t="s">
        <v>9077</v>
      </c>
      <c r="AT493" t="s">
        <v>9576</v>
      </c>
      <c r="AU493">
        <v>2014</v>
      </c>
      <c r="AV493">
        <v>346</v>
      </c>
      <c r="AW493">
        <v>6214</v>
      </c>
      <c r="AX493" t="s">
        <v>74</v>
      </c>
      <c r="AY493" t="s">
        <v>74</v>
      </c>
      <c r="AZ493" t="s">
        <v>74</v>
      </c>
      <c r="BA493" t="s">
        <v>74</v>
      </c>
      <c r="BB493">
        <v>1227</v>
      </c>
      <c r="BC493">
        <v>1231</v>
      </c>
      <c r="BD493" t="s">
        <v>74</v>
      </c>
      <c r="BE493" t="s">
        <v>9577</v>
      </c>
      <c r="BF493" t="str">
        <f>HYPERLINK("http://dx.doi.org/10.1126/science.1256117","http://dx.doi.org/10.1126/science.1256117")</f>
        <v>http://dx.doi.org/10.1126/science.1256117</v>
      </c>
      <c r="BG493" t="s">
        <v>74</v>
      </c>
      <c r="BH493" t="s">
        <v>74</v>
      </c>
      <c r="BI493">
        <v>5</v>
      </c>
      <c r="BJ493" t="s">
        <v>201</v>
      </c>
      <c r="BK493" t="s">
        <v>91</v>
      </c>
      <c r="BL493" t="s">
        <v>203</v>
      </c>
      <c r="BM493" t="s">
        <v>9578</v>
      </c>
      <c r="BN493">
        <v>25477461</v>
      </c>
      <c r="BO493" t="s">
        <v>4631</v>
      </c>
      <c r="BP493" t="s">
        <v>5654</v>
      </c>
      <c r="BQ493" t="s">
        <v>5655</v>
      </c>
      <c r="BR493" t="s">
        <v>93</v>
      </c>
      <c r="BS493" t="s">
        <v>9579</v>
      </c>
      <c r="BT493" t="str">
        <f>HYPERLINK("https%3A%2F%2Fwww.webofscience.com%2Fwos%2Fwoscc%2Ffull-record%2FWOS:000346189000057","View Full Record in Web of Science")</f>
        <v>View Full Record in Web of Science</v>
      </c>
    </row>
    <row r="494" spans="1:72" x14ac:dyDescent="0.15">
      <c r="A494" t="s">
        <v>72</v>
      </c>
      <c r="B494" t="s">
        <v>9580</v>
      </c>
      <c r="C494" t="s">
        <v>74</v>
      </c>
      <c r="D494" t="s">
        <v>74</v>
      </c>
      <c r="E494" t="s">
        <v>74</v>
      </c>
      <c r="F494" t="s">
        <v>9581</v>
      </c>
      <c r="G494" t="s">
        <v>74</v>
      </c>
      <c r="H494" t="s">
        <v>74</v>
      </c>
      <c r="I494" t="s">
        <v>9582</v>
      </c>
      <c r="J494" t="s">
        <v>9583</v>
      </c>
      <c r="K494" t="s">
        <v>74</v>
      </c>
      <c r="L494" t="s">
        <v>74</v>
      </c>
      <c r="M494" t="s">
        <v>78</v>
      </c>
      <c r="N494" t="s">
        <v>99</v>
      </c>
      <c r="O494" t="s">
        <v>74</v>
      </c>
      <c r="P494" t="s">
        <v>74</v>
      </c>
      <c r="Q494" t="s">
        <v>74</v>
      </c>
      <c r="R494" t="s">
        <v>74</v>
      </c>
      <c r="S494" t="s">
        <v>74</v>
      </c>
      <c r="T494" t="s">
        <v>9584</v>
      </c>
      <c r="U494" t="s">
        <v>9585</v>
      </c>
      <c r="V494" t="s">
        <v>9586</v>
      </c>
      <c r="W494" t="s">
        <v>9587</v>
      </c>
      <c r="X494" t="s">
        <v>6566</v>
      </c>
      <c r="Y494" t="s">
        <v>9588</v>
      </c>
      <c r="Z494" t="s">
        <v>9589</v>
      </c>
      <c r="AA494" t="s">
        <v>9590</v>
      </c>
      <c r="AB494" t="s">
        <v>9591</v>
      </c>
      <c r="AC494" t="s">
        <v>9592</v>
      </c>
      <c r="AD494" t="s">
        <v>9593</v>
      </c>
      <c r="AE494" t="s">
        <v>9594</v>
      </c>
      <c r="AF494" t="s">
        <v>74</v>
      </c>
      <c r="AG494">
        <v>83</v>
      </c>
      <c r="AH494">
        <v>21</v>
      </c>
      <c r="AI494">
        <v>23</v>
      </c>
      <c r="AJ494">
        <v>6</v>
      </c>
      <c r="AK494">
        <v>25</v>
      </c>
      <c r="AL494" t="s">
        <v>2486</v>
      </c>
      <c r="AM494" t="s">
        <v>2487</v>
      </c>
      <c r="AN494" t="s">
        <v>2488</v>
      </c>
      <c r="AO494" t="s">
        <v>9595</v>
      </c>
      <c r="AP494" t="s">
        <v>9596</v>
      </c>
      <c r="AQ494" t="s">
        <v>74</v>
      </c>
      <c r="AR494" t="s">
        <v>9597</v>
      </c>
      <c r="AS494" t="s">
        <v>9598</v>
      </c>
      <c r="AT494" t="s">
        <v>9599</v>
      </c>
      <c r="AU494">
        <v>2014</v>
      </c>
      <c r="AV494">
        <v>13</v>
      </c>
      <c r="AW494" t="s">
        <v>74</v>
      </c>
      <c r="AX494" t="s">
        <v>74</v>
      </c>
      <c r="AY494" t="s">
        <v>74</v>
      </c>
      <c r="AZ494" t="s">
        <v>74</v>
      </c>
      <c r="BA494" t="s">
        <v>74</v>
      </c>
      <c r="BB494" t="s">
        <v>74</v>
      </c>
      <c r="BC494" t="s">
        <v>74</v>
      </c>
      <c r="BD494">
        <v>15</v>
      </c>
      <c r="BE494" t="s">
        <v>9600</v>
      </c>
      <c r="BF494" t="str">
        <f>HYPERLINK("http://dx.doi.org/10.1186/s40152-014-0015-4","http://dx.doi.org/10.1186/s40152-014-0015-4")</f>
        <v>http://dx.doi.org/10.1186/s40152-014-0015-4</v>
      </c>
      <c r="BG494" t="s">
        <v>74</v>
      </c>
      <c r="BH494" t="s">
        <v>74</v>
      </c>
      <c r="BI494">
        <v>20</v>
      </c>
      <c r="BJ494" t="s">
        <v>394</v>
      </c>
      <c r="BK494" t="s">
        <v>202</v>
      </c>
      <c r="BL494" t="s">
        <v>395</v>
      </c>
      <c r="BM494" t="s">
        <v>9601</v>
      </c>
      <c r="BN494" t="s">
        <v>74</v>
      </c>
      <c r="BO494" t="s">
        <v>134</v>
      </c>
      <c r="BP494" t="s">
        <v>74</v>
      </c>
      <c r="BQ494" t="s">
        <v>74</v>
      </c>
      <c r="BR494" t="s">
        <v>93</v>
      </c>
      <c r="BS494" t="s">
        <v>9602</v>
      </c>
      <c r="BT494" t="str">
        <f>HYPERLINK("https%3A%2F%2Fwww.webofscience.com%2Fwos%2Fwoscc%2Ffull-record%2FWOS:000210098600001","View Full Record in Web of Science")</f>
        <v>View Full Record in Web of Science</v>
      </c>
    </row>
    <row r="495" spans="1:72" x14ac:dyDescent="0.15">
      <c r="A495" t="s">
        <v>72</v>
      </c>
      <c r="B495" t="s">
        <v>9603</v>
      </c>
      <c r="C495" t="s">
        <v>74</v>
      </c>
      <c r="D495" t="s">
        <v>74</v>
      </c>
      <c r="E495" t="s">
        <v>74</v>
      </c>
      <c r="F495" t="s">
        <v>9604</v>
      </c>
      <c r="G495" t="s">
        <v>74</v>
      </c>
      <c r="H495" t="s">
        <v>74</v>
      </c>
      <c r="I495" t="s">
        <v>9605</v>
      </c>
      <c r="J495" t="s">
        <v>9084</v>
      </c>
      <c r="K495" t="s">
        <v>74</v>
      </c>
      <c r="L495" t="s">
        <v>74</v>
      </c>
      <c r="M495" t="s">
        <v>78</v>
      </c>
      <c r="N495" t="s">
        <v>99</v>
      </c>
      <c r="O495" t="s">
        <v>74</v>
      </c>
      <c r="P495" t="s">
        <v>74</v>
      </c>
      <c r="Q495" t="s">
        <v>74</v>
      </c>
      <c r="R495" t="s">
        <v>74</v>
      </c>
      <c r="S495" t="s">
        <v>74</v>
      </c>
      <c r="T495" t="s">
        <v>74</v>
      </c>
      <c r="U495" t="s">
        <v>9606</v>
      </c>
      <c r="V495" t="s">
        <v>9607</v>
      </c>
      <c r="W495" t="s">
        <v>9608</v>
      </c>
      <c r="X495" t="s">
        <v>9609</v>
      </c>
      <c r="Y495" t="s">
        <v>9610</v>
      </c>
      <c r="Z495" t="s">
        <v>9611</v>
      </c>
      <c r="AA495" t="s">
        <v>9612</v>
      </c>
      <c r="AB495" t="s">
        <v>9613</v>
      </c>
      <c r="AC495" t="s">
        <v>9614</v>
      </c>
      <c r="AD495" t="s">
        <v>9615</v>
      </c>
      <c r="AE495" t="s">
        <v>9616</v>
      </c>
      <c r="AF495" t="s">
        <v>74</v>
      </c>
      <c r="AG495">
        <v>69</v>
      </c>
      <c r="AH495">
        <v>57</v>
      </c>
      <c r="AI495">
        <v>64</v>
      </c>
      <c r="AJ495">
        <v>2</v>
      </c>
      <c r="AK495">
        <v>109</v>
      </c>
      <c r="AL495" t="s">
        <v>9093</v>
      </c>
      <c r="AM495" t="s">
        <v>9094</v>
      </c>
      <c r="AN495" t="s">
        <v>9095</v>
      </c>
      <c r="AO495" t="s">
        <v>9096</v>
      </c>
      <c r="AP495" t="s">
        <v>74</v>
      </c>
      <c r="AQ495" t="s">
        <v>74</v>
      </c>
      <c r="AR495" t="s">
        <v>9084</v>
      </c>
      <c r="AS495" t="s">
        <v>9097</v>
      </c>
      <c r="AT495" t="s">
        <v>9617</v>
      </c>
      <c r="AU495">
        <v>2014</v>
      </c>
      <c r="AV495">
        <v>9</v>
      </c>
      <c r="AW495">
        <v>12</v>
      </c>
      <c r="AX495" t="s">
        <v>74</v>
      </c>
      <c r="AY495" t="s">
        <v>74</v>
      </c>
      <c r="AZ495" t="s">
        <v>74</v>
      </c>
      <c r="BA495" t="s">
        <v>74</v>
      </c>
      <c r="BB495" t="s">
        <v>74</v>
      </c>
      <c r="BC495" t="s">
        <v>74</v>
      </c>
      <c r="BD495" t="s">
        <v>9618</v>
      </c>
      <c r="BE495" t="s">
        <v>9619</v>
      </c>
      <c r="BF495" t="str">
        <f>HYPERLINK("http://dx.doi.org/10.1371/journal.pone.0114067","http://dx.doi.org/10.1371/journal.pone.0114067")</f>
        <v>http://dx.doi.org/10.1371/journal.pone.0114067</v>
      </c>
      <c r="BG495" t="s">
        <v>74</v>
      </c>
      <c r="BH495" t="s">
        <v>74</v>
      </c>
      <c r="BI495">
        <v>18</v>
      </c>
      <c r="BJ495" t="s">
        <v>201</v>
      </c>
      <c r="BK495" t="s">
        <v>91</v>
      </c>
      <c r="BL495" t="s">
        <v>203</v>
      </c>
      <c r="BM495" t="s">
        <v>9620</v>
      </c>
      <c r="BN495">
        <v>25469984</v>
      </c>
      <c r="BO495" t="s">
        <v>159</v>
      </c>
      <c r="BP495" t="s">
        <v>74</v>
      </c>
      <c r="BQ495" t="s">
        <v>74</v>
      </c>
      <c r="BR495" t="s">
        <v>93</v>
      </c>
      <c r="BS495" t="s">
        <v>9621</v>
      </c>
      <c r="BT495" t="str">
        <f>HYPERLINK("https%3A%2F%2Fwww.webofscience.com%2Fwos%2Fwoscc%2Ffull-record%2FWOS:000349128700065","View Full Record in Web of Science")</f>
        <v>View Full Record in Web of Science</v>
      </c>
    </row>
    <row r="496" spans="1:72" x14ac:dyDescent="0.15">
      <c r="A496" t="s">
        <v>72</v>
      </c>
      <c r="B496" t="s">
        <v>9622</v>
      </c>
      <c r="C496" t="s">
        <v>74</v>
      </c>
      <c r="D496" t="s">
        <v>74</v>
      </c>
      <c r="E496" t="s">
        <v>74</v>
      </c>
      <c r="F496" t="s">
        <v>9623</v>
      </c>
      <c r="G496" t="s">
        <v>74</v>
      </c>
      <c r="H496" t="s">
        <v>74</v>
      </c>
      <c r="I496" t="s">
        <v>9624</v>
      </c>
      <c r="J496" t="s">
        <v>9084</v>
      </c>
      <c r="K496" t="s">
        <v>74</v>
      </c>
      <c r="L496" t="s">
        <v>74</v>
      </c>
      <c r="M496" t="s">
        <v>78</v>
      </c>
      <c r="N496" t="s">
        <v>99</v>
      </c>
      <c r="O496" t="s">
        <v>74</v>
      </c>
      <c r="P496" t="s">
        <v>74</v>
      </c>
      <c r="Q496" t="s">
        <v>74</v>
      </c>
      <c r="R496" t="s">
        <v>74</v>
      </c>
      <c r="S496" t="s">
        <v>74</v>
      </c>
      <c r="T496" t="s">
        <v>74</v>
      </c>
      <c r="U496" t="s">
        <v>9625</v>
      </c>
      <c r="V496" t="s">
        <v>9626</v>
      </c>
      <c r="W496" t="s">
        <v>9627</v>
      </c>
      <c r="X496" t="s">
        <v>9275</v>
      </c>
      <c r="Y496" t="s">
        <v>9628</v>
      </c>
      <c r="Z496" t="s">
        <v>9629</v>
      </c>
      <c r="AA496" t="s">
        <v>74</v>
      </c>
      <c r="AB496" t="s">
        <v>74</v>
      </c>
      <c r="AC496" t="s">
        <v>9630</v>
      </c>
      <c r="AD496" t="s">
        <v>9631</v>
      </c>
      <c r="AE496" t="s">
        <v>9632</v>
      </c>
      <c r="AF496" t="s">
        <v>74</v>
      </c>
      <c r="AG496">
        <v>31</v>
      </c>
      <c r="AH496">
        <v>2</v>
      </c>
      <c r="AI496">
        <v>2</v>
      </c>
      <c r="AJ496">
        <v>2</v>
      </c>
      <c r="AK496">
        <v>26</v>
      </c>
      <c r="AL496" t="s">
        <v>9093</v>
      </c>
      <c r="AM496" t="s">
        <v>9094</v>
      </c>
      <c r="AN496" t="s">
        <v>9095</v>
      </c>
      <c r="AO496" t="s">
        <v>9096</v>
      </c>
      <c r="AP496" t="s">
        <v>74</v>
      </c>
      <c r="AQ496" t="s">
        <v>74</v>
      </c>
      <c r="AR496" t="s">
        <v>9084</v>
      </c>
      <c r="AS496" t="s">
        <v>9097</v>
      </c>
      <c r="AT496" t="s">
        <v>9617</v>
      </c>
      <c r="AU496">
        <v>2014</v>
      </c>
      <c r="AV496">
        <v>9</v>
      </c>
      <c r="AW496">
        <v>12</v>
      </c>
      <c r="AX496" t="s">
        <v>74</v>
      </c>
      <c r="AY496" t="s">
        <v>74</v>
      </c>
      <c r="AZ496" t="s">
        <v>74</v>
      </c>
      <c r="BA496" t="s">
        <v>74</v>
      </c>
      <c r="BB496" t="s">
        <v>74</v>
      </c>
      <c r="BC496" t="s">
        <v>74</v>
      </c>
      <c r="BD496" t="s">
        <v>9633</v>
      </c>
      <c r="BE496" t="s">
        <v>9634</v>
      </c>
      <c r="BF496" t="str">
        <f>HYPERLINK("http://dx.doi.org/10.1371/journal.pone.0114378","http://dx.doi.org/10.1371/journal.pone.0114378")</f>
        <v>http://dx.doi.org/10.1371/journal.pone.0114378</v>
      </c>
      <c r="BG496" t="s">
        <v>74</v>
      </c>
      <c r="BH496" t="s">
        <v>74</v>
      </c>
      <c r="BI496">
        <v>20</v>
      </c>
      <c r="BJ496" t="s">
        <v>201</v>
      </c>
      <c r="BK496" t="s">
        <v>91</v>
      </c>
      <c r="BL496" t="s">
        <v>203</v>
      </c>
      <c r="BM496" t="s">
        <v>9620</v>
      </c>
      <c r="BN496">
        <v>25470296</v>
      </c>
      <c r="BO496" t="s">
        <v>9635</v>
      </c>
      <c r="BP496" t="s">
        <v>74</v>
      </c>
      <c r="BQ496" t="s">
        <v>74</v>
      </c>
      <c r="BR496" t="s">
        <v>93</v>
      </c>
      <c r="BS496" t="s">
        <v>9636</v>
      </c>
      <c r="BT496" t="str">
        <f>HYPERLINK("https%3A%2F%2Fwww.webofscience.com%2Fwos%2Fwoscc%2Ffull-record%2FWOS:000349128700109","View Full Record in Web of Science")</f>
        <v>View Full Record in Web of Science</v>
      </c>
    </row>
    <row r="497" spans="1:72" x14ac:dyDescent="0.15">
      <c r="A497" t="s">
        <v>72</v>
      </c>
      <c r="B497" t="s">
        <v>9637</v>
      </c>
      <c r="C497" t="s">
        <v>74</v>
      </c>
      <c r="D497" t="s">
        <v>74</v>
      </c>
      <c r="E497" t="s">
        <v>74</v>
      </c>
      <c r="F497" t="s">
        <v>9638</v>
      </c>
      <c r="G497" t="s">
        <v>74</v>
      </c>
      <c r="H497" t="s">
        <v>74</v>
      </c>
      <c r="I497" t="s">
        <v>9639</v>
      </c>
      <c r="J497" t="s">
        <v>9640</v>
      </c>
      <c r="K497" t="s">
        <v>74</v>
      </c>
      <c r="L497" t="s">
        <v>74</v>
      </c>
      <c r="M497" t="s">
        <v>78</v>
      </c>
      <c r="N497" t="s">
        <v>1845</v>
      </c>
      <c r="O497" t="s">
        <v>9641</v>
      </c>
      <c r="P497" t="s">
        <v>9642</v>
      </c>
      <c r="Q497" t="s">
        <v>9643</v>
      </c>
      <c r="R497" t="s">
        <v>74</v>
      </c>
      <c r="S497" t="s">
        <v>74</v>
      </c>
      <c r="T497" t="s">
        <v>9644</v>
      </c>
      <c r="U497" t="s">
        <v>9645</v>
      </c>
      <c r="V497" t="s">
        <v>9646</v>
      </c>
      <c r="W497" t="s">
        <v>9647</v>
      </c>
      <c r="X497" t="s">
        <v>9648</v>
      </c>
      <c r="Y497" t="s">
        <v>9649</v>
      </c>
      <c r="Z497" t="s">
        <v>9650</v>
      </c>
      <c r="AA497" t="s">
        <v>74</v>
      </c>
      <c r="AB497" t="s">
        <v>9651</v>
      </c>
      <c r="AC497" t="s">
        <v>9652</v>
      </c>
      <c r="AD497" t="s">
        <v>9275</v>
      </c>
      <c r="AE497" t="s">
        <v>9653</v>
      </c>
      <c r="AF497" t="s">
        <v>74</v>
      </c>
      <c r="AG497">
        <v>29</v>
      </c>
      <c r="AH497">
        <v>4</v>
      </c>
      <c r="AI497">
        <v>4</v>
      </c>
      <c r="AJ497">
        <v>1</v>
      </c>
      <c r="AK497">
        <v>13</v>
      </c>
      <c r="AL497" t="s">
        <v>365</v>
      </c>
      <c r="AM497" t="s">
        <v>342</v>
      </c>
      <c r="AN497" t="s">
        <v>2314</v>
      </c>
      <c r="AO497" t="s">
        <v>9654</v>
      </c>
      <c r="AP497" t="s">
        <v>9655</v>
      </c>
      <c r="AQ497" t="s">
        <v>74</v>
      </c>
      <c r="AR497" t="s">
        <v>9656</v>
      </c>
      <c r="AS497" t="s">
        <v>9657</v>
      </c>
      <c r="AT497" t="s">
        <v>9658</v>
      </c>
      <c r="AU497">
        <v>2014</v>
      </c>
      <c r="AV497">
        <v>29</v>
      </c>
      <c r="AW497" t="s">
        <v>74</v>
      </c>
      <c r="AX497" t="s">
        <v>74</v>
      </c>
      <c r="AY497">
        <v>1</v>
      </c>
      <c r="AZ497" t="s">
        <v>74</v>
      </c>
      <c r="BA497" t="s">
        <v>74</v>
      </c>
      <c r="BB497" t="s">
        <v>9659</v>
      </c>
      <c r="BC497" t="s">
        <v>9660</v>
      </c>
      <c r="BD497" t="s">
        <v>74</v>
      </c>
      <c r="BE497" t="s">
        <v>9661</v>
      </c>
      <c r="BF497" t="str">
        <f>HYPERLINK("http://dx.doi.org/10.1017/S0885715614000918","http://dx.doi.org/10.1017/S0885715614000918")</f>
        <v>http://dx.doi.org/10.1017/S0885715614000918</v>
      </c>
      <c r="BG497" t="s">
        <v>74</v>
      </c>
      <c r="BH497" t="s">
        <v>74</v>
      </c>
      <c r="BI497">
        <v>7</v>
      </c>
      <c r="BJ497" t="s">
        <v>9662</v>
      </c>
      <c r="BK497" t="s">
        <v>1862</v>
      </c>
      <c r="BL497" t="s">
        <v>1391</v>
      </c>
      <c r="BM497" t="s">
        <v>9663</v>
      </c>
      <c r="BN497" t="s">
        <v>74</v>
      </c>
      <c r="BO497" t="s">
        <v>74</v>
      </c>
      <c r="BP497" t="s">
        <v>74</v>
      </c>
      <c r="BQ497" t="s">
        <v>74</v>
      </c>
      <c r="BR497" t="s">
        <v>93</v>
      </c>
      <c r="BS497" t="s">
        <v>9664</v>
      </c>
      <c r="BT497" t="str">
        <f>HYPERLINK("https%3A%2F%2Fwww.webofscience.com%2Fwos%2Fwoscc%2Ffull-record%2FWOS:000353561300009","View Full Record in Web of Science")</f>
        <v>View Full Record in Web of Science</v>
      </c>
    </row>
    <row r="498" spans="1:72" x14ac:dyDescent="0.15">
      <c r="A498" t="s">
        <v>72</v>
      </c>
      <c r="B498" t="s">
        <v>9665</v>
      </c>
      <c r="C498" t="s">
        <v>74</v>
      </c>
      <c r="D498" t="s">
        <v>74</v>
      </c>
      <c r="E498" t="s">
        <v>74</v>
      </c>
      <c r="F498" t="s">
        <v>9666</v>
      </c>
      <c r="G498" t="s">
        <v>74</v>
      </c>
      <c r="H498" t="s">
        <v>74</v>
      </c>
      <c r="I498" t="s">
        <v>9667</v>
      </c>
      <c r="J498" t="s">
        <v>9668</v>
      </c>
      <c r="K498" t="s">
        <v>74</v>
      </c>
      <c r="L498" t="s">
        <v>74</v>
      </c>
      <c r="M498" t="s">
        <v>78</v>
      </c>
      <c r="N498" t="s">
        <v>99</v>
      </c>
      <c r="O498" t="s">
        <v>74</v>
      </c>
      <c r="P498" t="s">
        <v>74</v>
      </c>
      <c r="Q498" t="s">
        <v>74</v>
      </c>
      <c r="R498" t="s">
        <v>74</v>
      </c>
      <c r="S498" t="s">
        <v>74</v>
      </c>
      <c r="T498" t="s">
        <v>74</v>
      </c>
      <c r="U498" t="s">
        <v>74</v>
      </c>
      <c r="V498" t="s">
        <v>9669</v>
      </c>
      <c r="W498" t="s">
        <v>9670</v>
      </c>
      <c r="X498" t="s">
        <v>74</v>
      </c>
      <c r="Y498" t="s">
        <v>9671</v>
      </c>
      <c r="Z498" t="s">
        <v>74</v>
      </c>
      <c r="AA498" t="s">
        <v>74</v>
      </c>
      <c r="AB498" t="s">
        <v>74</v>
      </c>
      <c r="AC498" t="s">
        <v>74</v>
      </c>
      <c r="AD498" t="s">
        <v>74</v>
      </c>
      <c r="AE498" t="s">
        <v>74</v>
      </c>
      <c r="AF498" t="s">
        <v>74</v>
      </c>
      <c r="AG498">
        <v>5</v>
      </c>
      <c r="AH498">
        <v>1</v>
      </c>
      <c r="AI498">
        <v>1</v>
      </c>
      <c r="AJ498">
        <v>0</v>
      </c>
      <c r="AK498">
        <v>3</v>
      </c>
      <c r="AL498" t="s">
        <v>82</v>
      </c>
      <c r="AM498" t="s">
        <v>83</v>
      </c>
      <c r="AN498" t="s">
        <v>150</v>
      </c>
      <c r="AO498" t="s">
        <v>9672</v>
      </c>
      <c r="AP498" t="s">
        <v>9673</v>
      </c>
      <c r="AQ498" t="s">
        <v>74</v>
      </c>
      <c r="AR498" t="s">
        <v>9674</v>
      </c>
      <c r="AS498" t="s">
        <v>9675</v>
      </c>
      <c r="AT498" t="s">
        <v>9658</v>
      </c>
      <c r="AU498">
        <v>2014</v>
      </c>
      <c r="AV498">
        <v>13</v>
      </c>
      <c r="AW498">
        <v>3</v>
      </c>
      <c r="AX498" t="s">
        <v>74</v>
      </c>
      <c r="AY498" t="s">
        <v>74</v>
      </c>
      <c r="AZ498" t="s">
        <v>74</v>
      </c>
      <c r="BA498" t="s">
        <v>74</v>
      </c>
      <c r="BB498">
        <v>17</v>
      </c>
      <c r="BC498">
        <v>27</v>
      </c>
      <c r="BD498" t="s">
        <v>74</v>
      </c>
      <c r="BE498" t="s">
        <v>9676</v>
      </c>
      <c r="BF498" t="str">
        <f>HYPERLINK("http://dx.doi.org/10.1080/20464177.2014.11658118","http://dx.doi.org/10.1080/20464177.2014.11658118")</f>
        <v>http://dx.doi.org/10.1080/20464177.2014.11658118</v>
      </c>
      <c r="BG498" t="s">
        <v>74</v>
      </c>
      <c r="BH498" t="s">
        <v>74</v>
      </c>
      <c r="BI498">
        <v>11</v>
      </c>
      <c r="BJ498" t="s">
        <v>9677</v>
      </c>
      <c r="BK498" t="s">
        <v>91</v>
      </c>
      <c r="BL498" t="s">
        <v>8129</v>
      </c>
      <c r="BM498" t="s">
        <v>9678</v>
      </c>
      <c r="BN498" t="s">
        <v>74</v>
      </c>
      <c r="BO498" t="s">
        <v>375</v>
      </c>
      <c r="BP498" t="s">
        <v>74</v>
      </c>
      <c r="BQ498" t="s">
        <v>74</v>
      </c>
      <c r="BR498" t="s">
        <v>93</v>
      </c>
      <c r="BS498" t="s">
        <v>9679</v>
      </c>
      <c r="BT498" t="str">
        <f>HYPERLINK("https%3A%2F%2Fwww.webofscience.com%2Fwos%2Fwoscc%2Ffull-record%2FWOS:000350012700002","View Full Record in Web of Science")</f>
        <v>View Full Record in Web of Science</v>
      </c>
    </row>
    <row r="499" spans="1:72" x14ac:dyDescent="0.15">
      <c r="A499" t="s">
        <v>72</v>
      </c>
      <c r="B499" t="s">
        <v>9680</v>
      </c>
      <c r="C499" t="s">
        <v>74</v>
      </c>
      <c r="D499" t="s">
        <v>74</v>
      </c>
      <c r="E499" t="s">
        <v>74</v>
      </c>
      <c r="F499" t="s">
        <v>9681</v>
      </c>
      <c r="G499" t="s">
        <v>74</v>
      </c>
      <c r="H499" t="s">
        <v>74</v>
      </c>
      <c r="I499" t="s">
        <v>9682</v>
      </c>
      <c r="J499" t="s">
        <v>2061</v>
      </c>
      <c r="K499" t="s">
        <v>74</v>
      </c>
      <c r="L499" t="s">
        <v>74</v>
      </c>
      <c r="M499" t="s">
        <v>78</v>
      </c>
      <c r="N499" t="s">
        <v>99</v>
      </c>
      <c r="O499" t="s">
        <v>74</v>
      </c>
      <c r="P499" t="s">
        <v>74</v>
      </c>
      <c r="Q499" t="s">
        <v>74</v>
      </c>
      <c r="R499" t="s">
        <v>74</v>
      </c>
      <c r="S499" t="s">
        <v>74</v>
      </c>
      <c r="T499" t="s">
        <v>74</v>
      </c>
      <c r="U499" t="s">
        <v>9683</v>
      </c>
      <c r="V499" t="s">
        <v>9684</v>
      </c>
      <c r="W499" t="s">
        <v>9685</v>
      </c>
      <c r="X499" t="s">
        <v>9686</v>
      </c>
      <c r="Y499" t="s">
        <v>8819</v>
      </c>
      <c r="Z499" t="s">
        <v>9687</v>
      </c>
      <c r="AA499" t="s">
        <v>9688</v>
      </c>
      <c r="AB499" t="s">
        <v>9689</v>
      </c>
      <c r="AC499" t="s">
        <v>9690</v>
      </c>
      <c r="AD499" t="s">
        <v>9691</v>
      </c>
      <c r="AE499" t="s">
        <v>9692</v>
      </c>
      <c r="AF499" t="s">
        <v>74</v>
      </c>
      <c r="AG499">
        <v>15</v>
      </c>
      <c r="AH499">
        <v>8</v>
      </c>
      <c r="AI499">
        <v>9</v>
      </c>
      <c r="AJ499">
        <v>1</v>
      </c>
      <c r="AK499">
        <v>15</v>
      </c>
      <c r="AL499" t="s">
        <v>1945</v>
      </c>
      <c r="AM499" t="s">
        <v>1946</v>
      </c>
      <c r="AN499" t="s">
        <v>1947</v>
      </c>
      <c r="AO499" t="s">
        <v>2074</v>
      </c>
      <c r="AP499" t="s">
        <v>2075</v>
      </c>
      <c r="AQ499" t="s">
        <v>74</v>
      </c>
      <c r="AR499" t="s">
        <v>2076</v>
      </c>
      <c r="AS499" t="s">
        <v>2077</v>
      </c>
      <c r="AT499" t="s">
        <v>9658</v>
      </c>
      <c r="AU499">
        <v>2014</v>
      </c>
      <c r="AV499">
        <v>119</v>
      </c>
      <c r="AW499">
        <v>12</v>
      </c>
      <c r="AX499" t="s">
        <v>74</v>
      </c>
      <c r="AY499" t="s">
        <v>74</v>
      </c>
      <c r="AZ499" t="s">
        <v>74</v>
      </c>
      <c r="BA499" t="s">
        <v>74</v>
      </c>
      <c r="BB499" t="s">
        <v>74</v>
      </c>
      <c r="BC499" t="s">
        <v>74</v>
      </c>
      <c r="BD499" t="s">
        <v>74</v>
      </c>
      <c r="BE499" t="s">
        <v>9693</v>
      </c>
      <c r="BF499" t="str">
        <f>HYPERLINK("http://dx.doi.org/10.1002/2014JA020180","http://dx.doi.org/10.1002/2014JA020180")</f>
        <v>http://dx.doi.org/10.1002/2014JA020180</v>
      </c>
      <c r="BG499" t="s">
        <v>74</v>
      </c>
      <c r="BH499" t="s">
        <v>74</v>
      </c>
      <c r="BI499">
        <v>8</v>
      </c>
      <c r="BJ499" t="s">
        <v>2079</v>
      </c>
      <c r="BK499" t="s">
        <v>91</v>
      </c>
      <c r="BL499" t="s">
        <v>2079</v>
      </c>
      <c r="BM499" t="s">
        <v>9694</v>
      </c>
      <c r="BN499" t="s">
        <v>74</v>
      </c>
      <c r="BO499" t="s">
        <v>74</v>
      </c>
      <c r="BP499" t="s">
        <v>74</v>
      </c>
      <c r="BQ499" t="s">
        <v>74</v>
      </c>
      <c r="BR499" t="s">
        <v>93</v>
      </c>
      <c r="BS499" t="s">
        <v>9695</v>
      </c>
      <c r="BT499" t="str">
        <f>HYPERLINK("https%3A%2F%2Fwww.webofscience.com%2Fwos%2Fwoscc%2Ffull-record%2FWOS:000349161100053","View Full Record in Web of Science")</f>
        <v>View Full Record in Web of Science</v>
      </c>
    </row>
    <row r="500" spans="1:72" x14ac:dyDescent="0.15">
      <c r="A500" t="s">
        <v>72</v>
      </c>
      <c r="B500" t="s">
        <v>9696</v>
      </c>
      <c r="C500" t="s">
        <v>74</v>
      </c>
      <c r="D500" t="s">
        <v>74</v>
      </c>
      <c r="E500" t="s">
        <v>74</v>
      </c>
      <c r="F500" t="s">
        <v>9697</v>
      </c>
      <c r="G500" t="s">
        <v>74</v>
      </c>
      <c r="H500" t="s">
        <v>74</v>
      </c>
      <c r="I500" t="s">
        <v>9698</v>
      </c>
      <c r="J500" t="s">
        <v>2061</v>
      </c>
      <c r="K500" t="s">
        <v>74</v>
      </c>
      <c r="L500" t="s">
        <v>74</v>
      </c>
      <c r="M500" t="s">
        <v>78</v>
      </c>
      <c r="N500" t="s">
        <v>99</v>
      </c>
      <c r="O500" t="s">
        <v>74</v>
      </c>
      <c r="P500" t="s">
        <v>74</v>
      </c>
      <c r="Q500" t="s">
        <v>74</v>
      </c>
      <c r="R500" t="s">
        <v>74</v>
      </c>
      <c r="S500" t="s">
        <v>74</v>
      </c>
      <c r="T500" t="s">
        <v>74</v>
      </c>
      <c r="U500" t="s">
        <v>9699</v>
      </c>
      <c r="V500" t="s">
        <v>9700</v>
      </c>
      <c r="W500" t="s">
        <v>9701</v>
      </c>
      <c r="X500" t="s">
        <v>9702</v>
      </c>
      <c r="Y500" t="s">
        <v>9703</v>
      </c>
      <c r="Z500" t="s">
        <v>9704</v>
      </c>
      <c r="AA500" t="s">
        <v>9705</v>
      </c>
      <c r="AB500" t="s">
        <v>9706</v>
      </c>
      <c r="AC500" t="s">
        <v>9707</v>
      </c>
      <c r="AD500" t="s">
        <v>9708</v>
      </c>
      <c r="AE500" t="s">
        <v>9709</v>
      </c>
      <c r="AF500" t="s">
        <v>74</v>
      </c>
      <c r="AG500">
        <v>30</v>
      </c>
      <c r="AH500">
        <v>5</v>
      </c>
      <c r="AI500">
        <v>5</v>
      </c>
      <c r="AJ500">
        <v>7</v>
      </c>
      <c r="AK500">
        <v>20</v>
      </c>
      <c r="AL500" t="s">
        <v>1945</v>
      </c>
      <c r="AM500" t="s">
        <v>1946</v>
      </c>
      <c r="AN500" t="s">
        <v>1947</v>
      </c>
      <c r="AO500" t="s">
        <v>2074</v>
      </c>
      <c r="AP500" t="s">
        <v>2075</v>
      </c>
      <c r="AQ500" t="s">
        <v>74</v>
      </c>
      <c r="AR500" t="s">
        <v>2076</v>
      </c>
      <c r="AS500" t="s">
        <v>2077</v>
      </c>
      <c r="AT500" t="s">
        <v>9658</v>
      </c>
      <c r="AU500">
        <v>2014</v>
      </c>
      <c r="AV500">
        <v>119</v>
      </c>
      <c r="AW500">
        <v>12</v>
      </c>
      <c r="AX500" t="s">
        <v>74</v>
      </c>
      <c r="AY500" t="s">
        <v>74</v>
      </c>
      <c r="AZ500" t="s">
        <v>74</v>
      </c>
      <c r="BA500" t="s">
        <v>74</v>
      </c>
      <c r="BB500" t="s">
        <v>74</v>
      </c>
      <c r="BC500" t="s">
        <v>74</v>
      </c>
      <c r="BD500" t="s">
        <v>74</v>
      </c>
      <c r="BE500" t="s">
        <v>9710</v>
      </c>
      <c r="BF500" t="str">
        <f>HYPERLINK("http://dx.doi.org/10.1002/2014JA020607","http://dx.doi.org/10.1002/2014JA020607")</f>
        <v>http://dx.doi.org/10.1002/2014JA020607</v>
      </c>
      <c r="BG500" t="s">
        <v>74</v>
      </c>
      <c r="BH500" t="s">
        <v>74</v>
      </c>
      <c r="BI500">
        <v>13</v>
      </c>
      <c r="BJ500" t="s">
        <v>2079</v>
      </c>
      <c r="BK500" t="s">
        <v>91</v>
      </c>
      <c r="BL500" t="s">
        <v>2079</v>
      </c>
      <c r="BM500" t="s">
        <v>9694</v>
      </c>
      <c r="BN500" t="s">
        <v>74</v>
      </c>
      <c r="BO500" t="s">
        <v>74</v>
      </c>
      <c r="BP500" t="s">
        <v>74</v>
      </c>
      <c r="BQ500" t="s">
        <v>74</v>
      </c>
      <c r="BR500" t="s">
        <v>93</v>
      </c>
      <c r="BS500" t="s">
        <v>9711</v>
      </c>
      <c r="BT500" t="str">
        <f>HYPERLINK("https%3A%2F%2Fwww.webofscience.com%2Fwos%2Fwoscc%2Ffull-record%2FWOS:000349161100073","View Full Record in Web of Science")</f>
        <v>View Full Record in Web of Science</v>
      </c>
    </row>
    <row r="501" spans="1:72" x14ac:dyDescent="0.15">
      <c r="A501" t="s">
        <v>72</v>
      </c>
      <c r="B501" t="s">
        <v>9712</v>
      </c>
      <c r="C501" t="s">
        <v>74</v>
      </c>
      <c r="D501" t="s">
        <v>74</v>
      </c>
      <c r="E501" t="s">
        <v>74</v>
      </c>
      <c r="F501" t="s">
        <v>9713</v>
      </c>
      <c r="G501" t="s">
        <v>74</v>
      </c>
      <c r="H501" t="s">
        <v>74</v>
      </c>
      <c r="I501" t="s">
        <v>9714</v>
      </c>
      <c r="J501" t="s">
        <v>9715</v>
      </c>
      <c r="K501" t="s">
        <v>74</v>
      </c>
      <c r="L501" t="s">
        <v>74</v>
      </c>
      <c r="M501" t="s">
        <v>78</v>
      </c>
      <c r="N501" t="s">
        <v>99</v>
      </c>
      <c r="O501" t="s">
        <v>74</v>
      </c>
      <c r="P501" t="s">
        <v>74</v>
      </c>
      <c r="Q501" t="s">
        <v>74</v>
      </c>
      <c r="R501" t="s">
        <v>74</v>
      </c>
      <c r="S501" t="s">
        <v>74</v>
      </c>
      <c r="T501" t="s">
        <v>9716</v>
      </c>
      <c r="U501" t="s">
        <v>9717</v>
      </c>
      <c r="V501" t="s">
        <v>9718</v>
      </c>
      <c r="W501" t="s">
        <v>9719</v>
      </c>
      <c r="X501" t="s">
        <v>9720</v>
      </c>
      <c r="Y501" t="s">
        <v>9721</v>
      </c>
      <c r="Z501" t="s">
        <v>9722</v>
      </c>
      <c r="AA501" t="s">
        <v>9723</v>
      </c>
      <c r="AB501" t="s">
        <v>9724</v>
      </c>
      <c r="AC501" t="s">
        <v>9725</v>
      </c>
      <c r="AD501" t="s">
        <v>9726</v>
      </c>
      <c r="AE501" t="s">
        <v>9727</v>
      </c>
      <c r="AF501" t="s">
        <v>74</v>
      </c>
      <c r="AG501">
        <v>97</v>
      </c>
      <c r="AH501">
        <v>67</v>
      </c>
      <c r="AI501">
        <v>72</v>
      </c>
      <c r="AJ501">
        <v>0</v>
      </c>
      <c r="AK501">
        <v>54</v>
      </c>
      <c r="AL501" t="s">
        <v>2640</v>
      </c>
      <c r="AM501" t="s">
        <v>1176</v>
      </c>
      <c r="AN501" t="s">
        <v>2641</v>
      </c>
      <c r="AO501" t="s">
        <v>9728</v>
      </c>
      <c r="AP501" t="s">
        <v>9729</v>
      </c>
      <c r="AQ501" t="s">
        <v>74</v>
      </c>
      <c r="AR501" t="s">
        <v>9730</v>
      </c>
      <c r="AS501" t="s">
        <v>9731</v>
      </c>
      <c r="AT501" t="s">
        <v>9658</v>
      </c>
      <c r="AU501">
        <v>2014</v>
      </c>
      <c r="AV501">
        <v>123</v>
      </c>
      <c r="AW501" t="s">
        <v>74</v>
      </c>
      <c r="AX501" t="s">
        <v>1395</v>
      </c>
      <c r="AY501" t="s">
        <v>74</v>
      </c>
      <c r="AZ501" t="s">
        <v>1437</v>
      </c>
      <c r="BA501" t="s">
        <v>74</v>
      </c>
      <c r="BB501">
        <v>152</v>
      </c>
      <c r="BC501">
        <v>173</v>
      </c>
      <c r="BD501" t="s">
        <v>74</v>
      </c>
      <c r="BE501" t="s">
        <v>9732</v>
      </c>
      <c r="BF501" t="str">
        <f>HYPERLINK("http://dx.doi.org/10.1016/j.gloplacha.2014.06.010","http://dx.doi.org/10.1016/j.gloplacha.2014.06.010")</f>
        <v>http://dx.doi.org/10.1016/j.gloplacha.2014.06.010</v>
      </c>
      <c r="BG501" t="s">
        <v>74</v>
      </c>
      <c r="BH501" t="s">
        <v>74</v>
      </c>
      <c r="BI501">
        <v>22</v>
      </c>
      <c r="BJ501" t="s">
        <v>372</v>
      </c>
      <c r="BK501" t="s">
        <v>91</v>
      </c>
      <c r="BL501" t="s">
        <v>373</v>
      </c>
      <c r="BM501" t="s">
        <v>9733</v>
      </c>
      <c r="BN501" t="s">
        <v>74</v>
      </c>
      <c r="BO501" t="s">
        <v>134</v>
      </c>
      <c r="BP501" t="s">
        <v>74</v>
      </c>
      <c r="BQ501" t="s">
        <v>74</v>
      </c>
      <c r="BR501" t="s">
        <v>93</v>
      </c>
      <c r="BS501" t="s">
        <v>9734</v>
      </c>
      <c r="BT501" t="str">
        <f>HYPERLINK("https%3A%2F%2Fwww.webofscience.com%2Fwos%2Fwoscc%2Ffull-record%2FWOS:000347592400002","View Full Record in Web of Science")</f>
        <v>View Full Record in Web of Science</v>
      </c>
    </row>
    <row r="502" spans="1:72" x14ac:dyDescent="0.15">
      <c r="A502" t="s">
        <v>72</v>
      </c>
      <c r="B502" t="s">
        <v>9735</v>
      </c>
      <c r="C502" t="s">
        <v>74</v>
      </c>
      <c r="D502" t="s">
        <v>74</v>
      </c>
      <c r="E502" t="s">
        <v>74</v>
      </c>
      <c r="F502" t="s">
        <v>9736</v>
      </c>
      <c r="G502" t="s">
        <v>74</v>
      </c>
      <c r="H502" t="s">
        <v>74</v>
      </c>
      <c r="I502" t="s">
        <v>9737</v>
      </c>
      <c r="J502" t="s">
        <v>9715</v>
      </c>
      <c r="K502" t="s">
        <v>74</v>
      </c>
      <c r="L502" t="s">
        <v>74</v>
      </c>
      <c r="M502" t="s">
        <v>78</v>
      </c>
      <c r="N502" t="s">
        <v>99</v>
      </c>
      <c r="O502" t="s">
        <v>74</v>
      </c>
      <c r="P502" t="s">
        <v>74</v>
      </c>
      <c r="Q502" t="s">
        <v>74</v>
      </c>
      <c r="R502" t="s">
        <v>74</v>
      </c>
      <c r="S502" t="s">
        <v>74</v>
      </c>
      <c r="T502" t="s">
        <v>9738</v>
      </c>
      <c r="U502" t="s">
        <v>9739</v>
      </c>
      <c r="V502" t="s">
        <v>9740</v>
      </c>
      <c r="W502" t="s">
        <v>9741</v>
      </c>
      <c r="X502" t="s">
        <v>9742</v>
      </c>
      <c r="Y502" t="s">
        <v>9743</v>
      </c>
      <c r="Z502" t="s">
        <v>9744</v>
      </c>
      <c r="AA502" t="s">
        <v>9745</v>
      </c>
      <c r="AB502" t="s">
        <v>9746</v>
      </c>
      <c r="AC502" t="s">
        <v>9747</v>
      </c>
      <c r="AD502" t="s">
        <v>9748</v>
      </c>
      <c r="AE502" t="s">
        <v>9749</v>
      </c>
      <c r="AF502" t="s">
        <v>74</v>
      </c>
      <c r="AG502">
        <v>82</v>
      </c>
      <c r="AH502">
        <v>41</v>
      </c>
      <c r="AI502">
        <v>41</v>
      </c>
      <c r="AJ502">
        <v>0</v>
      </c>
      <c r="AK502">
        <v>12</v>
      </c>
      <c r="AL502" t="s">
        <v>1175</v>
      </c>
      <c r="AM502" t="s">
        <v>1176</v>
      </c>
      <c r="AN502" t="s">
        <v>2938</v>
      </c>
      <c r="AO502" t="s">
        <v>9728</v>
      </c>
      <c r="AP502" t="s">
        <v>9729</v>
      </c>
      <c r="AQ502" t="s">
        <v>74</v>
      </c>
      <c r="AR502" t="s">
        <v>9730</v>
      </c>
      <c r="AS502" t="s">
        <v>9731</v>
      </c>
      <c r="AT502" t="s">
        <v>9658</v>
      </c>
      <c r="AU502">
        <v>2014</v>
      </c>
      <c r="AV502">
        <v>123</v>
      </c>
      <c r="AW502" t="s">
        <v>74</v>
      </c>
      <c r="AX502" t="s">
        <v>1395</v>
      </c>
      <c r="AY502" t="s">
        <v>74</v>
      </c>
      <c r="AZ502" t="s">
        <v>1437</v>
      </c>
      <c r="BA502" t="s">
        <v>74</v>
      </c>
      <c r="BB502">
        <v>174</v>
      </c>
      <c r="BC502">
        <v>188</v>
      </c>
      <c r="BD502" t="s">
        <v>74</v>
      </c>
      <c r="BE502" t="s">
        <v>9750</v>
      </c>
      <c r="BF502" t="str">
        <f>HYPERLINK("http://dx.doi.org/10.1016/j.gloplacha.2014.07.019","http://dx.doi.org/10.1016/j.gloplacha.2014.07.019")</f>
        <v>http://dx.doi.org/10.1016/j.gloplacha.2014.07.019</v>
      </c>
      <c r="BG502" t="s">
        <v>74</v>
      </c>
      <c r="BH502" t="s">
        <v>74</v>
      </c>
      <c r="BI502">
        <v>15</v>
      </c>
      <c r="BJ502" t="s">
        <v>372</v>
      </c>
      <c r="BK502" t="s">
        <v>91</v>
      </c>
      <c r="BL502" t="s">
        <v>373</v>
      </c>
      <c r="BM502" t="s">
        <v>9733</v>
      </c>
      <c r="BN502" t="s">
        <v>74</v>
      </c>
      <c r="BO502" t="s">
        <v>2056</v>
      </c>
      <c r="BP502" t="s">
        <v>74</v>
      </c>
      <c r="BQ502" t="s">
        <v>74</v>
      </c>
      <c r="BR502" t="s">
        <v>93</v>
      </c>
      <c r="BS502" t="s">
        <v>9751</v>
      </c>
      <c r="BT502" t="str">
        <f>HYPERLINK("https%3A%2F%2Fwww.webofscience.com%2Fwos%2Fwoscc%2Ffull-record%2FWOS:000347592400003","View Full Record in Web of Science")</f>
        <v>View Full Record in Web of Science</v>
      </c>
    </row>
    <row r="503" spans="1:72" x14ac:dyDescent="0.15">
      <c r="A503" t="s">
        <v>72</v>
      </c>
      <c r="B503" t="s">
        <v>9752</v>
      </c>
      <c r="C503" t="s">
        <v>74</v>
      </c>
      <c r="D503" t="s">
        <v>74</v>
      </c>
      <c r="E503" t="s">
        <v>74</v>
      </c>
      <c r="F503" t="s">
        <v>9753</v>
      </c>
      <c r="G503" t="s">
        <v>74</v>
      </c>
      <c r="H503" t="s">
        <v>74</v>
      </c>
      <c r="I503" t="s">
        <v>9754</v>
      </c>
      <c r="J503" t="s">
        <v>9715</v>
      </c>
      <c r="K503" t="s">
        <v>74</v>
      </c>
      <c r="L503" t="s">
        <v>74</v>
      </c>
      <c r="M503" t="s">
        <v>78</v>
      </c>
      <c r="N503" t="s">
        <v>99</v>
      </c>
      <c r="O503" t="s">
        <v>74</v>
      </c>
      <c r="P503" t="s">
        <v>74</v>
      </c>
      <c r="Q503" t="s">
        <v>74</v>
      </c>
      <c r="R503" t="s">
        <v>74</v>
      </c>
      <c r="S503" t="s">
        <v>74</v>
      </c>
      <c r="T503" t="s">
        <v>9755</v>
      </c>
      <c r="U503" t="s">
        <v>9756</v>
      </c>
      <c r="V503" t="s">
        <v>9757</v>
      </c>
      <c r="W503" t="s">
        <v>9758</v>
      </c>
      <c r="X503" t="s">
        <v>9759</v>
      </c>
      <c r="Y503" t="s">
        <v>9760</v>
      </c>
      <c r="Z503" t="s">
        <v>74</v>
      </c>
      <c r="AA503" t="s">
        <v>74</v>
      </c>
      <c r="AB503" t="s">
        <v>9761</v>
      </c>
      <c r="AC503" t="s">
        <v>74</v>
      </c>
      <c r="AD503" t="s">
        <v>74</v>
      </c>
      <c r="AE503" t="s">
        <v>74</v>
      </c>
      <c r="AF503" t="s">
        <v>74</v>
      </c>
      <c r="AG503">
        <v>55</v>
      </c>
      <c r="AH503">
        <v>29</v>
      </c>
      <c r="AI503">
        <v>30</v>
      </c>
      <c r="AJ503">
        <v>1</v>
      </c>
      <c r="AK503">
        <v>25</v>
      </c>
      <c r="AL503" t="s">
        <v>1175</v>
      </c>
      <c r="AM503" t="s">
        <v>1176</v>
      </c>
      <c r="AN503" t="s">
        <v>2938</v>
      </c>
      <c r="AO503" t="s">
        <v>9728</v>
      </c>
      <c r="AP503" t="s">
        <v>9729</v>
      </c>
      <c r="AQ503" t="s">
        <v>74</v>
      </c>
      <c r="AR503" t="s">
        <v>9730</v>
      </c>
      <c r="AS503" t="s">
        <v>9731</v>
      </c>
      <c r="AT503" t="s">
        <v>9658</v>
      </c>
      <c r="AU503">
        <v>2014</v>
      </c>
      <c r="AV503">
        <v>123</v>
      </c>
      <c r="AW503" t="s">
        <v>74</v>
      </c>
      <c r="AX503" t="s">
        <v>1395</v>
      </c>
      <c r="AY503" t="s">
        <v>74</v>
      </c>
      <c r="AZ503" t="s">
        <v>1437</v>
      </c>
      <c r="BA503" t="s">
        <v>74</v>
      </c>
      <c r="BB503">
        <v>189</v>
      </c>
      <c r="BC503">
        <v>198</v>
      </c>
      <c r="BD503" t="s">
        <v>74</v>
      </c>
      <c r="BE503" t="s">
        <v>9762</v>
      </c>
      <c r="BF503" t="str">
        <f>HYPERLINK("http://dx.doi.org/10.1016/j.gloplacha.2014.08.002","http://dx.doi.org/10.1016/j.gloplacha.2014.08.002")</f>
        <v>http://dx.doi.org/10.1016/j.gloplacha.2014.08.002</v>
      </c>
      <c r="BG503" t="s">
        <v>74</v>
      </c>
      <c r="BH503" t="s">
        <v>74</v>
      </c>
      <c r="BI503">
        <v>10</v>
      </c>
      <c r="BJ503" t="s">
        <v>372</v>
      </c>
      <c r="BK503" t="s">
        <v>91</v>
      </c>
      <c r="BL503" t="s">
        <v>373</v>
      </c>
      <c r="BM503" t="s">
        <v>9733</v>
      </c>
      <c r="BN503" t="s">
        <v>74</v>
      </c>
      <c r="BO503" t="s">
        <v>2056</v>
      </c>
      <c r="BP503" t="s">
        <v>74</v>
      </c>
      <c r="BQ503" t="s">
        <v>74</v>
      </c>
      <c r="BR503" t="s">
        <v>93</v>
      </c>
      <c r="BS503" t="s">
        <v>9763</v>
      </c>
      <c r="BT503" t="str">
        <f>HYPERLINK("https%3A%2F%2Fwww.webofscience.com%2Fwos%2Fwoscc%2Ffull-record%2FWOS:000347592400004","View Full Record in Web of Science")</f>
        <v>View Full Record in Web of Science</v>
      </c>
    </row>
    <row r="504" spans="1:72" x14ac:dyDescent="0.15">
      <c r="A504" t="s">
        <v>72</v>
      </c>
      <c r="B504" t="s">
        <v>9764</v>
      </c>
      <c r="C504" t="s">
        <v>74</v>
      </c>
      <c r="D504" t="s">
        <v>74</v>
      </c>
      <c r="E504" t="s">
        <v>74</v>
      </c>
      <c r="F504" t="s">
        <v>9765</v>
      </c>
      <c r="G504" t="s">
        <v>74</v>
      </c>
      <c r="H504" t="s">
        <v>74</v>
      </c>
      <c r="I504" t="s">
        <v>9766</v>
      </c>
      <c r="J504" t="s">
        <v>9715</v>
      </c>
      <c r="K504" t="s">
        <v>74</v>
      </c>
      <c r="L504" t="s">
        <v>74</v>
      </c>
      <c r="M504" t="s">
        <v>78</v>
      </c>
      <c r="N504" t="s">
        <v>99</v>
      </c>
      <c r="O504" t="s">
        <v>74</v>
      </c>
      <c r="P504" t="s">
        <v>74</v>
      </c>
      <c r="Q504" t="s">
        <v>74</v>
      </c>
      <c r="R504" t="s">
        <v>74</v>
      </c>
      <c r="S504" t="s">
        <v>74</v>
      </c>
      <c r="T504" t="s">
        <v>9767</v>
      </c>
      <c r="U504" t="s">
        <v>9768</v>
      </c>
      <c r="V504" t="s">
        <v>9769</v>
      </c>
      <c r="W504" t="s">
        <v>9770</v>
      </c>
      <c r="X504" t="s">
        <v>9771</v>
      </c>
      <c r="Y504" t="s">
        <v>9772</v>
      </c>
      <c r="Z504" t="s">
        <v>9773</v>
      </c>
      <c r="AA504" t="s">
        <v>9774</v>
      </c>
      <c r="AB504" t="s">
        <v>9775</v>
      </c>
      <c r="AC504" t="s">
        <v>9776</v>
      </c>
      <c r="AD504" t="s">
        <v>9777</v>
      </c>
      <c r="AE504" t="s">
        <v>9778</v>
      </c>
      <c r="AF504" t="s">
        <v>74</v>
      </c>
      <c r="AG504">
        <v>47</v>
      </c>
      <c r="AH504">
        <v>17</v>
      </c>
      <c r="AI504">
        <v>18</v>
      </c>
      <c r="AJ504">
        <v>1</v>
      </c>
      <c r="AK504">
        <v>18</v>
      </c>
      <c r="AL504" t="s">
        <v>2640</v>
      </c>
      <c r="AM504" t="s">
        <v>1176</v>
      </c>
      <c r="AN504" t="s">
        <v>2641</v>
      </c>
      <c r="AO504" t="s">
        <v>9728</v>
      </c>
      <c r="AP504" t="s">
        <v>9729</v>
      </c>
      <c r="AQ504" t="s">
        <v>74</v>
      </c>
      <c r="AR504" t="s">
        <v>9730</v>
      </c>
      <c r="AS504" t="s">
        <v>9731</v>
      </c>
      <c r="AT504" t="s">
        <v>9658</v>
      </c>
      <c r="AU504">
        <v>2014</v>
      </c>
      <c r="AV504">
        <v>123</v>
      </c>
      <c r="AW504" t="s">
        <v>74</v>
      </c>
      <c r="AX504" t="s">
        <v>1395</v>
      </c>
      <c r="AY504" t="s">
        <v>74</v>
      </c>
      <c r="AZ504" t="s">
        <v>1437</v>
      </c>
      <c r="BA504" t="s">
        <v>74</v>
      </c>
      <c r="BB504">
        <v>213</v>
      </c>
      <c r="BC504">
        <v>222</v>
      </c>
      <c r="BD504" t="s">
        <v>74</v>
      </c>
      <c r="BE504" t="s">
        <v>9779</v>
      </c>
      <c r="BF504" t="str">
        <f>HYPERLINK("http://dx.doi.org/10.1016/j.gloplacha.2014.08.018","http://dx.doi.org/10.1016/j.gloplacha.2014.08.018")</f>
        <v>http://dx.doi.org/10.1016/j.gloplacha.2014.08.018</v>
      </c>
      <c r="BG504" t="s">
        <v>74</v>
      </c>
      <c r="BH504" t="s">
        <v>74</v>
      </c>
      <c r="BI504">
        <v>10</v>
      </c>
      <c r="BJ504" t="s">
        <v>372</v>
      </c>
      <c r="BK504" t="s">
        <v>91</v>
      </c>
      <c r="BL504" t="s">
        <v>373</v>
      </c>
      <c r="BM504" t="s">
        <v>9733</v>
      </c>
      <c r="BN504" t="s">
        <v>74</v>
      </c>
      <c r="BO504" t="s">
        <v>74</v>
      </c>
      <c r="BP504" t="s">
        <v>74</v>
      </c>
      <c r="BQ504" t="s">
        <v>74</v>
      </c>
      <c r="BR504" t="s">
        <v>93</v>
      </c>
      <c r="BS504" t="s">
        <v>9780</v>
      </c>
      <c r="BT504" t="str">
        <f>HYPERLINK("https%3A%2F%2Fwww.webofscience.com%2Fwos%2Fwoscc%2Ffull-record%2FWOS:000347592400006","View Full Record in Web of Science")</f>
        <v>View Full Record in Web of Science</v>
      </c>
    </row>
    <row r="505" spans="1:72" x14ac:dyDescent="0.15">
      <c r="A505" t="s">
        <v>72</v>
      </c>
      <c r="B505" t="s">
        <v>9781</v>
      </c>
      <c r="C505" t="s">
        <v>74</v>
      </c>
      <c r="D505" t="s">
        <v>74</v>
      </c>
      <c r="E505" t="s">
        <v>74</v>
      </c>
      <c r="F505" t="s">
        <v>9782</v>
      </c>
      <c r="G505" t="s">
        <v>74</v>
      </c>
      <c r="H505" t="s">
        <v>74</v>
      </c>
      <c r="I505" t="s">
        <v>9783</v>
      </c>
      <c r="J505" t="s">
        <v>9715</v>
      </c>
      <c r="K505" t="s">
        <v>74</v>
      </c>
      <c r="L505" t="s">
        <v>74</v>
      </c>
      <c r="M505" t="s">
        <v>78</v>
      </c>
      <c r="N505" t="s">
        <v>99</v>
      </c>
      <c r="O505" t="s">
        <v>74</v>
      </c>
      <c r="P505" t="s">
        <v>74</v>
      </c>
      <c r="Q505" t="s">
        <v>74</v>
      </c>
      <c r="R505" t="s">
        <v>74</v>
      </c>
      <c r="S505" t="s">
        <v>74</v>
      </c>
      <c r="T505" t="s">
        <v>9784</v>
      </c>
      <c r="U505" t="s">
        <v>9785</v>
      </c>
      <c r="V505" t="s">
        <v>9786</v>
      </c>
      <c r="W505" t="s">
        <v>9787</v>
      </c>
      <c r="X505" t="s">
        <v>9788</v>
      </c>
      <c r="Y505" t="s">
        <v>9789</v>
      </c>
      <c r="Z505" t="s">
        <v>9790</v>
      </c>
      <c r="AA505" t="s">
        <v>9791</v>
      </c>
      <c r="AB505" t="s">
        <v>9792</v>
      </c>
      <c r="AC505" t="s">
        <v>9793</v>
      </c>
      <c r="AD505" t="s">
        <v>9794</v>
      </c>
      <c r="AE505" t="s">
        <v>9795</v>
      </c>
      <c r="AF505" t="s">
        <v>74</v>
      </c>
      <c r="AG505">
        <v>83</v>
      </c>
      <c r="AH505">
        <v>7</v>
      </c>
      <c r="AI505">
        <v>7</v>
      </c>
      <c r="AJ505">
        <v>0</v>
      </c>
      <c r="AK505">
        <v>6</v>
      </c>
      <c r="AL505" t="s">
        <v>1175</v>
      </c>
      <c r="AM505" t="s">
        <v>1176</v>
      </c>
      <c r="AN505" t="s">
        <v>2938</v>
      </c>
      <c r="AO505" t="s">
        <v>9728</v>
      </c>
      <c r="AP505" t="s">
        <v>9729</v>
      </c>
      <c r="AQ505" t="s">
        <v>74</v>
      </c>
      <c r="AR505" t="s">
        <v>9730</v>
      </c>
      <c r="AS505" t="s">
        <v>9731</v>
      </c>
      <c r="AT505" t="s">
        <v>9658</v>
      </c>
      <c r="AU505">
        <v>2014</v>
      </c>
      <c r="AV505">
        <v>123</v>
      </c>
      <c r="AW505" t="s">
        <v>74</v>
      </c>
      <c r="AX505" t="s">
        <v>1395</v>
      </c>
      <c r="AY505" t="s">
        <v>74</v>
      </c>
      <c r="AZ505" t="s">
        <v>1437</v>
      </c>
      <c r="BA505" t="s">
        <v>74</v>
      </c>
      <c r="BB505">
        <v>223</v>
      </c>
      <c r="BC505">
        <v>238</v>
      </c>
      <c r="BD505" t="s">
        <v>74</v>
      </c>
      <c r="BE505" t="s">
        <v>9796</v>
      </c>
      <c r="BF505" t="str">
        <f>HYPERLINK("http://dx.doi.org/10.1016/j.gloplacha.2014.07.020","http://dx.doi.org/10.1016/j.gloplacha.2014.07.020")</f>
        <v>http://dx.doi.org/10.1016/j.gloplacha.2014.07.020</v>
      </c>
      <c r="BG505" t="s">
        <v>74</v>
      </c>
      <c r="BH505" t="s">
        <v>74</v>
      </c>
      <c r="BI505">
        <v>16</v>
      </c>
      <c r="BJ505" t="s">
        <v>372</v>
      </c>
      <c r="BK505" t="s">
        <v>91</v>
      </c>
      <c r="BL505" t="s">
        <v>373</v>
      </c>
      <c r="BM505" t="s">
        <v>9733</v>
      </c>
      <c r="BN505" t="s">
        <v>74</v>
      </c>
      <c r="BO505" t="s">
        <v>74</v>
      </c>
      <c r="BP505" t="s">
        <v>74</v>
      </c>
      <c r="BQ505" t="s">
        <v>74</v>
      </c>
      <c r="BR505" t="s">
        <v>93</v>
      </c>
      <c r="BS505" t="s">
        <v>9797</v>
      </c>
      <c r="BT505" t="str">
        <f>HYPERLINK("https%3A%2F%2Fwww.webofscience.com%2Fwos%2Fwoscc%2Ffull-record%2FWOS:000347592400007","View Full Record in Web of Science")</f>
        <v>View Full Record in Web of Science</v>
      </c>
    </row>
    <row r="506" spans="1:72" x14ac:dyDescent="0.15">
      <c r="A506" t="s">
        <v>72</v>
      </c>
      <c r="B506" t="s">
        <v>9798</v>
      </c>
      <c r="C506" t="s">
        <v>74</v>
      </c>
      <c r="D506" t="s">
        <v>74</v>
      </c>
      <c r="E506" t="s">
        <v>74</v>
      </c>
      <c r="F506" t="s">
        <v>9799</v>
      </c>
      <c r="G506" t="s">
        <v>74</v>
      </c>
      <c r="H506" t="s">
        <v>74</v>
      </c>
      <c r="I506" t="s">
        <v>9800</v>
      </c>
      <c r="J506" t="s">
        <v>9715</v>
      </c>
      <c r="K506" t="s">
        <v>74</v>
      </c>
      <c r="L506" t="s">
        <v>74</v>
      </c>
      <c r="M506" t="s">
        <v>78</v>
      </c>
      <c r="N506" t="s">
        <v>99</v>
      </c>
      <c r="O506" t="s">
        <v>74</v>
      </c>
      <c r="P506" t="s">
        <v>74</v>
      </c>
      <c r="Q506" t="s">
        <v>74</v>
      </c>
      <c r="R506" t="s">
        <v>74</v>
      </c>
      <c r="S506" t="s">
        <v>74</v>
      </c>
      <c r="T506" t="s">
        <v>9801</v>
      </c>
      <c r="U506" t="s">
        <v>9802</v>
      </c>
      <c r="V506" t="s">
        <v>9803</v>
      </c>
      <c r="W506" t="s">
        <v>9804</v>
      </c>
      <c r="X506" t="s">
        <v>9805</v>
      </c>
      <c r="Y506" t="s">
        <v>9806</v>
      </c>
      <c r="Z506" t="s">
        <v>9807</v>
      </c>
      <c r="AA506" t="s">
        <v>9808</v>
      </c>
      <c r="AB506" t="s">
        <v>9809</v>
      </c>
      <c r="AC506" t="s">
        <v>9810</v>
      </c>
      <c r="AD506" t="s">
        <v>9811</v>
      </c>
      <c r="AE506" t="s">
        <v>9812</v>
      </c>
      <c r="AF506" t="s">
        <v>74</v>
      </c>
      <c r="AG506">
        <v>79</v>
      </c>
      <c r="AH506">
        <v>15</v>
      </c>
      <c r="AI506">
        <v>17</v>
      </c>
      <c r="AJ506">
        <v>0</v>
      </c>
      <c r="AK506">
        <v>18</v>
      </c>
      <c r="AL506" t="s">
        <v>2640</v>
      </c>
      <c r="AM506" t="s">
        <v>1176</v>
      </c>
      <c r="AN506" t="s">
        <v>2641</v>
      </c>
      <c r="AO506" t="s">
        <v>9728</v>
      </c>
      <c r="AP506" t="s">
        <v>9729</v>
      </c>
      <c r="AQ506" t="s">
        <v>74</v>
      </c>
      <c r="AR506" t="s">
        <v>9730</v>
      </c>
      <c r="AS506" t="s">
        <v>9731</v>
      </c>
      <c r="AT506" t="s">
        <v>9658</v>
      </c>
      <c r="AU506">
        <v>2014</v>
      </c>
      <c r="AV506">
        <v>123</v>
      </c>
      <c r="AW506" t="s">
        <v>74</v>
      </c>
      <c r="AX506" t="s">
        <v>1395</v>
      </c>
      <c r="AY506" t="s">
        <v>74</v>
      </c>
      <c r="AZ506" t="s">
        <v>1437</v>
      </c>
      <c r="BA506" t="s">
        <v>74</v>
      </c>
      <c r="BB506">
        <v>239</v>
      </c>
      <c r="BC506">
        <v>248</v>
      </c>
      <c r="BD506" t="s">
        <v>74</v>
      </c>
      <c r="BE506" t="s">
        <v>9813</v>
      </c>
      <c r="BF506" t="str">
        <f>HYPERLINK("http://dx.doi.org/10.1016/j.gloplacha.2014.07.022","http://dx.doi.org/10.1016/j.gloplacha.2014.07.022")</f>
        <v>http://dx.doi.org/10.1016/j.gloplacha.2014.07.022</v>
      </c>
      <c r="BG506" t="s">
        <v>74</v>
      </c>
      <c r="BH506" t="s">
        <v>74</v>
      </c>
      <c r="BI506">
        <v>10</v>
      </c>
      <c r="BJ506" t="s">
        <v>372</v>
      </c>
      <c r="BK506" t="s">
        <v>91</v>
      </c>
      <c r="BL506" t="s">
        <v>373</v>
      </c>
      <c r="BM506" t="s">
        <v>9733</v>
      </c>
      <c r="BN506" t="s">
        <v>74</v>
      </c>
      <c r="BO506" t="s">
        <v>74</v>
      </c>
      <c r="BP506" t="s">
        <v>74</v>
      </c>
      <c r="BQ506" t="s">
        <v>74</v>
      </c>
      <c r="BR506" t="s">
        <v>93</v>
      </c>
      <c r="BS506" t="s">
        <v>9814</v>
      </c>
      <c r="BT506" t="str">
        <f>HYPERLINK("https%3A%2F%2Fwww.webofscience.com%2Fwos%2Fwoscc%2Ffull-record%2FWOS:000347592400008","View Full Record in Web of Science")</f>
        <v>View Full Record in Web of Science</v>
      </c>
    </row>
    <row r="507" spans="1:72" x14ac:dyDescent="0.15">
      <c r="A507" t="s">
        <v>72</v>
      </c>
      <c r="B507" t="s">
        <v>9815</v>
      </c>
      <c r="C507" t="s">
        <v>74</v>
      </c>
      <c r="D507" t="s">
        <v>74</v>
      </c>
      <c r="E507" t="s">
        <v>74</v>
      </c>
      <c r="F507" t="s">
        <v>9816</v>
      </c>
      <c r="G507" t="s">
        <v>74</v>
      </c>
      <c r="H507" t="s">
        <v>74</v>
      </c>
      <c r="I507" t="s">
        <v>9817</v>
      </c>
      <c r="J507" t="s">
        <v>9715</v>
      </c>
      <c r="K507" t="s">
        <v>74</v>
      </c>
      <c r="L507" t="s">
        <v>74</v>
      </c>
      <c r="M507" t="s">
        <v>78</v>
      </c>
      <c r="N507" t="s">
        <v>99</v>
      </c>
      <c r="O507" t="s">
        <v>74</v>
      </c>
      <c r="P507" t="s">
        <v>74</v>
      </c>
      <c r="Q507" t="s">
        <v>74</v>
      </c>
      <c r="R507" t="s">
        <v>74</v>
      </c>
      <c r="S507" t="s">
        <v>74</v>
      </c>
      <c r="T507" t="s">
        <v>9818</v>
      </c>
      <c r="U507" t="s">
        <v>9819</v>
      </c>
      <c r="V507" t="s">
        <v>9820</v>
      </c>
      <c r="W507" t="s">
        <v>9821</v>
      </c>
      <c r="X507" t="s">
        <v>9822</v>
      </c>
      <c r="Y507" t="s">
        <v>9823</v>
      </c>
      <c r="Z507" t="s">
        <v>9824</v>
      </c>
      <c r="AA507" t="s">
        <v>9825</v>
      </c>
      <c r="AB507" t="s">
        <v>9826</v>
      </c>
      <c r="AC507" t="s">
        <v>9827</v>
      </c>
      <c r="AD507" t="s">
        <v>9828</v>
      </c>
      <c r="AE507" t="s">
        <v>9829</v>
      </c>
      <c r="AF507" t="s">
        <v>74</v>
      </c>
      <c r="AG507">
        <v>85</v>
      </c>
      <c r="AH507">
        <v>18</v>
      </c>
      <c r="AI507">
        <v>21</v>
      </c>
      <c r="AJ507">
        <v>0</v>
      </c>
      <c r="AK507">
        <v>26</v>
      </c>
      <c r="AL507" t="s">
        <v>2640</v>
      </c>
      <c r="AM507" t="s">
        <v>1176</v>
      </c>
      <c r="AN507" t="s">
        <v>2641</v>
      </c>
      <c r="AO507" t="s">
        <v>9728</v>
      </c>
      <c r="AP507" t="s">
        <v>9729</v>
      </c>
      <c r="AQ507" t="s">
        <v>74</v>
      </c>
      <c r="AR507" t="s">
        <v>9730</v>
      </c>
      <c r="AS507" t="s">
        <v>9731</v>
      </c>
      <c r="AT507" t="s">
        <v>9658</v>
      </c>
      <c r="AU507">
        <v>2014</v>
      </c>
      <c r="AV507">
        <v>123</v>
      </c>
      <c r="AW507" t="s">
        <v>74</v>
      </c>
      <c r="AX507" t="s">
        <v>1395</v>
      </c>
      <c r="AY507" t="s">
        <v>74</v>
      </c>
      <c r="AZ507" t="s">
        <v>1437</v>
      </c>
      <c r="BA507" t="s">
        <v>74</v>
      </c>
      <c r="BB507">
        <v>344</v>
      </c>
      <c r="BC507">
        <v>358</v>
      </c>
      <c r="BD507" t="s">
        <v>74</v>
      </c>
      <c r="BE507" t="s">
        <v>9830</v>
      </c>
      <c r="BF507" t="str">
        <f>HYPERLINK("http://dx.doi.org/10.1016/j.gloplacha.2014.06.007","http://dx.doi.org/10.1016/j.gloplacha.2014.06.007")</f>
        <v>http://dx.doi.org/10.1016/j.gloplacha.2014.06.007</v>
      </c>
      <c r="BG507" t="s">
        <v>74</v>
      </c>
      <c r="BH507" t="s">
        <v>74</v>
      </c>
      <c r="BI507">
        <v>15</v>
      </c>
      <c r="BJ507" t="s">
        <v>372</v>
      </c>
      <c r="BK507" t="s">
        <v>91</v>
      </c>
      <c r="BL507" t="s">
        <v>373</v>
      </c>
      <c r="BM507" t="s">
        <v>9733</v>
      </c>
      <c r="BN507" t="s">
        <v>74</v>
      </c>
      <c r="BO507" t="s">
        <v>74</v>
      </c>
      <c r="BP507" t="s">
        <v>74</v>
      </c>
      <c r="BQ507" t="s">
        <v>74</v>
      </c>
      <c r="BR507" t="s">
        <v>93</v>
      </c>
      <c r="BS507" t="s">
        <v>9831</v>
      </c>
      <c r="BT507" t="str">
        <f>HYPERLINK("https%3A%2F%2Fwww.webofscience.com%2Fwos%2Fwoscc%2Ffull-record%2FWOS:000347592400013","View Full Record in Web of Science")</f>
        <v>View Full Record in Web of Science</v>
      </c>
    </row>
    <row r="508" spans="1:72" x14ac:dyDescent="0.15">
      <c r="A508" t="s">
        <v>72</v>
      </c>
      <c r="B508" t="s">
        <v>9832</v>
      </c>
      <c r="C508" t="s">
        <v>74</v>
      </c>
      <c r="D508" t="s">
        <v>74</v>
      </c>
      <c r="E508" t="s">
        <v>74</v>
      </c>
      <c r="F508" t="s">
        <v>9833</v>
      </c>
      <c r="G508" t="s">
        <v>74</v>
      </c>
      <c r="H508" t="s">
        <v>74</v>
      </c>
      <c r="I508" t="s">
        <v>9834</v>
      </c>
      <c r="J508" t="s">
        <v>9715</v>
      </c>
      <c r="K508" t="s">
        <v>74</v>
      </c>
      <c r="L508" t="s">
        <v>74</v>
      </c>
      <c r="M508" t="s">
        <v>78</v>
      </c>
      <c r="N508" t="s">
        <v>99</v>
      </c>
      <c r="O508" t="s">
        <v>74</v>
      </c>
      <c r="P508" t="s">
        <v>74</v>
      </c>
      <c r="Q508" t="s">
        <v>74</v>
      </c>
      <c r="R508" t="s">
        <v>74</v>
      </c>
      <c r="S508" t="s">
        <v>74</v>
      </c>
      <c r="T508" t="s">
        <v>9835</v>
      </c>
      <c r="U508" t="s">
        <v>9836</v>
      </c>
      <c r="V508" t="s">
        <v>9837</v>
      </c>
      <c r="W508" t="s">
        <v>9838</v>
      </c>
      <c r="X508" t="s">
        <v>9839</v>
      </c>
      <c r="Y508" t="s">
        <v>9840</v>
      </c>
      <c r="Z508" t="s">
        <v>9841</v>
      </c>
      <c r="AA508" t="s">
        <v>9842</v>
      </c>
      <c r="AB508" t="s">
        <v>9843</v>
      </c>
      <c r="AC508" t="s">
        <v>9844</v>
      </c>
      <c r="AD508" t="s">
        <v>9845</v>
      </c>
      <c r="AE508" t="s">
        <v>9846</v>
      </c>
      <c r="AF508" t="s">
        <v>74</v>
      </c>
      <c r="AG508">
        <v>89</v>
      </c>
      <c r="AH508">
        <v>21</v>
      </c>
      <c r="AI508">
        <v>22</v>
      </c>
      <c r="AJ508">
        <v>1</v>
      </c>
      <c r="AK508">
        <v>37</v>
      </c>
      <c r="AL508" t="s">
        <v>1175</v>
      </c>
      <c r="AM508" t="s">
        <v>1176</v>
      </c>
      <c r="AN508" t="s">
        <v>2938</v>
      </c>
      <c r="AO508" t="s">
        <v>9728</v>
      </c>
      <c r="AP508" t="s">
        <v>9729</v>
      </c>
      <c r="AQ508" t="s">
        <v>74</v>
      </c>
      <c r="AR508" t="s">
        <v>9730</v>
      </c>
      <c r="AS508" t="s">
        <v>9731</v>
      </c>
      <c r="AT508" t="s">
        <v>9658</v>
      </c>
      <c r="AU508">
        <v>2014</v>
      </c>
      <c r="AV508">
        <v>123</v>
      </c>
      <c r="AW508" t="s">
        <v>74</v>
      </c>
      <c r="AX508" t="s">
        <v>1395</v>
      </c>
      <c r="AY508" t="s">
        <v>74</v>
      </c>
      <c r="AZ508" t="s">
        <v>1437</v>
      </c>
      <c r="BA508" t="s">
        <v>74</v>
      </c>
      <c r="BB508">
        <v>359</v>
      </c>
      <c r="BC508">
        <v>373</v>
      </c>
      <c r="BD508" t="s">
        <v>74</v>
      </c>
      <c r="BE508" t="s">
        <v>9847</v>
      </c>
      <c r="BF508" t="str">
        <f>HYPERLINK("http://dx.doi.org/10.1016/j.gloplacha.2014.08.004","http://dx.doi.org/10.1016/j.gloplacha.2014.08.004")</f>
        <v>http://dx.doi.org/10.1016/j.gloplacha.2014.08.004</v>
      </c>
      <c r="BG508" t="s">
        <v>74</v>
      </c>
      <c r="BH508" t="s">
        <v>74</v>
      </c>
      <c r="BI508">
        <v>15</v>
      </c>
      <c r="BJ508" t="s">
        <v>372</v>
      </c>
      <c r="BK508" t="s">
        <v>91</v>
      </c>
      <c r="BL508" t="s">
        <v>373</v>
      </c>
      <c r="BM508" t="s">
        <v>9733</v>
      </c>
      <c r="BN508" t="s">
        <v>74</v>
      </c>
      <c r="BO508" t="s">
        <v>74</v>
      </c>
      <c r="BP508" t="s">
        <v>74</v>
      </c>
      <c r="BQ508" t="s">
        <v>74</v>
      </c>
      <c r="BR508" t="s">
        <v>93</v>
      </c>
      <c r="BS508" t="s">
        <v>9848</v>
      </c>
      <c r="BT508" t="str">
        <f>HYPERLINK("https%3A%2F%2Fwww.webofscience.com%2Fwos%2Fwoscc%2Ffull-record%2FWOS:000347592400014","View Full Record in Web of Science")</f>
        <v>View Full Record in Web of Science</v>
      </c>
    </row>
    <row r="509" spans="1:72" x14ac:dyDescent="0.15">
      <c r="A509" t="s">
        <v>72</v>
      </c>
      <c r="B509" t="s">
        <v>9849</v>
      </c>
      <c r="C509" t="s">
        <v>74</v>
      </c>
      <c r="D509" t="s">
        <v>74</v>
      </c>
      <c r="E509" t="s">
        <v>74</v>
      </c>
      <c r="F509" t="s">
        <v>9850</v>
      </c>
      <c r="G509" t="s">
        <v>74</v>
      </c>
      <c r="H509" t="s">
        <v>74</v>
      </c>
      <c r="I509" t="s">
        <v>9851</v>
      </c>
      <c r="J509" t="s">
        <v>9715</v>
      </c>
      <c r="K509" t="s">
        <v>74</v>
      </c>
      <c r="L509" t="s">
        <v>74</v>
      </c>
      <c r="M509" t="s">
        <v>78</v>
      </c>
      <c r="N509" t="s">
        <v>99</v>
      </c>
      <c r="O509" t="s">
        <v>74</v>
      </c>
      <c r="P509" t="s">
        <v>74</v>
      </c>
      <c r="Q509" t="s">
        <v>74</v>
      </c>
      <c r="R509" t="s">
        <v>74</v>
      </c>
      <c r="S509" t="s">
        <v>74</v>
      </c>
      <c r="T509" t="s">
        <v>9852</v>
      </c>
      <c r="U509" t="s">
        <v>9853</v>
      </c>
      <c r="V509" t="s">
        <v>9854</v>
      </c>
      <c r="W509" t="s">
        <v>9855</v>
      </c>
      <c r="X509" t="s">
        <v>9856</v>
      </c>
      <c r="Y509" t="s">
        <v>9857</v>
      </c>
      <c r="Z509" t="s">
        <v>9858</v>
      </c>
      <c r="AA509" t="s">
        <v>9859</v>
      </c>
      <c r="AB509" t="s">
        <v>9860</v>
      </c>
      <c r="AC509" t="s">
        <v>9861</v>
      </c>
      <c r="AD509" t="s">
        <v>9862</v>
      </c>
      <c r="AE509" t="s">
        <v>9863</v>
      </c>
      <c r="AF509" t="s">
        <v>74</v>
      </c>
      <c r="AG509">
        <v>106</v>
      </c>
      <c r="AH509">
        <v>16</v>
      </c>
      <c r="AI509">
        <v>18</v>
      </c>
      <c r="AJ509">
        <v>0</v>
      </c>
      <c r="AK509">
        <v>16</v>
      </c>
      <c r="AL509" t="s">
        <v>2640</v>
      </c>
      <c r="AM509" t="s">
        <v>1176</v>
      </c>
      <c r="AN509" t="s">
        <v>2641</v>
      </c>
      <c r="AO509" t="s">
        <v>9728</v>
      </c>
      <c r="AP509" t="s">
        <v>9729</v>
      </c>
      <c r="AQ509" t="s">
        <v>74</v>
      </c>
      <c r="AR509" t="s">
        <v>9730</v>
      </c>
      <c r="AS509" t="s">
        <v>9731</v>
      </c>
      <c r="AT509" t="s">
        <v>9658</v>
      </c>
      <c r="AU509">
        <v>2014</v>
      </c>
      <c r="AV509">
        <v>123</v>
      </c>
      <c r="AW509" t="s">
        <v>74</v>
      </c>
      <c r="AX509" t="s">
        <v>1395</v>
      </c>
      <c r="AY509" t="s">
        <v>74</v>
      </c>
      <c r="AZ509" t="s">
        <v>1437</v>
      </c>
      <c r="BA509" t="s">
        <v>74</v>
      </c>
      <c r="BB509">
        <v>374</v>
      </c>
      <c r="BC509">
        <v>391</v>
      </c>
      <c r="BD509" t="s">
        <v>74</v>
      </c>
      <c r="BE509" t="s">
        <v>9864</v>
      </c>
      <c r="BF509" t="str">
        <f>HYPERLINK("http://dx.doi.org/10.1016/j.gloplacha.2014.06.009","http://dx.doi.org/10.1016/j.gloplacha.2014.06.009")</f>
        <v>http://dx.doi.org/10.1016/j.gloplacha.2014.06.009</v>
      </c>
      <c r="BG509" t="s">
        <v>74</v>
      </c>
      <c r="BH509" t="s">
        <v>74</v>
      </c>
      <c r="BI509">
        <v>18</v>
      </c>
      <c r="BJ509" t="s">
        <v>372</v>
      </c>
      <c r="BK509" t="s">
        <v>91</v>
      </c>
      <c r="BL509" t="s">
        <v>373</v>
      </c>
      <c r="BM509" t="s">
        <v>9733</v>
      </c>
      <c r="BN509" t="s">
        <v>74</v>
      </c>
      <c r="BO509" t="s">
        <v>74</v>
      </c>
      <c r="BP509" t="s">
        <v>74</v>
      </c>
      <c r="BQ509" t="s">
        <v>74</v>
      </c>
      <c r="BR509" t="s">
        <v>93</v>
      </c>
      <c r="BS509" t="s">
        <v>9865</v>
      </c>
      <c r="BT509" t="str">
        <f>HYPERLINK("https%3A%2F%2Fwww.webofscience.com%2Fwos%2Fwoscc%2Ffull-record%2FWOS:000347592400015","View Full Record in Web of Science")</f>
        <v>View Full Record in Web of Science</v>
      </c>
    </row>
    <row r="510" spans="1:72" x14ac:dyDescent="0.15">
      <c r="A510" t="s">
        <v>72</v>
      </c>
      <c r="B510" t="s">
        <v>9866</v>
      </c>
      <c r="C510" t="s">
        <v>74</v>
      </c>
      <c r="D510" t="s">
        <v>74</v>
      </c>
      <c r="E510" t="s">
        <v>74</v>
      </c>
      <c r="F510" t="s">
        <v>9867</v>
      </c>
      <c r="G510" t="s">
        <v>74</v>
      </c>
      <c r="H510" t="s">
        <v>74</v>
      </c>
      <c r="I510" t="s">
        <v>9868</v>
      </c>
      <c r="J510" t="s">
        <v>2036</v>
      </c>
      <c r="K510" t="s">
        <v>74</v>
      </c>
      <c r="L510" t="s">
        <v>74</v>
      </c>
      <c r="M510" t="s">
        <v>78</v>
      </c>
      <c r="N510" t="s">
        <v>99</v>
      </c>
      <c r="O510" t="s">
        <v>74</v>
      </c>
      <c r="P510" t="s">
        <v>74</v>
      </c>
      <c r="Q510" t="s">
        <v>74</v>
      </c>
      <c r="R510" t="s">
        <v>74</v>
      </c>
      <c r="S510" t="s">
        <v>74</v>
      </c>
      <c r="T510" t="s">
        <v>9869</v>
      </c>
      <c r="U510" t="s">
        <v>9870</v>
      </c>
      <c r="V510" t="s">
        <v>9871</v>
      </c>
      <c r="W510" t="s">
        <v>9872</v>
      </c>
      <c r="X510" t="s">
        <v>9873</v>
      </c>
      <c r="Y510" t="s">
        <v>9874</v>
      </c>
      <c r="Z510" t="s">
        <v>9875</v>
      </c>
      <c r="AA510" t="s">
        <v>74</v>
      </c>
      <c r="AB510" t="s">
        <v>9876</v>
      </c>
      <c r="AC510" t="s">
        <v>9877</v>
      </c>
      <c r="AD510" t="s">
        <v>9877</v>
      </c>
      <c r="AE510" t="s">
        <v>9878</v>
      </c>
      <c r="AF510" t="s">
        <v>74</v>
      </c>
      <c r="AG510">
        <v>33</v>
      </c>
      <c r="AH510">
        <v>6</v>
      </c>
      <c r="AI510">
        <v>6</v>
      </c>
      <c r="AJ510">
        <v>1</v>
      </c>
      <c r="AK510">
        <v>13</v>
      </c>
      <c r="AL510" t="s">
        <v>1945</v>
      </c>
      <c r="AM510" t="s">
        <v>1946</v>
      </c>
      <c r="AN510" t="s">
        <v>1947</v>
      </c>
      <c r="AO510" t="s">
        <v>2049</v>
      </c>
      <c r="AP510" t="s">
        <v>2050</v>
      </c>
      <c r="AQ510" t="s">
        <v>74</v>
      </c>
      <c r="AR510" t="s">
        <v>2051</v>
      </c>
      <c r="AS510" t="s">
        <v>2052</v>
      </c>
      <c r="AT510" t="s">
        <v>9658</v>
      </c>
      <c r="AU510">
        <v>2014</v>
      </c>
      <c r="AV510">
        <v>119</v>
      </c>
      <c r="AW510">
        <v>12</v>
      </c>
      <c r="AX510" t="s">
        <v>74</v>
      </c>
      <c r="AY510" t="s">
        <v>74</v>
      </c>
      <c r="AZ510" t="s">
        <v>74</v>
      </c>
      <c r="BA510" t="s">
        <v>74</v>
      </c>
      <c r="BB510">
        <v>8422</v>
      </c>
      <c r="BC510">
        <v>8437</v>
      </c>
      <c r="BD510" t="s">
        <v>74</v>
      </c>
      <c r="BE510" t="s">
        <v>9879</v>
      </c>
      <c r="BF510" t="str">
        <f>HYPERLINK("http://dx.doi.org/10.1002/2014JC010281","http://dx.doi.org/10.1002/2014JC010281")</f>
        <v>http://dx.doi.org/10.1002/2014JC010281</v>
      </c>
      <c r="BG510" t="s">
        <v>74</v>
      </c>
      <c r="BH510" t="s">
        <v>74</v>
      </c>
      <c r="BI510">
        <v>16</v>
      </c>
      <c r="BJ510" t="s">
        <v>2054</v>
      </c>
      <c r="BK510" t="s">
        <v>91</v>
      </c>
      <c r="BL510" t="s">
        <v>2054</v>
      </c>
      <c r="BM510" t="s">
        <v>9880</v>
      </c>
      <c r="BN510" t="s">
        <v>74</v>
      </c>
      <c r="BO510" t="s">
        <v>74</v>
      </c>
      <c r="BP510" t="s">
        <v>74</v>
      </c>
      <c r="BQ510" t="s">
        <v>74</v>
      </c>
      <c r="BR510" t="s">
        <v>93</v>
      </c>
      <c r="BS510" t="s">
        <v>9881</v>
      </c>
      <c r="BT510" t="str">
        <f>HYPERLINK("https%3A%2F%2Fwww.webofscience.com%2Fwos%2Fwoscc%2Ffull-record%2FWOS:000348452800013","View Full Record in Web of Science")</f>
        <v>View Full Record in Web of Science</v>
      </c>
    </row>
    <row r="511" spans="1:72" x14ac:dyDescent="0.15">
      <c r="A511" t="s">
        <v>72</v>
      </c>
      <c r="B511" t="s">
        <v>9882</v>
      </c>
      <c r="C511" t="s">
        <v>74</v>
      </c>
      <c r="D511" t="s">
        <v>74</v>
      </c>
      <c r="E511" t="s">
        <v>74</v>
      </c>
      <c r="F511" t="s">
        <v>9883</v>
      </c>
      <c r="G511" t="s">
        <v>74</v>
      </c>
      <c r="H511" t="s">
        <v>74</v>
      </c>
      <c r="I511" t="s">
        <v>9884</v>
      </c>
      <c r="J511" t="s">
        <v>2036</v>
      </c>
      <c r="K511" t="s">
        <v>74</v>
      </c>
      <c r="L511" t="s">
        <v>74</v>
      </c>
      <c r="M511" t="s">
        <v>78</v>
      </c>
      <c r="N511" t="s">
        <v>99</v>
      </c>
      <c r="O511" t="s">
        <v>74</v>
      </c>
      <c r="P511" t="s">
        <v>74</v>
      </c>
      <c r="Q511" t="s">
        <v>74</v>
      </c>
      <c r="R511" t="s">
        <v>74</v>
      </c>
      <c r="S511" t="s">
        <v>74</v>
      </c>
      <c r="T511" t="s">
        <v>9885</v>
      </c>
      <c r="U511" t="s">
        <v>9886</v>
      </c>
      <c r="V511" t="s">
        <v>9887</v>
      </c>
      <c r="W511" t="s">
        <v>9888</v>
      </c>
      <c r="X511" t="s">
        <v>9889</v>
      </c>
      <c r="Y511" t="s">
        <v>9890</v>
      </c>
      <c r="Z511" t="s">
        <v>9891</v>
      </c>
      <c r="AA511" t="s">
        <v>9892</v>
      </c>
      <c r="AB511" t="s">
        <v>9893</v>
      </c>
      <c r="AC511" t="s">
        <v>9894</v>
      </c>
      <c r="AD511" t="s">
        <v>9894</v>
      </c>
      <c r="AE511" t="s">
        <v>9895</v>
      </c>
      <c r="AF511" t="s">
        <v>74</v>
      </c>
      <c r="AG511">
        <v>74</v>
      </c>
      <c r="AH511">
        <v>33</v>
      </c>
      <c r="AI511">
        <v>33</v>
      </c>
      <c r="AJ511">
        <v>0</v>
      </c>
      <c r="AK511">
        <v>14</v>
      </c>
      <c r="AL511" t="s">
        <v>1945</v>
      </c>
      <c r="AM511" t="s">
        <v>1946</v>
      </c>
      <c r="AN511" t="s">
        <v>1947</v>
      </c>
      <c r="AO511" t="s">
        <v>2049</v>
      </c>
      <c r="AP511" t="s">
        <v>2050</v>
      </c>
      <c r="AQ511" t="s">
        <v>74</v>
      </c>
      <c r="AR511" t="s">
        <v>2051</v>
      </c>
      <c r="AS511" t="s">
        <v>2052</v>
      </c>
      <c r="AT511" t="s">
        <v>9658</v>
      </c>
      <c r="AU511">
        <v>2014</v>
      </c>
      <c r="AV511">
        <v>119</v>
      </c>
      <c r="AW511">
        <v>12</v>
      </c>
      <c r="AX511" t="s">
        <v>74</v>
      </c>
      <c r="AY511" t="s">
        <v>74</v>
      </c>
      <c r="AZ511" t="s">
        <v>74</v>
      </c>
      <c r="BA511" t="s">
        <v>74</v>
      </c>
      <c r="BB511">
        <v>8662</v>
      </c>
      <c r="BC511">
        <v>8687</v>
      </c>
      <c r="BD511" t="s">
        <v>74</v>
      </c>
      <c r="BE511" t="s">
        <v>9896</v>
      </c>
      <c r="BF511" t="str">
        <f>HYPERLINK("http://dx.doi.org/10.1002/2013JC009411","http://dx.doi.org/10.1002/2013JC009411")</f>
        <v>http://dx.doi.org/10.1002/2013JC009411</v>
      </c>
      <c r="BG511" t="s">
        <v>74</v>
      </c>
      <c r="BH511" t="s">
        <v>74</v>
      </c>
      <c r="BI511">
        <v>26</v>
      </c>
      <c r="BJ511" t="s">
        <v>2054</v>
      </c>
      <c r="BK511" t="s">
        <v>91</v>
      </c>
      <c r="BL511" t="s">
        <v>2054</v>
      </c>
      <c r="BM511" t="s">
        <v>9880</v>
      </c>
      <c r="BN511" t="s">
        <v>74</v>
      </c>
      <c r="BO511" t="s">
        <v>375</v>
      </c>
      <c r="BP511" t="s">
        <v>74</v>
      </c>
      <c r="BQ511" t="s">
        <v>74</v>
      </c>
      <c r="BR511" t="s">
        <v>93</v>
      </c>
      <c r="BS511" t="s">
        <v>9897</v>
      </c>
      <c r="BT511" t="str">
        <f>HYPERLINK("https%3A%2F%2Fwww.webofscience.com%2Fwos%2Fwoscc%2Ffull-record%2FWOS:000348452800026","View Full Record in Web of Science")</f>
        <v>View Full Record in Web of Science</v>
      </c>
    </row>
    <row r="512" spans="1:72" x14ac:dyDescent="0.15">
      <c r="A512" t="s">
        <v>72</v>
      </c>
      <c r="B512" t="s">
        <v>9898</v>
      </c>
      <c r="C512" t="s">
        <v>74</v>
      </c>
      <c r="D512" t="s">
        <v>74</v>
      </c>
      <c r="E512" t="s">
        <v>74</v>
      </c>
      <c r="F512" t="s">
        <v>9899</v>
      </c>
      <c r="G512" t="s">
        <v>74</v>
      </c>
      <c r="H512" t="s">
        <v>74</v>
      </c>
      <c r="I512" t="s">
        <v>9900</v>
      </c>
      <c r="J512" t="s">
        <v>9901</v>
      </c>
      <c r="K512" t="s">
        <v>74</v>
      </c>
      <c r="L512" t="s">
        <v>74</v>
      </c>
      <c r="M512" t="s">
        <v>78</v>
      </c>
      <c r="N512" t="s">
        <v>99</v>
      </c>
      <c r="O512" t="s">
        <v>74</v>
      </c>
      <c r="P512" t="s">
        <v>74</v>
      </c>
      <c r="Q512" t="s">
        <v>74</v>
      </c>
      <c r="R512" t="s">
        <v>74</v>
      </c>
      <c r="S512" t="s">
        <v>74</v>
      </c>
      <c r="T512" t="s">
        <v>9902</v>
      </c>
      <c r="U512" t="s">
        <v>9903</v>
      </c>
      <c r="V512" t="s">
        <v>9904</v>
      </c>
      <c r="W512" t="s">
        <v>9905</v>
      </c>
      <c r="X512" t="s">
        <v>9906</v>
      </c>
      <c r="Y512" t="s">
        <v>9907</v>
      </c>
      <c r="Z512" t="s">
        <v>9908</v>
      </c>
      <c r="AA512" t="s">
        <v>9909</v>
      </c>
      <c r="AB512" t="s">
        <v>74</v>
      </c>
      <c r="AC512" t="s">
        <v>9910</v>
      </c>
      <c r="AD512" t="s">
        <v>9910</v>
      </c>
      <c r="AE512" t="s">
        <v>9911</v>
      </c>
      <c r="AF512" t="s">
        <v>74</v>
      </c>
      <c r="AG512">
        <v>40</v>
      </c>
      <c r="AH512">
        <v>22</v>
      </c>
      <c r="AI512">
        <v>25</v>
      </c>
      <c r="AJ512">
        <v>0</v>
      </c>
      <c r="AK512">
        <v>31</v>
      </c>
      <c r="AL512" t="s">
        <v>2458</v>
      </c>
      <c r="AM512" t="s">
        <v>1411</v>
      </c>
      <c r="AN512" t="s">
        <v>2459</v>
      </c>
      <c r="AO512" t="s">
        <v>9912</v>
      </c>
      <c r="AP512" t="s">
        <v>9913</v>
      </c>
      <c r="AQ512" t="s">
        <v>74</v>
      </c>
      <c r="AR512" t="s">
        <v>9914</v>
      </c>
      <c r="AS512" t="s">
        <v>9915</v>
      </c>
      <c r="AT512" t="s">
        <v>9658</v>
      </c>
      <c r="AU512">
        <v>2014</v>
      </c>
      <c r="AV512">
        <v>58</v>
      </c>
      <c r="AW512" t="s">
        <v>74</v>
      </c>
      <c r="AX512" t="s">
        <v>3544</v>
      </c>
      <c r="AY512" t="s">
        <v>74</v>
      </c>
      <c r="AZ512" t="s">
        <v>74</v>
      </c>
      <c r="BA512" t="s">
        <v>74</v>
      </c>
      <c r="BB512">
        <v>321</v>
      </c>
      <c r="BC512">
        <v>330</v>
      </c>
      <c r="BD512" t="s">
        <v>74</v>
      </c>
      <c r="BE512" t="s">
        <v>9916</v>
      </c>
      <c r="BF512" t="str">
        <f>HYPERLINK("http://dx.doi.org/10.1016/j.marpetgeo.2014.01.005","http://dx.doi.org/10.1016/j.marpetgeo.2014.01.005")</f>
        <v>http://dx.doi.org/10.1016/j.marpetgeo.2014.01.005</v>
      </c>
      <c r="BG512" t="s">
        <v>74</v>
      </c>
      <c r="BH512" t="s">
        <v>74</v>
      </c>
      <c r="BI512">
        <v>10</v>
      </c>
      <c r="BJ512" t="s">
        <v>1953</v>
      </c>
      <c r="BK512" t="s">
        <v>91</v>
      </c>
      <c r="BL512" t="s">
        <v>1954</v>
      </c>
      <c r="BM512" t="s">
        <v>9917</v>
      </c>
      <c r="BN512" t="s">
        <v>74</v>
      </c>
      <c r="BO512" t="s">
        <v>74</v>
      </c>
      <c r="BP512" t="s">
        <v>74</v>
      </c>
      <c r="BQ512" t="s">
        <v>74</v>
      </c>
      <c r="BR512" t="s">
        <v>93</v>
      </c>
      <c r="BS512" t="s">
        <v>9918</v>
      </c>
      <c r="BT512" t="str">
        <f>HYPERLINK("https%3A%2F%2Fwww.webofscience.com%2Fwos%2Fwoscc%2Ffull-record%2FWOS:000347577000018","View Full Record in Web of Science")</f>
        <v>View Full Record in Web of Science</v>
      </c>
    </row>
    <row r="513" spans="1:72" x14ac:dyDescent="0.15">
      <c r="A513" t="s">
        <v>72</v>
      </c>
      <c r="B513" t="s">
        <v>9919</v>
      </c>
      <c r="C513" t="s">
        <v>74</v>
      </c>
      <c r="D513" t="s">
        <v>74</v>
      </c>
      <c r="E513" t="s">
        <v>74</v>
      </c>
      <c r="F513" t="s">
        <v>9920</v>
      </c>
      <c r="G513" t="s">
        <v>74</v>
      </c>
      <c r="H513" t="s">
        <v>74</v>
      </c>
      <c r="I513" t="s">
        <v>9921</v>
      </c>
      <c r="J513" t="s">
        <v>9922</v>
      </c>
      <c r="K513" t="s">
        <v>74</v>
      </c>
      <c r="L513" t="s">
        <v>74</v>
      </c>
      <c r="M513" t="s">
        <v>78</v>
      </c>
      <c r="N513" t="s">
        <v>99</v>
      </c>
      <c r="O513" t="s">
        <v>74</v>
      </c>
      <c r="P513" t="s">
        <v>74</v>
      </c>
      <c r="Q513" t="s">
        <v>74</v>
      </c>
      <c r="R513" t="s">
        <v>74</v>
      </c>
      <c r="S513" t="s">
        <v>74</v>
      </c>
      <c r="T513" t="s">
        <v>9923</v>
      </c>
      <c r="U513" t="s">
        <v>9924</v>
      </c>
      <c r="V513" t="s">
        <v>9925</v>
      </c>
      <c r="W513" t="s">
        <v>9926</v>
      </c>
      <c r="X513" t="s">
        <v>9927</v>
      </c>
      <c r="Y513" t="s">
        <v>9928</v>
      </c>
      <c r="Z513" t="s">
        <v>9929</v>
      </c>
      <c r="AA513" t="s">
        <v>74</v>
      </c>
      <c r="AB513" t="s">
        <v>74</v>
      </c>
      <c r="AC513" t="s">
        <v>9930</v>
      </c>
      <c r="AD513" t="s">
        <v>9931</v>
      </c>
      <c r="AE513" t="s">
        <v>9932</v>
      </c>
      <c r="AF513" t="s">
        <v>74</v>
      </c>
      <c r="AG513">
        <v>76</v>
      </c>
      <c r="AH513">
        <v>6</v>
      </c>
      <c r="AI513">
        <v>6</v>
      </c>
      <c r="AJ513">
        <v>0</v>
      </c>
      <c r="AK513">
        <v>38</v>
      </c>
      <c r="AL513" t="s">
        <v>1945</v>
      </c>
      <c r="AM513" t="s">
        <v>1946</v>
      </c>
      <c r="AN513" t="s">
        <v>1947</v>
      </c>
      <c r="AO513" t="s">
        <v>9933</v>
      </c>
      <c r="AP513" t="s">
        <v>9934</v>
      </c>
      <c r="AQ513" t="s">
        <v>74</v>
      </c>
      <c r="AR513" t="s">
        <v>9922</v>
      </c>
      <c r="AS513" t="s">
        <v>9935</v>
      </c>
      <c r="AT513" t="s">
        <v>9658</v>
      </c>
      <c r="AU513">
        <v>2014</v>
      </c>
      <c r="AV513">
        <v>29</v>
      </c>
      <c r="AW513">
        <v>12</v>
      </c>
      <c r="AX513" t="s">
        <v>74</v>
      </c>
      <c r="AY513" t="s">
        <v>74</v>
      </c>
      <c r="AZ513" t="s">
        <v>74</v>
      </c>
      <c r="BA513" t="s">
        <v>74</v>
      </c>
      <c r="BB513">
        <v>1214</v>
      </c>
      <c r="BC513">
        <v>1237</v>
      </c>
      <c r="BD513" t="s">
        <v>74</v>
      </c>
      <c r="BE513" t="s">
        <v>9936</v>
      </c>
      <c r="BF513" t="str">
        <f>HYPERLINK("http://dx.doi.org/10.1002/2014PA002666","http://dx.doi.org/10.1002/2014PA002666")</f>
        <v>http://dx.doi.org/10.1002/2014PA002666</v>
      </c>
      <c r="BG513" t="s">
        <v>74</v>
      </c>
      <c r="BH513" t="s">
        <v>74</v>
      </c>
      <c r="BI513">
        <v>24</v>
      </c>
      <c r="BJ513" t="s">
        <v>9937</v>
      </c>
      <c r="BK513" t="s">
        <v>91</v>
      </c>
      <c r="BL513" t="s">
        <v>9938</v>
      </c>
      <c r="BM513" t="s">
        <v>9939</v>
      </c>
      <c r="BN513" t="s">
        <v>74</v>
      </c>
      <c r="BO513" t="s">
        <v>2056</v>
      </c>
      <c r="BP513" t="s">
        <v>74</v>
      </c>
      <c r="BQ513" t="s">
        <v>74</v>
      </c>
      <c r="BR513" t="s">
        <v>93</v>
      </c>
      <c r="BS513" t="s">
        <v>9940</v>
      </c>
      <c r="BT513" t="str">
        <f>HYPERLINK("https%3A%2F%2Fwww.webofscience.com%2Fwos%2Fwoscc%2Ffull-record%2FWOS:000348536600007","View Full Record in Web of Science")</f>
        <v>View Full Record in Web of Science</v>
      </c>
    </row>
    <row r="514" spans="1:72" x14ac:dyDescent="0.15">
      <c r="A514" t="s">
        <v>72</v>
      </c>
      <c r="B514" t="s">
        <v>9941</v>
      </c>
      <c r="C514" t="s">
        <v>74</v>
      </c>
      <c r="D514" t="s">
        <v>74</v>
      </c>
      <c r="E514" t="s">
        <v>74</v>
      </c>
      <c r="F514" t="s">
        <v>9942</v>
      </c>
      <c r="G514" t="s">
        <v>74</v>
      </c>
      <c r="H514" t="s">
        <v>74</v>
      </c>
      <c r="I514" t="s">
        <v>9943</v>
      </c>
      <c r="J514" t="s">
        <v>9944</v>
      </c>
      <c r="K514" t="s">
        <v>74</v>
      </c>
      <c r="L514" t="s">
        <v>74</v>
      </c>
      <c r="M514" t="s">
        <v>78</v>
      </c>
      <c r="N514" t="s">
        <v>99</v>
      </c>
      <c r="O514" t="s">
        <v>74</v>
      </c>
      <c r="P514" t="s">
        <v>74</v>
      </c>
      <c r="Q514" t="s">
        <v>74</v>
      </c>
      <c r="R514" t="s">
        <v>74</v>
      </c>
      <c r="S514" t="s">
        <v>74</v>
      </c>
      <c r="T514" t="s">
        <v>9945</v>
      </c>
      <c r="U514" t="s">
        <v>9946</v>
      </c>
      <c r="V514" t="s">
        <v>9947</v>
      </c>
      <c r="W514" t="s">
        <v>9948</v>
      </c>
      <c r="X514" t="s">
        <v>9949</v>
      </c>
      <c r="Y514" t="s">
        <v>9950</v>
      </c>
      <c r="Z514" t="s">
        <v>9951</v>
      </c>
      <c r="AA514" t="s">
        <v>9952</v>
      </c>
      <c r="AB514" t="s">
        <v>9953</v>
      </c>
      <c r="AC514" t="s">
        <v>9954</v>
      </c>
      <c r="AD514" t="s">
        <v>9955</v>
      </c>
      <c r="AE514" t="s">
        <v>9956</v>
      </c>
      <c r="AF514" t="s">
        <v>74</v>
      </c>
      <c r="AG514">
        <v>41</v>
      </c>
      <c r="AH514">
        <v>95</v>
      </c>
      <c r="AI514">
        <v>101</v>
      </c>
      <c r="AJ514">
        <v>1</v>
      </c>
      <c r="AK514">
        <v>29</v>
      </c>
      <c r="AL514" t="s">
        <v>2439</v>
      </c>
      <c r="AM514" t="s">
        <v>1411</v>
      </c>
      <c r="AN514" t="s">
        <v>2440</v>
      </c>
      <c r="AO514" t="s">
        <v>9957</v>
      </c>
      <c r="AP514" t="s">
        <v>9958</v>
      </c>
      <c r="AQ514" t="s">
        <v>74</v>
      </c>
      <c r="AR514" t="s">
        <v>9959</v>
      </c>
      <c r="AS514" t="s">
        <v>9960</v>
      </c>
      <c r="AT514" t="s">
        <v>9961</v>
      </c>
      <c r="AU514">
        <v>2014</v>
      </c>
      <c r="AV514">
        <v>91</v>
      </c>
      <c r="AW514" t="s">
        <v>74</v>
      </c>
      <c r="AX514" t="s">
        <v>74</v>
      </c>
      <c r="AY514" t="s">
        <v>74</v>
      </c>
      <c r="AZ514" t="s">
        <v>74</v>
      </c>
      <c r="BA514" t="s">
        <v>74</v>
      </c>
      <c r="BB514">
        <v>232</v>
      </c>
      <c r="BC514">
        <v>246</v>
      </c>
      <c r="BD514" t="s">
        <v>74</v>
      </c>
      <c r="BE514" t="s">
        <v>9962</v>
      </c>
      <c r="BF514" t="str">
        <f>HYPERLINK("http://dx.doi.org/10.1016/j.csr.2014.09.014","http://dx.doi.org/10.1016/j.csr.2014.09.014")</f>
        <v>http://dx.doi.org/10.1016/j.csr.2014.09.014</v>
      </c>
      <c r="BG514" t="s">
        <v>74</v>
      </c>
      <c r="BH514" t="s">
        <v>74</v>
      </c>
      <c r="BI514">
        <v>15</v>
      </c>
      <c r="BJ514" t="s">
        <v>2054</v>
      </c>
      <c r="BK514" t="s">
        <v>91</v>
      </c>
      <c r="BL514" t="s">
        <v>2054</v>
      </c>
      <c r="BM514" t="s">
        <v>9963</v>
      </c>
      <c r="BN514" t="s">
        <v>74</v>
      </c>
      <c r="BO514" t="s">
        <v>74</v>
      </c>
      <c r="BP514" t="s">
        <v>74</v>
      </c>
      <c r="BQ514" t="s">
        <v>74</v>
      </c>
      <c r="BR514" t="s">
        <v>93</v>
      </c>
      <c r="BS514" t="s">
        <v>9964</v>
      </c>
      <c r="BT514" t="str">
        <f>HYPERLINK("https%3A%2F%2Fwww.webofscience.com%2Fwos%2Fwoscc%2Ffull-record%2FWOS:000347603900019","View Full Record in Web of Science")</f>
        <v>View Full Record in Web of Science</v>
      </c>
    </row>
    <row r="515" spans="1:72" x14ac:dyDescent="0.15">
      <c r="A515" t="s">
        <v>72</v>
      </c>
      <c r="B515" t="s">
        <v>9965</v>
      </c>
      <c r="C515" t="s">
        <v>74</v>
      </c>
      <c r="D515" t="s">
        <v>74</v>
      </c>
      <c r="E515" t="s">
        <v>74</v>
      </c>
      <c r="F515" t="s">
        <v>9966</v>
      </c>
      <c r="G515" t="s">
        <v>74</v>
      </c>
      <c r="H515" t="s">
        <v>74</v>
      </c>
      <c r="I515" t="s">
        <v>9967</v>
      </c>
      <c r="J515" t="s">
        <v>9968</v>
      </c>
      <c r="K515" t="s">
        <v>74</v>
      </c>
      <c r="L515" t="s">
        <v>74</v>
      </c>
      <c r="M515" t="s">
        <v>78</v>
      </c>
      <c r="N515" t="s">
        <v>99</v>
      </c>
      <c r="O515" t="s">
        <v>74</v>
      </c>
      <c r="P515" t="s">
        <v>74</v>
      </c>
      <c r="Q515" t="s">
        <v>74</v>
      </c>
      <c r="R515" t="s">
        <v>74</v>
      </c>
      <c r="S515" t="s">
        <v>74</v>
      </c>
      <c r="T515" t="s">
        <v>9969</v>
      </c>
      <c r="U515" t="s">
        <v>9970</v>
      </c>
      <c r="V515" t="s">
        <v>9971</v>
      </c>
      <c r="W515" t="s">
        <v>9972</v>
      </c>
      <c r="X515" t="s">
        <v>9973</v>
      </c>
      <c r="Y515" t="s">
        <v>9974</v>
      </c>
      <c r="Z515" t="s">
        <v>9975</v>
      </c>
      <c r="AA515" t="s">
        <v>9976</v>
      </c>
      <c r="AB515" t="s">
        <v>9977</v>
      </c>
      <c r="AC515" t="s">
        <v>9978</v>
      </c>
      <c r="AD515" t="s">
        <v>9979</v>
      </c>
      <c r="AE515" t="s">
        <v>9980</v>
      </c>
      <c r="AF515" t="s">
        <v>74</v>
      </c>
      <c r="AG515">
        <v>58</v>
      </c>
      <c r="AH515">
        <v>53</v>
      </c>
      <c r="AI515">
        <v>56</v>
      </c>
      <c r="AJ515">
        <v>8</v>
      </c>
      <c r="AK515">
        <v>113</v>
      </c>
      <c r="AL515" t="s">
        <v>1945</v>
      </c>
      <c r="AM515" t="s">
        <v>1946</v>
      </c>
      <c r="AN515" t="s">
        <v>1947</v>
      </c>
      <c r="AO515" t="s">
        <v>9981</v>
      </c>
      <c r="AP515" t="s">
        <v>9982</v>
      </c>
      <c r="AQ515" t="s">
        <v>74</v>
      </c>
      <c r="AR515" t="s">
        <v>9983</v>
      </c>
      <c r="AS515" t="s">
        <v>9984</v>
      </c>
      <c r="AT515" t="s">
        <v>9658</v>
      </c>
      <c r="AU515">
        <v>2014</v>
      </c>
      <c r="AV515">
        <v>28</v>
      </c>
      <c r="AW515">
        <v>12</v>
      </c>
      <c r="AX515" t="s">
        <v>74</v>
      </c>
      <c r="AY515" t="s">
        <v>74</v>
      </c>
      <c r="AZ515" t="s">
        <v>74</v>
      </c>
      <c r="BA515" t="s">
        <v>74</v>
      </c>
      <c r="BB515">
        <v>1424</v>
      </c>
      <c r="BC515">
        <v>1436</v>
      </c>
      <c r="BD515" t="s">
        <v>74</v>
      </c>
      <c r="BE515" t="s">
        <v>9985</v>
      </c>
      <c r="BF515" t="str">
        <f>HYPERLINK("http://dx.doi.org/10.1002/2014GB004910","http://dx.doi.org/10.1002/2014GB004910")</f>
        <v>http://dx.doi.org/10.1002/2014GB004910</v>
      </c>
      <c r="BG515" t="s">
        <v>74</v>
      </c>
      <c r="BH515" t="s">
        <v>74</v>
      </c>
      <c r="BI515">
        <v>13</v>
      </c>
      <c r="BJ515" t="s">
        <v>9986</v>
      </c>
      <c r="BK515" t="s">
        <v>91</v>
      </c>
      <c r="BL515" t="s">
        <v>9987</v>
      </c>
      <c r="BM515" t="s">
        <v>9988</v>
      </c>
      <c r="BN515" t="s">
        <v>74</v>
      </c>
      <c r="BO515" t="s">
        <v>2081</v>
      </c>
      <c r="BP515" t="s">
        <v>74</v>
      </c>
      <c r="BQ515" t="s">
        <v>74</v>
      </c>
      <c r="BR515" t="s">
        <v>93</v>
      </c>
      <c r="BS515" t="s">
        <v>9989</v>
      </c>
      <c r="BT515" t="str">
        <f>HYPERLINK("https%3A%2F%2Fwww.webofscience.com%2Fwos%2Fwoscc%2Ffull-record%2FWOS:000348109100004","View Full Record in Web of Science")</f>
        <v>View Full Record in Web of Science</v>
      </c>
    </row>
    <row r="516" spans="1:72" x14ac:dyDescent="0.15">
      <c r="A516" t="s">
        <v>72</v>
      </c>
      <c r="B516" t="s">
        <v>9990</v>
      </c>
      <c r="C516" t="s">
        <v>74</v>
      </c>
      <c r="D516" t="s">
        <v>74</v>
      </c>
      <c r="E516" t="s">
        <v>74</v>
      </c>
      <c r="F516" t="s">
        <v>9991</v>
      </c>
      <c r="G516" t="s">
        <v>74</v>
      </c>
      <c r="H516" t="s">
        <v>74</v>
      </c>
      <c r="I516" t="s">
        <v>9992</v>
      </c>
      <c r="J516" t="s">
        <v>9993</v>
      </c>
      <c r="K516" t="s">
        <v>74</v>
      </c>
      <c r="L516" t="s">
        <v>74</v>
      </c>
      <c r="M516" t="s">
        <v>78</v>
      </c>
      <c r="N516" t="s">
        <v>99</v>
      </c>
      <c r="O516" t="s">
        <v>74</v>
      </c>
      <c r="P516" t="s">
        <v>74</v>
      </c>
      <c r="Q516" t="s">
        <v>74</v>
      </c>
      <c r="R516" t="s">
        <v>74</v>
      </c>
      <c r="S516" t="s">
        <v>74</v>
      </c>
      <c r="T516" t="s">
        <v>9994</v>
      </c>
      <c r="U516" t="s">
        <v>9995</v>
      </c>
      <c r="V516" t="s">
        <v>9996</v>
      </c>
      <c r="W516" t="s">
        <v>9997</v>
      </c>
      <c r="X516" t="s">
        <v>9998</v>
      </c>
      <c r="Y516" t="s">
        <v>9999</v>
      </c>
      <c r="Z516" t="s">
        <v>10000</v>
      </c>
      <c r="AA516" t="s">
        <v>10001</v>
      </c>
      <c r="AB516" t="s">
        <v>10002</v>
      </c>
      <c r="AC516" t="s">
        <v>10003</v>
      </c>
      <c r="AD516" t="s">
        <v>10004</v>
      </c>
      <c r="AE516" t="s">
        <v>10005</v>
      </c>
      <c r="AF516" t="s">
        <v>74</v>
      </c>
      <c r="AG516">
        <v>11</v>
      </c>
      <c r="AH516">
        <v>3</v>
      </c>
      <c r="AI516">
        <v>3</v>
      </c>
      <c r="AJ516">
        <v>0</v>
      </c>
      <c r="AK516">
        <v>25</v>
      </c>
      <c r="AL516" t="s">
        <v>2640</v>
      </c>
      <c r="AM516" t="s">
        <v>1176</v>
      </c>
      <c r="AN516" t="s">
        <v>2641</v>
      </c>
      <c r="AO516" t="s">
        <v>10006</v>
      </c>
      <c r="AP516" t="s">
        <v>10007</v>
      </c>
      <c r="AQ516" t="s">
        <v>74</v>
      </c>
      <c r="AR516" t="s">
        <v>10008</v>
      </c>
      <c r="AS516" t="s">
        <v>10009</v>
      </c>
      <c r="AT516" t="s">
        <v>9658</v>
      </c>
      <c r="AU516">
        <v>2014</v>
      </c>
      <c r="AV516">
        <v>18</v>
      </c>
      <c r="AW516" t="s">
        <v>74</v>
      </c>
      <c r="AX516" t="s">
        <v>1395</v>
      </c>
      <c r="AY516" t="s">
        <v>74</v>
      </c>
      <c r="AZ516" t="s">
        <v>74</v>
      </c>
      <c r="BA516" t="s">
        <v>74</v>
      </c>
      <c r="BB516">
        <v>89</v>
      </c>
      <c r="BC516">
        <v>91</v>
      </c>
      <c r="BD516" t="s">
        <v>74</v>
      </c>
      <c r="BE516" t="s">
        <v>10010</v>
      </c>
      <c r="BF516" t="str">
        <f>HYPERLINK("http://dx.doi.org/10.1016/j.margen.2014.06.004","http://dx.doi.org/10.1016/j.margen.2014.06.004")</f>
        <v>http://dx.doi.org/10.1016/j.margen.2014.06.004</v>
      </c>
      <c r="BG516" t="s">
        <v>74</v>
      </c>
      <c r="BH516" t="s">
        <v>74</v>
      </c>
      <c r="BI516">
        <v>3</v>
      </c>
      <c r="BJ516" t="s">
        <v>10011</v>
      </c>
      <c r="BK516" t="s">
        <v>91</v>
      </c>
      <c r="BL516" t="s">
        <v>10011</v>
      </c>
      <c r="BM516" t="s">
        <v>10012</v>
      </c>
      <c r="BN516">
        <v>24975986</v>
      </c>
      <c r="BO516" t="s">
        <v>74</v>
      </c>
      <c r="BP516" t="s">
        <v>74</v>
      </c>
      <c r="BQ516" t="s">
        <v>74</v>
      </c>
      <c r="BR516" t="s">
        <v>93</v>
      </c>
      <c r="BS516" t="s">
        <v>10013</v>
      </c>
      <c r="BT516" t="str">
        <f>HYPERLINK("https%3A%2F%2Fwww.webofscience.com%2Fwos%2Fwoscc%2Ffull-record%2FWOS:000347578600003","View Full Record in Web of Science")</f>
        <v>View Full Record in Web of Science</v>
      </c>
    </row>
    <row r="517" spans="1:72" x14ac:dyDescent="0.15">
      <c r="A517" t="s">
        <v>72</v>
      </c>
      <c r="B517" t="s">
        <v>10014</v>
      </c>
      <c r="C517" t="s">
        <v>74</v>
      </c>
      <c r="D517" t="s">
        <v>74</v>
      </c>
      <c r="E517" t="s">
        <v>74</v>
      </c>
      <c r="F517" t="s">
        <v>10015</v>
      </c>
      <c r="G517" t="s">
        <v>74</v>
      </c>
      <c r="H517" t="s">
        <v>74</v>
      </c>
      <c r="I517" t="s">
        <v>10016</v>
      </c>
      <c r="J517" t="s">
        <v>9993</v>
      </c>
      <c r="K517" t="s">
        <v>74</v>
      </c>
      <c r="L517" t="s">
        <v>74</v>
      </c>
      <c r="M517" t="s">
        <v>78</v>
      </c>
      <c r="N517" t="s">
        <v>99</v>
      </c>
      <c r="O517" t="s">
        <v>74</v>
      </c>
      <c r="P517" t="s">
        <v>74</v>
      </c>
      <c r="Q517" t="s">
        <v>74</v>
      </c>
      <c r="R517" t="s">
        <v>74</v>
      </c>
      <c r="S517" t="s">
        <v>74</v>
      </c>
      <c r="T517" t="s">
        <v>10017</v>
      </c>
      <c r="U517" t="s">
        <v>10018</v>
      </c>
      <c r="V517" t="s">
        <v>10019</v>
      </c>
      <c r="W517" t="s">
        <v>10020</v>
      </c>
      <c r="X517" t="s">
        <v>10021</v>
      </c>
      <c r="Y517" t="s">
        <v>10022</v>
      </c>
      <c r="Z517" t="s">
        <v>74</v>
      </c>
      <c r="AA517" t="s">
        <v>10023</v>
      </c>
      <c r="AB517" t="s">
        <v>10024</v>
      </c>
      <c r="AC517" t="s">
        <v>10025</v>
      </c>
      <c r="AD517" t="s">
        <v>10026</v>
      </c>
      <c r="AE517" t="s">
        <v>10027</v>
      </c>
      <c r="AF517" t="s">
        <v>74</v>
      </c>
      <c r="AG517">
        <v>8</v>
      </c>
      <c r="AH517">
        <v>6</v>
      </c>
      <c r="AI517">
        <v>7</v>
      </c>
      <c r="AJ517">
        <v>1</v>
      </c>
      <c r="AK517">
        <v>22</v>
      </c>
      <c r="AL517" t="s">
        <v>1175</v>
      </c>
      <c r="AM517" t="s">
        <v>1176</v>
      </c>
      <c r="AN517" t="s">
        <v>2938</v>
      </c>
      <c r="AO517" t="s">
        <v>10006</v>
      </c>
      <c r="AP517" t="s">
        <v>10007</v>
      </c>
      <c r="AQ517" t="s">
        <v>74</v>
      </c>
      <c r="AR517" t="s">
        <v>10008</v>
      </c>
      <c r="AS517" t="s">
        <v>10009</v>
      </c>
      <c r="AT517" t="s">
        <v>9658</v>
      </c>
      <c r="AU517">
        <v>2014</v>
      </c>
      <c r="AV517">
        <v>18</v>
      </c>
      <c r="AW517" t="s">
        <v>74</v>
      </c>
      <c r="AX517" t="s">
        <v>1395</v>
      </c>
      <c r="AY517" t="s">
        <v>74</v>
      </c>
      <c r="AZ517" t="s">
        <v>74</v>
      </c>
      <c r="BA517" t="s">
        <v>74</v>
      </c>
      <c r="BB517">
        <v>101</v>
      </c>
      <c r="BC517">
        <v>103</v>
      </c>
      <c r="BD517" t="s">
        <v>74</v>
      </c>
      <c r="BE517" t="s">
        <v>10028</v>
      </c>
      <c r="BF517" t="str">
        <f>HYPERLINK("http://dx.doi.org/10.1016/j.margen.2014.07.005","http://dx.doi.org/10.1016/j.margen.2014.07.005")</f>
        <v>http://dx.doi.org/10.1016/j.margen.2014.07.005</v>
      </c>
      <c r="BG517" t="s">
        <v>74</v>
      </c>
      <c r="BH517" t="s">
        <v>74</v>
      </c>
      <c r="BI517">
        <v>3</v>
      </c>
      <c r="BJ517" t="s">
        <v>10011</v>
      </c>
      <c r="BK517" t="s">
        <v>91</v>
      </c>
      <c r="BL517" t="s">
        <v>10011</v>
      </c>
      <c r="BM517" t="s">
        <v>10012</v>
      </c>
      <c r="BN517">
        <v>25106076</v>
      </c>
      <c r="BO517" t="s">
        <v>10029</v>
      </c>
      <c r="BP517" t="s">
        <v>74</v>
      </c>
      <c r="BQ517" t="s">
        <v>74</v>
      </c>
      <c r="BR517" t="s">
        <v>93</v>
      </c>
      <c r="BS517" t="s">
        <v>10030</v>
      </c>
      <c r="BT517" t="str">
        <f>HYPERLINK("https%3A%2F%2Fwww.webofscience.com%2Fwos%2Fwoscc%2Ffull-record%2FWOS:000347578600006","View Full Record in Web of Science")</f>
        <v>View Full Record in Web of Science</v>
      </c>
    </row>
    <row r="518" spans="1:72" x14ac:dyDescent="0.15">
      <c r="A518" t="s">
        <v>72</v>
      </c>
      <c r="B518" t="s">
        <v>10031</v>
      </c>
      <c r="C518" t="s">
        <v>74</v>
      </c>
      <c r="D518" t="s">
        <v>74</v>
      </c>
      <c r="E518" t="s">
        <v>74</v>
      </c>
      <c r="F518" t="s">
        <v>10032</v>
      </c>
      <c r="G518" t="s">
        <v>74</v>
      </c>
      <c r="H518" t="s">
        <v>74</v>
      </c>
      <c r="I518" t="s">
        <v>10033</v>
      </c>
      <c r="J518" t="s">
        <v>9993</v>
      </c>
      <c r="K518" t="s">
        <v>74</v>
      </c>
      <c r="L518" t="s">
        <v>74</v>
      </c>
      <c r="M518" t="s">
        <v>78</v>
      </c>
      <c r="N518" t="s">
        <v>99</v>
      </c>
      <c r="O518" t="s">
        <v>74</v>
      </c>
      <c r="P518" t="s">
        <v>74</v>
      </c>
      <c r="Q518" t="s">
        <v>74</v>
      </c>
      <c r="R518" t="s">
        <v>74</v>
      </c>
      <c r="S518" t="s">
        <v>74</v>
      </c>
      <c r="T518" t="s">
        <v>10034</v>
      </c>
      <c r="U518" t="s">
        <v>10035</v>
      </c>
      <c r="V518" t="s">
        <v>10036</v>
      </c>
      <c r="W518" t="s">
        <v>10037</v>
      </c>
      <c r="X518" t="s">
        <v>10038</v>
      </c>
      <c r="Y518" t="s">
        <v>10039</v>
      </c>
      <c r="Z518" t="s">
        <v>10040</v>
      </c>
      <c r="AA518" t="s">
        <v>74</v>
      </c>
      <c r="AB518" t="s">
        <v>10041</v>
      </c>
      <c r="AC518" t="s">
        <v>10042</v>
      </c>
      <c r="AD518" t="s">
        <v>10043</v>
      </c>
      <c r="AE518" t="s">
        <v>10044</v>
      </c>
      <c r="AF518" t="s">
        <v>74</v>
      </c>
      <c r="AG518">
        <v>53</v>
      </c>
      <c r="AH518">
        <v>33</v>
      </c>
      <c r="AI518">
        <v>41</v>
      </c>
      <c r="AJ518">
        <v>0</v>
      </c>
      <c r="AK518">
        <v>46</v>
      </c>
      <c r="AL518" t="s">
        <v>1175</v>
      </c>
      <c r="AM518" t="s">
        <v>1176</v>
      </c>
      <c r="AN518" t="s">
        <v>2938</v>
      </c>
      <c r="AO518" t="s">
        <v>10006</v>
      </c>
      <c r="AP518" t="s">
        <v>10007</v>
      </c>
      <c r="AQ518" t="s">
        <v>74</v>
      </c>
      <c r="AR518" t="s">
        <v>10008</v>
      </c>
      <c r="AS518" t="s">
        <v>10009</v>
      </c>
      <c r="AT518" t="s">
        <v>9658</v>
      </c>
      <c r="AU518">
        <v>2014</v>
      </c>
      <c r="AV518">
        <v>18</v>
      </c>
      <c r="AW518" t="s">
        <v>74</v>
      </c>
      <c r="AX518" t="s">
        <v>1395</v>
      </c>
      <c r="AY518" t="s">
        <v>74</v>
      </c>
      <c r="AZ518" t="s">
        <v>74</v>
      </c>
      <c r="BA518" t="s">
        <v>74</v>
      </c>
      <c r="BB518">
        <v>163</v>
      </c>
      <c r="BC518">
        <v>171</v>
      </c>
      <c r="BD518" t="s">
        <v>74</v>
      </c>
      <c r="BE518" t="s">
        <v>10045</v>
      </c>
      <c r="BF518" t="str">
        <f>HYPERLINK("http://dx.doi.org/10.1016/j.margen.2014.06.006","http://dx.doi.org/10.1016/j.margen.2014.06.006")</f>
        <v>http://dx.doi.org/10.1016/j.margen.2014.06.006</v>
      </c>
      <c r="BG518" t="s">
        <v>74</v>
      </c>
      <c r="BH518" t="s">
        <v>74</v>
      </c>
      <c r="BI518">
        <v>9</v>
      </c>
      <c r="BJ518" t="s">
        <v>10011</v>
      </c>
      <c r="BK518" t="s">
        <v>91</v>
      </c>
      <c r="BL518" t="s">
        <v>10011</v>
      </c>
      <c r="BM518" t="s">
        <v>10012</v>
      </c>
      <c r="BN518">
        <v>24999838</v>
      </c>
      <c r="BO518" t="s">
        <v>74</v>
      </c>
      <c r="BP518" t="s">
        <v>74</v>
      </c>
      <c r="BQ518" t="s">
        <v>74</v>
      </c>
      <c r="BR518" t="s">
        <v>93</v>
      </c>
      <c r="BS518" t="s">
        <v>10046</v>
      </c>
      <c r="BT518" t="str">
        <f>HYPERLINK("https%3A%2F%2Fwww.webofscience.com%2Fwos%2Fwoscc%2Ffull-record%2FWOS:000347578600023","View Full Record in Web of Science")</f>
        <v>View Full Record in Web of Science</v>
      </c>
    </row>
    <row r="519" spans="1:72" x14ac:dyDescent="0.15">
      <c r="A519" t="s">
        <v>72</v>
      </c>
      <c r="B519" t="s">
        <v>10047</v>
      </c>
      <c r="C519" t="s">
        <v>74</v>
      </c>
      <c r="D519" t="s">
        <v>74</v>
      </c>
      <c r="E519" t="s">
        <v>74</v>
      </c>
      <c r="F519" t="s">
        <v>10048</v>
      </c>
      <c r="G519" t="s">
        <v>74</v>
      </c>
      <c r="H519" t="s">
        <v>74</v>
      </c>
      <c r="I519" t="s">
        <v>10049</v>
      </c>
      <c r="J519" t="s">
        <v>2982</v>
      </c>
      <c r="K519" t="s">
        <v>74</v>
      </c>
      <c r="L519" t="s">
        <v>74</v>
      </c>
      <c r="M519" t="s">
        <v>78</v>
      </c>
      <c r="N519" t="s">
        <v>99</v>
      </c>
      <c r="O519" t="s">
        <v>74</v>
      </c>
      <c r="P519" t="s">
        <v>74</v>
      </c>
      <c r="Q519" t="s">
        <v>74</v>
      </c>
      <c r="R519" t="s">
        <v>74</v>
      </c>
      <c r="S519" t="s">
        <v>74</v>
      </c>
      <c r="T519" t="s">
        <v>10050</v>
      </c>
      <c r="U519" t="s">
        <v>10051</v>
      </c>
      <c r="V519" t="s">
        <v>10052</v>
      </c>
      <c r="W519" t="s">
        <v>10053</v>
      </c>
      <c r="X519" t="s">
        <v>10054</v>
      </c>
      <c r="Y519" t="s">
        <v>10055</v>
      </c>
      <c r="Z519" t="s">
        <v>10056</v>
      </c>
      <c r="AA519" t="s">
        <v>10057</v>
      </c>
      <c r="AB519" t="s">
        <v>10058</v>
      </c>
      <c r="AC519" t="s">
        <v>10059</v>
      </c>
      <c r="AD519" t="s">
        <v>10060</v>
      </c>
      <c r="AE519" t="s">
        <v>10061</v>
      </c>
      <c r="AF519" t="s">
        <v>74</v>
      </c>
      <c r="AG519">
        <v>176</v>
      </c>
      <c r="AH519">
        <v>8</v>
      </c>
      <c r="AI519">
        <v>8</v>
      </c>
      <c r="AJ519">
        <v>2</v>
      </c>
      <c r="AK519">
        <v>23</v>
      </c>
      <c r="AL519" t="s">
        <v>2439</v>
      </c>
      <c r="AM519" t="s">
        <v>1411</v>
      </c>
      <c r="AN519" t="s">
        <v>2440</v>
      </c>
      <c r="AO519" t="s">
        <v>2995</v>
      </c>
      <c r="AP519" t="s">
        <v>2996</v>
      </c>
      <c r="AQ519" t="s">
        <v>74</v>
      </c>
      <c r="AR519" t="s">
        <v>2997</v>
      </c>
      <c r="AS519" t="s">
        <v>2998</v>
      </c>
      <c r="AT519" t="s">
        <v>9658</v>
      </c>
      <c r="AU519">
        <v>2014</v>
      </c>
      <c r="AV519">
        <v>104</v>
      </c>
      <c r="AW519" t="s">
        <v>74</v>
      </c>
      <c r="AX519" t="s">
        <v>1395</v>
      </c>
      <c r="AY519" t="s">
        <v>74</v>
      </c>
      <c r="AZ519" t="s">
        <v>74</v>
      </c>
      <c r="BA519" t="s">
        <v>74</v>
      </c>
      <c r="BB519">
        <v>253</v>
      </c>
      <c r="BC519">
        <v>269</v>
      </c>
      <c r="BD519" t="s">
        <v>74</v>
      </c>
      <c r="BE519" t="s">
        <v>10062</v>
      </c>
      <c r="BF519" t="str">
        <f>HYPERLINK("http://dx.doi.org/10.1016/j.pss.2014.10.008","http://dx.doi.org/10.1016/j.pss.2014.10.008")</f>
        <v>http://dx.doi.org/10.1016/j.pss.2014.10.008</v>
      </c>
      <c r="BG519" t="s">
        <v>74</v>
      </c>
      <c r="BH519" t="s">
        <v>74</v>
      </c>
      <c r="BI519">
        <v>17</v>
      </c>
      <c r="BJ519" t="s">
        <v>2079</v>
      </c>
      <c r="BK519" t="s">
        <v>91</v>
      </c>
      <c r="BL519" t="s">
        <v>2079</v>
      </c>
      <c r="BM519" t="s">
        <v>10063</v>
      </c>
      <c r="BN519" t="s">
        <v>74</v>
      </c>
      <c r="BO519" t="s">
        <v>74</v>
      </c>
      <c r="BP519" t="s">
        <v>74</v>
      </c>
      <c r="BQ519" t="s">
        <v>74</v>
      </c>
      <c r="BR519" t="s">
        <v>93</v>
      </c>
      <c r="BS519" t="s">
        <v>10064</v>
      </c>
      <c r="BT519" t="str">
        <f>HYPERLINK("https%3A%2F%2Fwww.webofscience.com%2Fwos%2Fwoscc%2Ffull-record%2FWOS:000347606200010","View Full Record in Web of Science")</f>
        <v>View Full Record in Web of Science</v>
      </c>
    </row>
    <row r="520" spans="1:72" x14ac:dyDescent="0.15">
      <c r="A520" t="s">
        <v>72</v>
      </c>
      <c r="B520" t="s">
        <v>10065</v>
      </c>
      <c r="C520" t="s">
        <v>74</v>
      </c>
      <c r="D520" t="s">
        <v>74</v>
      </c>
      <c r="E520" t="s">
        <v>74</v>
      </c>
      <c r="F520" t="s">
        <v>10066</v>
      </c>
      <c r="G520" t="s">
        <v>74</v>
      </c>
      <c r="H520" t="s">
        <v>74</v>
      </c>
      <c r="I520" t="s">
        <v>10067</v>
      </c>
      <c r="J520" t="s">
        <v>10068</v>
      </c>
      <c r="K520" t="s">
        <v>74</v>
      </c>
      <c r="L520" t="s">
        <v>74</v>
      </c>
      <c r="M520" t="s">
        <v>78</v>
      </c>
      <c r="N520" t="s">
        <v>99</v>
      </c>
      <c r="O520" t="s">
        <v>74</v>
      </c>
      <c r="P520" t="s">
        <v>74</v>
      </c>
      <c r="Q520" t="s">
        <v>74</v>
      </c>
      <c r="R520" t="s">
        <v>74</v>
      </c>
      <c r="S520" t="s">
        <v>74</v>
      </c>
      <c r="T520" t="s">
        <v>10069</v>
      </c>
      <c r="U520" t="s">
        <v>10070</v>
      </c>
      <c r="V520" t="s">
        <v>10071</v>
      </c>
      <c r="W520" t="s">
        <v>10072</v>
      </c>
      <c r="X520" t="s">
        <v>10073</v>
      </c>
      <c r="Y520" t="s">
        <v>10074</v>
      </c>
      <c r="Z520" t="s">
        <v>10075</v>
      </c>
      <c r="AA520" t="s">
        <v>10076</v>
      </c>
      <c r="AB520" t="s">
        <v>10077</v>
      </c>
      <c r="AC520" t="s">
        <v>74</v>
      </c>
      <c r="AD520" t="s">
        <v>74</v>
      </c>
      <c r="AE520" t="s">
        <v>74</v>
      </c>
      <c r="AF520" t="s">
        <v>74</v>
      </c>
      <c r="AG520">
        <v>29</v>
      </c>
      <c r="AH520">
        <v>26</v>
      </c>
      <c r="AI520">
        <v>26</v>
      </c>
      <c r="AJ520">
        <v>3</v>
      </c>
      <c r="AK520">
        <v>53</v>
      </c>
      <c r="AL520" t="s">
        <v>2439</v>
      </c>
      <c r="AM520" t="s">
        <v>1411</v>
      </c>
      <c r="AN520" t="s">
        <v>2440</v>
      </c>
      <c r="AO520" t="s">
        <v>10078</v>
      </c>
      <c r="AP520" t="s">
        <v>10079</v>
      </c>
      <c r="AQ520" t="s">
        <v>74</v>
      </c>
      <c r="AR520" t="s">
        <v>10068</v>
      </c>
      <c r="AS520" t="s">
        <v>10080</v>
      </c>
      <c r="AT520" t="s">
        <v>9658</v>
      </c>
      <c r="AU520">
        <v>2014</v>
      </c>
      <c r="AV520">
        <v>117</v>
      </c>
      <c r="AW520" t="s">
        <v>74</v>
      </c>
      <c r="AX520" t="s">
        <v>74</v>
      </c>
      <c r="AY520" t="s">
        <v>74</v>
      </c>
      <c r="AZ520" t="s">
        <v>74</v>
      </c>
      <c r="BA520" t="s">
        <v>74</v>
      </c>
      <c r="BB520">
        <v>223</v>
      </c>
      <c r="BC520">
        <v>231</v>
      </c>
      <c r="BD520" t="s">
        <v>74</v>
      </c>
      <c r="BE520" t="s">
        <v>10081</v>
      </c>
      <c r="BF520" t="str">
        <f>HYPERLINK("http://dx.doi.org/10.1016/j.chemosphere.2014.06.091","http://dx.doi.org/10.1016/j.chemosphere.2014.06.091")</f>
        <v>http://dx.doi.org/10.1016/j.chemosphere.2014.06.091</v>
      </c>
      <c r="BG520" t="s">
        <v>74</v>
      </c>
      <c r="BH520" t="s">
        <v>74</v>
      </c>
      <c r="BI520">
        <v>9</v>
      </c>
      <c r="BJ520" t="s">
        <v>1611</v>
      </c>
      <c r="BK520" t="s">
        <v>91</v>
      </c>
      <c r="BL520" t="s">
        <v>395</v>
      </c>
      <c r="BM520" t="s">
        <v>10082</v>
      </c>
      <c r="BN520">
        <v>25078614</v>
      </c>
      <c r="BO520" t="s">
        <v>74</v>
      </c>
      <c r="BP520" t="s">
        <v>74</v>
      </c>
      <c r="BQ520" t="s">
        <v>74</v>
      </c>
      <c r="BR520" t="s">
        <v>93</v>
      </c>
      <c r="BS520" t="s">
        <v>10083</v>
      </c>
      <c r="BT520" t="str">
        <f>HYPERLINK("https%3A%2F%2Fwww.webofscience.com%2Fwos%2Fwoscc%2Ffull-record%2FWOS:000347263300033","View Full Record in Web of Science")</f>
        <v>View Full Record in Web of Science</v>
      </c>
    </row>
    <row r="521" spans="1:72" x14ac:dyDescent="0.15">
      <c r="A521" t="s">
        <v>72</v>
      </c>
      <c r="B521" t="s">
        <v>10084</v>
      </c>
      <c r="C521" t="s">
        <v>74</v>
      </c>
      <c r="D521" t="s">
        <v>74</v>
      </c>
      <c r="E521" t="s">
        <v>74</v>
      </c>
      <c r="F521" t="s">
        <v>10085</v>
      </c>
      <c r="G521" t="s">
        <v>74</v>
      </c>
      <c r="H521" t="s">
        <v>74</v>
      </c>
      <c r="I521" t="s">
        <v>10086</v>
      </c>
      <c r="J521" t="s">
        <v>9715</v>
      </c>
      <c r="K521" t="s">
        <v>74</v>
      </c>
      <c r="L521" t="s">
        <v>74</v>
      </c>
      <c r="M521" t="s">
        <v>78</v>
      </c>
      <c r="N521" t="s">
        <v>99</v>
      </c>
      <c r="O521" t="s">
        <v>74</v>
      </c>
      <c r="P521" t="s">
        <v>74</v>
      </c>
      <c r="Q521" t="s">
        <v>74</v>
      </c>
      <c r="R521" t="s">
        <v>74</v>
      </c>
      <c r="S521" t="s">
        <v>74</v>
      </c>
      <c r="T521" t="s">
        <v>10087</v>
      </c>
      <c r="U521" t="s">
        <v>10088</v>
      </c>
      <c r="V521" t="s">
        <v>10089</v>
      </c>
      <c r="W521" t="s">
        <v>10090</v>
      </c>
      <c r="X521" t="s">
        <v>10091</v>
      </c>
      <c r="Y521" t="s">
        <v>10092</v>
      </c>
      <c r="Z521" t="s">
        <v>10093</v>
      </c>
      <c r="AA521" t="s">
        <v>74</v>
      </c>
      <c r="AB521" t="s">
        <v>10094</v>
      </c>
      <c r="AC521" t="s">
        <v>10095</v>
      </c>
      <c r="AD521" t="s">
        <v>10096</v>
      </c>
      <c r="AE521" t="s">
        <v>10097</v>
      </c>
      <c r="AF521" t="s">
        <v>74</v>
      </c>
      <c r="AG521">
        <v>71</v>
      </c>
      <c r="AH521">
        <v>12</v>
      </c>
      <c r="AI521">
        <v>12</v>
      </c>
      <c r="AJ521">
        <v>1</v>
      </c>
      <c r="AK521">
        <v>19</v>
      </c>
      <c r="AL521" t="s">
        <v>2640</v>
      </c>
      <c r="AM521" t="s">
        <v>1176</v>
      </c>
      <c r="AN521" t="s">
        <v>2641</v>
      </c>
      <c r="AO521" t="s">
        <v>9728</v>
      </c>
      <c r="AP521" t="s">
        <v>9729</v>
      </c>
      <c r="AQ521" t="s">
        <v>74</v>
      </c>
      <c r="AR521" t="s">
        <v>9730</v>
      </c>
      <c r="AS521" t="s">
        <v>9731</v>
      </c>
      <c r="AT521" t="s">
        <v>9658</v>
      </c>
      <c r="AU521">
        <v>2014</v>
      </c>
      <c r="AV521">
        <v>123</v>
      </c>
      <c r="AW521" t="s">
        <v>74</v>
      </c>
      <c r="AX521" t="s">
        <v>3544</v>
      </c>
      <c r="AY521" t="s">
        <v>74</v>
      </c>
      <c r="AZ521" t="s">
        <v>74</v>
      </c>
      <c r="BA521" t="s">
        <v>74</v>
      </c>
      <c r="BB521">
        <v>36</v>
      </c>
      <c r="BC521">
        <v>43</v>
      </c>
      <c r="BD521" t="s">
        <v>74</v>
      </c>
      <c r="BE521" t="s">
        <v>10098</v>
      </c>
      <c r="BF521" t="str">
        <f>HYPERLINK("http://dx.doi.org/10.1016/j.gloplacha.2014.10.011","http://dx.doi.org/10.1016/j.gloplacha.2014.10.011")</f>
        <v>http://dx.doi.org/10.1016/j.gloplacha.2014.10.011</v>
      </c>
      <c r="BG521" t="s">
        <v>74</v>
      </c>
      <c r="BH521" t="s">
        <v>74</v>
      </c>
      <c r="BI521">
        <v>8</v>
      </c>
      <c r="BJ521" t="s">
        <v>372</v>
      </c>
      <c r="BK521" t="s">
        <v>91</v>
      </c>
      <c r="BL521" t="s">
        <v>373</v>
      </c>
      <c r="BM521" t="s">
        <v>10099</v>
      </c>
      <c r="BN521">
        <v>25844022</v>
      </c>
      <c r="BO521" t="s">
        <v>2744</v>
      </c>
      <c r="BP521" t="s">
        <v>74</v>
      </c>
      <c r="BQ521" t="s">
        <v>74</v>
      </c>
      <c r="BR521" t="s">
        <v>93</v>
      </c>
      <c r="BS521" t="s">
        <v>10100</v>
      </c>
      <c r="BT521" t="str">
        <f>HYPERLINK("https%3A%2F%2Fwww.webofscience.com%2Fwos%2Fwoscc%2Ffull-record%2FWOS:000347592300004","View Full Record in Web of Science")</f>
        <v>View Full Record in Web of Science</v>
      </c>
    </row>
    <row r="522" spans="1:72" x14ac:dyDescent="0.15">
      <c r="A522" t="s">
        <v>72</v>
      </c>
      <c r="B522" t="s">
        <v>10101</v>
      </c>
      <c r="C522" t="s">
        <v>74</v>
      </c>
      <c r="D522" t="s">
        <v>74</v>
      </c>
      <c r="E522" t="s">
        <v>74</v>
      </c>
      <c r="F522" t="s">
        <v>10102</v>
      </c>
      <c r="G522" t="s">
        <v>74</v>
      </c>
      <c r="H522" t="s">
        <v>74</v>
      </c>
      <c r="I522" t="s">
        <v>10103</v>
      </c>
      <c r="J522" t="s">
        <v>9715</v>
      </c>
      <c r="K522" t="s">
        <v>74</v>
      </c>
      <c r="L522" t="s">
        <v>74</v>
      </c>
      <c r="M522" t="s">
        <v>78</v>
      </c>
      <c r="N522" t="s">
        <v>99</v>
      </c>
      <c r="O522" t="s">
        <v>74</v>
      </c>
      <c r="P522" t="s">
        <v>74</v>
      </c>
      <c r="Q522" t="s">
        <v>74</v>
      </c>
      <c r="R522" t="s">
        <v>74</v>
      </c>
      <c r="S522" t="s">
        <v>74</v>
      </c>
      <c r="T522" t="s">
        <v>10104</v>
      </c>
      <c r="U522" t="s">
        <v>10105</v>
      </c>
      <c r="V522" t="s">
        <v>10106</v>
      </c>
      <c r="W522" t="s">
        <v>10107</v>
      </c>
      <c r="X522" t="s">
        <v>1211</v>
      </c>
      <c r="Y522" t="s">
        <v>10108</v>
      </c>
      <c r="Z522" t="s">
        <v>10109</v>
      </c>
      <c r="AA522" t="s">
        <v>74</v>
      </c>
      <c r="AB522" t="s">
        <v>10110</v>
      </c>
      <c r="AC522" t="s">
        <v>10111</v>
      </c>
      <c r="AD522" t="s">
        <v>10112</v>
      </c>
      <c r="AE522" t="s">
        <v>10113</v>
      </c>
      <c r="AF522" t="s">
        <v>74</v>
      </c>
      <c r="AG522">
        <v>53</v>
      </c>
      <c r="AH522">
        <v>18</v>
      </c>
      <c r="AI522">
        <v>20</v>
      </c>
      <c r="AJ522">
        <v>0</v>
      </c>
      <c r="AK522">
        <v>5</v>
      </c>
      <c r="AL522" t="s">
        <v>2640</v>
      </c>
      <c r="AM522" t="s">
        <v>1176</v>
      </c>
      <c r="AN522" t="s">
        <v>2641</v>
      </c>
      <c r="AO522" t="s">
        <v>9728</v>
      </c>
      <c r="AP522" t="s">
        <v>9729</v>
      </c>
      <c r="AQ522" t="s">
        <v>74</v>
      </c>
      <c r="AR522" t="s">
        <v>9730</v>
      </c>
      <c r="AS522" t="s">
        <v>9731</v>
      </c>
      <c r="AT522" t="s">
        <v>9658</v>
      </c>
      <c r="AU522">
        <v>2014</v>
      </c>
      <c r="AV522">
        <v>123</v>
      </c>
      <c r="AW522" t="s">
        <v>74</v>
      </c>
      <c r="AX522" t="s">
        <v>3544</v>
      </c>
      <c r="AY522" t="s">
        <v>74</v>
      </c>
      <c r="AZ522" t="s">
        <v>74</v>
      </c>
      <c r="BA522" t="s">
        <v>74</v>
      </c>
      <c r="BB522">
        <v>139</v>
      </c>
      <c r="BC522">
        <v>149</v>
      </c>
      <c r="BD522" t="s">
        <v>74</v>
      </c>
      <c r="BE522" t="s">
        <v>10114</v>
      </c>
      <c r="BF522" t="str">
        <f>HYPERLINK("http://dx.doi.org/10.1016/j.gloplacha.2014.09.006","http://dx.doi.org/10.1016/j.gloplacha.2014.09.006")</f>
        <v>http://dx.doi.org/10.1016/j.gloplacha.2014.09.006</v>
      </c>
      <c r="BG522" t="s">
        <v>74</v>
      </c>
      <c r="BH522" t="s">
        <v>74</v>
      </c>
      <c r="BI522">
        <v>11</v>
      </c>
      <c r="BJ522" t="s">
        <v>372</v>
      </c>
      <c r="BK522" t="s">
        <v>91</v>
      </c>
      <c r="BL522" t="s">
        <v>373</v>
      </c>
      <c r="BM522" t="s">
        <v>10099</v>
      </c>
      <c r="BN522" t="s">
        <v>74</v>
      </c>
      <c r="BO522" t="s">
        <v>2744</v>
      </c>
      <c r="BP522" t="s">
        <v>74</v>
      </c>
      <c r="BQ522" t="s">
        <v>74</v>
      </c>
      <c r="BR522" t="s">
        <v>93</v>
      </c>
      <c r="BS522" t="s">
        <v>10115</v>
      </c>
      <c r="BT522" t="str">
        <f>HYPERLINK("https%3A%2F%2Fwww.webofscience.com%2Fwos%2Fwoscc%2Ffull-record%2FWOS:000347592300013","View Full Record in Web of Science")</f>
        <v>View Full Record in Web of Science</v>
      </c>
    </row>
    <row r="523" spans="1:72" x14ac:dyDescent="0.15">
      <c r="A523" t="s">
        <v>72</v>
      </c>
      <c r="B523" t="s">
        <v>10116</v>
      </c>
      <c r="C523" t="s">
        <v>74</v>
      </c>
      <c r="D523" t="s">
        <v>74</v>
      </c>
      <c r="E523" t="s">
        <v>74</v>
      </c>
      <c r="F523" t="s">
        <v>10117</v>
      </c>
      <c r="G523" t="s">
        <v>74</v>
      </c>
      <c r="H523" t="s">
        <v>74</v>
      </c>
      <c r="I523" t="s">
        <v>10118</v>
      </c>
      <c r="J523" t="s">
        <v>10119</v>
      </c>
      <c r="K523" t="s">
        <v>74</v>
      </c>
      <c r="L523" t="s">
        <v>74</v>
      </c>
      <c r="M523" t="s">
        <v>78</v>
      </c>
      <c r="N523" t="s">
        <v>99</v>
      </c>
      <c r="O523" t="s">
        <v>74</v>
      </c>
      <c r="P523" t="s">
        <v>74</v>
      </c>
      <c r="Q523" t="s">
        <v>74</v>
      </c>
      <c r="R523" t="s">
        <v>74</v>
      </c>
      <c r="S523" t="s">
        <v>74</v>
      </c>
      <c r="T523" t="s">
        <v>74</v>
      </c>
      <c r="U523" t="s">
        <v>10120</v>
      </c>
      <c r="V523" t="s">
        <v>10121</v>
      </c>
      <c r="W523" t="s">
        <v>10122</v>
      </c>
      <c r="X523" t="s">
        <v>10123</v>
      </c>
      <c r="Y523" t="s">
        <v>10124</v>
      </c>
      <c r="Z523" t="s">
        <v>10125</v>
      </c>
      <c r="AA523" t="s">
        <v>10126</v>
      </c>
      <c r="AB523" t="s">
        <v>74</v>
      </c>
      <c r="AC523" t="s">
        <v>10127</v>
      </c>
      <c r="AD523" t="s">
        <v>10128</v>
      </c>
      <c r="AE523" t="s">
        <v>10129</v>
      </c>
      <c r="AF523" t="s">
        <v>74</v>
      </c>
      <c r="AG523">
        <v>50</v>
      </c>
      <c r="AH523">
        <v>7</v>
      </c>
      <c r="AI523">
        <v>8</v>
      </c>
      <c r="AJ523">
        <v>0</v>
      </c>
      <c r="AK523">
        <v>9</v>
      </c>
      <c r="AL523" t="s">
        <v>10130</v>
      </c>
      <c r="AM523" t="s">
        <v>2584</v>
      </c>
      <c r="AN523" t="s">
        <v>10131</v>
      </c>
      <c r="AO523" t="s">
        <v>10132</v>
      </c>
      <c r="AP523" t="s">
        <v>10133</v>
      </c>
      <c r="AQ523" t="s">
        <v>74</v>
      </c>
      <c r="AR523" t="s">
        <v>10134</v>
      </c>
      <c r="AS523" t="s">
        <v>10135</v>
      </c>
      <c r="AT523" t="s">
        <v>9658</v>
      </c>
      <c r="AU523">
        <v>2014</v>
      </c>
      <c r="AV523">
        <v>26</v>
      </c>
      <c r="AW523">
        <v>12</v>
      </c>
      <c r="AX523" t="s">
        <v>74</v>
      </c>
      <c r="AY523" t="s">
        <v>74</v>
      </c>
      <c r="AZ523" t="s">
        <v>74</v>
      </c>
      <c r="BA523" t="s">
        <v>74</v>
      </c>
      <c r="BB523" t="s">
        <v>74</v>
      </c>
      <c r="BC523" t="s">
        <v>74</v>
      </c>
      <c r="BD523">
        <v>126605</v>
      </c>
      <c r="BE523" t="s">
        <v>10136</v>
      </c>
      <c r="BF523" t="str">
        <f>HYPERLINK("http://dx.doi.org/10.1063/1.4904878","http://dx.doi.org/10.1063/1.4904878")</f>
        <v>http://dx.doi.org/10.1063/1.4904878</v>
      </c>
      <c r="BG523" t="s">
        <v>74</v>
      </c>
      <c r="BH523" t="s">
        <v>74</v>
      </c>
      <c r="BI523">
        <v>26</v>
      </c>
      <c r="BJ523" t="s">
        <v>10137</v>
      </c>
      <c r="BK523" t="s">
        <v>91</v>
      </c>
      <c r="BL523" t="s">
        <v>10138</v>
      </c>
      <c r="BM523" t="s">
        <v>10139</v>
      </c>
      <c r="BN523" t="s">
        <v>74</v>
      </c>
      <c r="BO523" t="s">
        <v>10140</v>
      </c>
      <c r="BP523" t="s">
        <v>74</v>
      </c>
      <c r="BQ523" t="s">
        <v>74</v>
      </c>
      <c r="BR523" t="s">
        <v>93</v>
      </c>
      <c r="BS523" t="s">
        <v>10141</v>
      </c>
      <c r="BT523" t="str">
        <f>HYPERLINK("https%3A%2F%2Fwww.webofscience.com%2Fwos%2Fwoscc%2Ffull-record%2FWOS:000347161600061","View Full Record in Web of Science")</f>
        <v>View Full Record in Web of Science</v>
      </c>
    </row>
    <row r="524" spans="1:72" x14ac:dyDescent="0.15">
      <c r="A524" t="s">
        <v>72</v>
      </c>
      <c r="B524" t="s">
        <v>10142</v>
      </c>
      <c r="C524" t="s">
        <v>74</v>
      </c>
      <c r="D524" t="s">
        <v>74</v>
      </c>
      <c r="E524" t="s">
        <v>74</v>
      </c>
      <c r="F524" t="s">
        <v>10143</v>
      </c>
      <c r="G524" t="s">
        <v>74</v>
      </c>
      <c r="H524" t="s">
        <v>74</v>
      </c>
      <c r="I524" t="s">
        <v>10144</v>
      </c>
      <c r="J524" t="s">
        <v>10145</v>
      </c>
      <c r="K524" t="s">
        <v>74</v>
      </c>
      <c r="L524" t="s">
        <v>74</v>
      </c>
      <c r="M524" t="s">
        <v>78</v>
      </c>
      <c r="N524" t="s">
        <v>99</v>
      </c>
      <c r="O524" t="s">
        <v>74</v>
      </c>
      <c r="P524" t="s">
        <v>74</v>
      </c>
      <c r="Q524" t="s">
        <v>74</v>
      </c>
      <c r="R524" t="s">
        <v>74</v>
      </c>
      <c r="S524" t="s">
        <v>74</v>
      </c>
      <c r="T524" t="s">
        <v>10146</v>
      </c>
      <c r="U524" t="s">
        <v>10147</v>
      </c>
      <c r="V524" t="s">
        <v>10148</v>
      </c>
      <c r="W524" t="s">
        <v>10149</v>
      </c>
      <c r="X524" t="s">
        <v>10150</v>
      </c>
      <c r="Y524" t="s">
        <v>10151</v>
      </c>
      <c r="Z524" t="s">
        <v>10152</v>
      </c>
      <c r="AA524" t="s">
        <v>74</v>
      </c>
      <c r="AB524" t="s">
        <v>10153</v>
      </c>
      <c r="AC524" t="s">
        <v>10154</v>
      </c>
      <c r="AD524" t="s">
        <v>10155</v>
      </c>
      <c r="AE524" t="s">
        <v>10156</v>
      </c>
      <c r="AF524" t="s">
        <v>74</v>
      </c>
      <c r="AG524">
        <v>63</v>
      </c>
      <c r="AH524">
        <v>9</v>
      </c>
      <c r="AI524">
        <v>9</v>
      </c>
      <c r="AJ524">
        <v>0</v>
      </c>
      <c r="AK524">
        <v>10</v>
      </c>
      <c r="AL524" t="s">
        <v>1175</v>
      </c>
      <c r="AM524" t="s">
        <v>1176</v>
      </c>
      <c r="AN524" t="s">
        <v>2938</v>
      </c>
      <c r="AO524" t="s">
        <v>10157</v>
      </c>
      <c r="AP524" t="s">
        <v>10158</v>
      </c>
      <c r="AQ524" t="s">
        <v>74</v>
      </c>
      <c r="AR524" t="s">
        <v>10159</v>
      </c>
      <c r="AS524" t="s">
        <v>10160</v>
      </c>
      <c r="AT524" t="s">
        <v>9658</v>
      </c>
      <c r="AU524">
        <v>2014</v>
      </c>
      <c r="AV524">
        <v>211</v>
      </c>
      <c r="AW524" t="s">
        <v>74</v>
      </c>
      <c r="AX524" t="s">
        <v>74</v>
      </c>
      <c r="AY524" t="s">
        <v>74</v>
      </c>
      <c r="AZ524" t="s">
        <v>74</v>
      </c>
      <c r="BA524" t="s">
        <v>74</v>
      </c>
      <c r="BB524">
        <v>55</v>
      </c>
      <c r="BC524">
        <v>65</v>
      </c>
      <c r="BD524" t="s">
        <v>74</v>
      </c>
      <c r="BE524" t="s">
        <v>10161</v>
      </c>
      <c r="BF524" t="str">
        <f>HYPERLINK("http://dx.doi.org/10.1016/j.revpalbo.2014.09.002","http://dx.doi.org/10.1016/j.revpalbo.2014.09.002")</f>
        <v>http://dx.doi.org/10.1016/j.revpalbo.2014.09.002</v>
      </c>
      <c r="BG524" t="s">
        <v>74</v>
      </c>
      <c r="BH524" t="s">
        <v>74</v>
      </c>
      <c r="BI524">
        <v>11</v>
      </c>
      <c r="BJ524" t="s">
        <v>10162</v>
      </c>
      <c r="BK524" t="s">
        <v>91</v>
      </c>
      <c r="BL524" t="s">
        <v>10162</v>
      </c>
      <c r="BM524" t="s">
        <v>10163</v>
      </c>
      <c r="BN524" t="s">
        <v>74</v>
      </c>
      <c r="BO524" t="s">
        <v>2056</v>
      </c>
      <c r="BP524" t="s">
        <v>74</v>
      </c>
      <c r="BQ524" t="s">
        <v>74</v>
      </c>
      <c r="BR524" t="s">
        <v>93</v>
      </c>
      <c r="BS524" t="s">
        <v>10164</v>
      </c>
      <c r="BT524" t="str">
        <f>HYPERLINK("https%3A%2F%2Fwww.webofscience.com%2Fwos%2Fwoscc%2Ffull-record%2FWOS:000347136600004","View Full Record in Web of Science")</f>
        <v>View Full Record in Web of Science</v>
      </c>
    </row>
    <row r="525" spans="1:72" x14ac:dyDescent="0.15">
      <c r="A525" t="s">
        <v>72</v>
      </c>
      <c r="B525" t="s">
        <v>10165</v>
      </c>
      <c r="C525" t="s">
        <v>74</v>
      </c>
      <c r="D525" t="s">
        <v>74</v>
      </c>
      <c r="E525" t="s">
        <v>74</v>
      </c>
      <c r="F525" t="s">
        <v>10166</v>
      </c>
      <c r="G525" t="s">
        <v>74</v>
      </c>
      <c r="H525" t="s">
        <v>74</v>
      </c>
      <c r="I525" t="s">
        <v>10167</v>
      </c>
      <c r="J525" t="s">
        <v>10168</v>
      </c>
      <c r="K525" t="s">
        <v>74</v>
      </c>
      <c r="L525" t="s">
        <v>74</v>
      </c>
      <c r="M525" t="s">
        <v>78</v>
      </c>
      <c r="N525" t="s">
        <v>99</v>
      </c>
      <c r="O525" t="s">
        <v>74</v>
      </c>
      <c r="P525" t="s">
        <v>74</v>
      </c>
      <c r="Q525" t="s">
        <v>74</v>
      </c>
      <c r="R525" t="s">
        <v>74</v>
      </c>
      <c r="S525" t="s">
        <v>74</v>
      </c>
      <c r="T525" t="s">
        <v>10169</v>
      </c>
      <c r="U525" t="s">
        <v>10170</v>
      </c>
      <c r="V525" t="s">
        <v>10171</v>
      </c>
      <c r="W525" t="s">
        <v>10172</v>
      </c>
      <c r="X525" t="s">
        <v>10173</v>
      </c>
      <c r="Y525" t="s">
        <v>10174</v>
      </c>
      <c r="Z525" t="s">
        <v>10175</v>
      </c>
      <c r="AA525" t="s">
        <v>10176</v>
      </c>
      <c r="AB525" t="s">
        <v>10177</v>
      </c>
      <c r="AC525" t="s">
        <v>10178</v>
      </c>
      <c r="AD525" t="s">
        <v>10179</v>
      </c>
      <c r="AE525" t="s">
        <v>10180</v>
      </c>
      <c r="AF525" t="s">
        <v>74</v>
      </c>
      <c r="AG525">
        <v>20</v>
      </c>
      <c r="AH525">
        <v>7</v>
      </c>
      <c r="AI525">
        <v>7</v>
      </c>
      <c r="AJ525">
        <v>0</v>
      </c>
      <c r="AK525">
        <v>20</v>
      </c>
      <c r="AL525" t="s">
        <v>4624</v>
      </c>
      <c r="AM525" t="s">
        <v>2007</v>
      </c>
      <c r="AN525" t="s">
        <v>2008</v>
      </c>
      <c r="AO525" t="s">
        <v>10181</v>
      </c>
      <c r="AP525" t="s">
        <v>10182</v>
      </c>
      <c r="AQ525" t="s">
        <v>74</v>
      </c>
      <c r="AR525" t="s">
        <v>10168</v>
      </c>
      <c r="AS525" t="s">
        <v>10183</v>
      </c>
      <c r="AT525" t="s">
        <v>9658</v>
      </c>
      <c r="AU525">
        <v>2014</v>
      </c>
      <c r="AV525">
        <v>70</v>
      </c>
      <c r="AW525">
        <v>4</v>
      </c>
      <c r="AX525" t="s">
        <v>74</v>
      </c>
      <c r="AY525" t="s">
        <v>74</v>
      </c>
      <c r="AZ525" t="s">
        <v>74</v>
      </c>
      <c r="BA525" t="s">
        <v>74</v>
      </c>
      <c r="BB525">
        <v>962</v>
      </c>
      <c r="BC525">
        <v>971</v>
      </c>
      <c r="BD525" t="s">
        <v>74</v>
      </c>
      <c r="BE525" t="s">
        <v>10184</v>
      </c>
      <c r="BF525" t="str">
        <f>HYPERLINK("http://dx.doi.org/10.1111/biom.12195","http://dx.doi.org/10.1111/biom.12195")</f>
        <v>http://dx.doi.org/10.1111/biom.12195</v>
      </c>
      <c r="BG525" t="s">
        <v>74</v>
      </c>
      <c r="BH525" t="s">
        <v>74</v>
      </c>
      <c r="BI525">
        <v>10</v>
      </c>
      <c r="BJ525" t="s">
        <v>10185</v>
      </c>
      <c r="BK525" t="s">
        <v>91</v>
      </c>
      <c r="BL525" t="s">
        <v>10186</v>
      </c>
      <c r="BM525" t="s">
        <v>10187</v>
      </c>
      <c r="BN525">
        <v>24942186</v>
      </c>
      <c r="BO525" t="s">
        <v>74</v>
      </c>
      <c r="BP525" t="s">
        <v>74</v>
      </c>
      <c r="BQ525" t="s">
        <v>74</v>
      </c>
      <c r="BR525" t="s">
        <v>93</v>
      </c>
      <c r="BS525" t="s">
        <v>10188</v>
      </c>
      <c r="BT525" t="str">
        <f>HYPERLINK("https%3A%2F%2Fwww.webofscience.com%2Fwos%2Fwoscc%2Ffull-record%2FWOS:000346827500020","View Full Record in Web of Science")</f>
        <v>View Full Record in Web of Science</v>
      </c>
    </row>
    <row r="526" spans="1:72" x14ac:dyDescent="0.15">
      <c r="A526" t="s">
        <v>72</v>
      </c>
      <c r="B526" t="s">
        <v>10189</v>
      </c>
      <c r="C526" t="s">
        <v>74</v>
      </c>
      <c r="D526" t="s">
        <v>74</v>
      </c>
      <c r="E526" t="s">
        <v>74</v>
      </c>
      <c r="F526" t="s">
        <v>10190</v>
      </c>
      <c r="G526" t="s">
        <v>74</v>
      </c>
      <c r="H526" t="s">
        <v>74</v>
      </c>
      <c r="I526" t="s">
        <v>10191</v>
      </c>
      <c r="J526" t="s">
        <v>10192</v>
      </c>
      <c r="K526" t="s">
        <v>74</v>
      </c>
      <c r="L526" t="s">
        <v>74</v>
      </c>
      <c r="M526" t="s">
        <v>78</v>
      </c>
      <c r="N526" t="s">
        <v>99</v>
      </c>
      <c r="O526" t="s">
        <v>74</v>
      </c>
      <c r="P526" t="s">
        <v>74</v>
      </c>
      <c r="Q526" t="s">
        <v>74</v>
      </c>
      <c r="R526" t="s">
        <v>74</v>
      </c>
      <c r="S526" t="s">
        <v>74</v>
      </c>
      <c r="T526" t="s">
        <v>74</v>
      </c>
      <c r="U526" t="s">
        <v>10193</v>
      </c>
      <c r="V526" t="s">
        <v>10194</v>
      </c>
      <c r="W526" t="s">
        <v>10195</v>
      </c>
      <c r="X526" t="s">
        <v>10196</v>
      </c>
      <c r="Y526" t="s">
        <v>10197</v>
      </c>
      <c r="Z526" t="s">
        <v>10198</v>
      </c>
      <c r="AA526" t="s">
        <v>10199</v>
      </c>
      <c r="AB526" t="s">
        <v>10200</v>
      </c>
      <c r="AC526" t="s">
        <v>10201</v>
      </c>
      <c r="AD526" t="s">
        <v>10201</v>
      </c>
      <c r="AE526" t="s">
        <v>10202</v>
      </c>
      <c r="AF526" t="s">
        <v>74</v>
      </c>
      <c r="AG526">
        <v>69</v>
      </c>
      <c r="AH526">
        <v>17</v>
      </c>
      <c r="AI526">
        <v>17</v>
      </c>
      <c r="AJ526">
        <v>0</v>
      </c>
      <c r="AK526">
        <v>12</v>
      </c>
      <c r="AL526" t="s">
        <v>6201</v>
      </c>
      <c r="AM526" t="s">
        <v>6202</v>
      </c>
      <c r="AN526" t="s">
        <v>6203</v>
      </c>
      <c r="AO526" t="s">
        <v>10203</v>
      </c>
      <c r="AP526" t="s">
        <v>74</v>
      </c>
      <c r="AQ526" t="s">
        <v>74</v>
      </c>
      <c r="AR526" t="s">
        <v>10192</v>
      </c>
      <c r="AS526" t="s">
        <v>10204</v>
      </c>
      <c r="AT526" t="s">
        <v>9658</v>
      </c>
      <c r="AU526">
        <v>2014</v>
      </c>
      <c r="AV526">
        <v>10</v>
      </c>
      <c r="AW526">
        <v>6</v>
      </c>
      <c r="AX526" t="s">
        <v>74</v>
      </c>
      <c r="AY526" t="s">
        <v>74</v>
      </c>
      <c r="AZ526" t="s">
        <v>74</v>
      </c>
      <c r="BA526" t="s">
        <v>74</v>
      </c>
      <c r="BB526">
        <v>1411</v>
      </c>
      <c r="BC526">
        <v>1418</v>
      </c>
      <c r="BD526" t="s">
        <v>74</v>
      </c>
      <c r="BE526" t="s">
        <v>10205</v>
      </c>
      <c r="BF526" t="str">
        <f>HYPERLINK("http://dx.doi.org/10.1130/GES01074.1","http://dx.doi.org/10.1130/GES01074.1")</f>
        <v>http://dx.doi.org/10.1130/GES01074.1</v>
      </c>
      <c r="BG526" t="s">
        <v>74</v>
      </c>
      <c r="BH526" t="s">
        <v>74</v>
      </c>
      <c r="BI526">
        <v>8</v>
      </c>
      <c r="BJ526" t="s">
        <v>1953</v>
      </c>
      <c r="BK526" t="s">
        <v>91</v>
      </c>
      <c r="BL526" t="s">
        <v>1954</v>
      </c>
      <c r="BM526" t="s">
        <v>10206</v>
      </c>
      <c r="BN526" t="s">
        <v>74</v>
      </c>
      <c r="BO526" t="s">
        <v>159</v>
      </c>
      <c r="BP526" t="s">
        <v>74</v>
      </c>
      <c r="BQ526" t="s">
        <v>74</v>
      </c>
      <c r="BR526" t="s">
        <v>93</v>
      </c>
      <c r="BS526" t="s">
        <v>10207</v>
      </c>
      <c r="BT526" t="str">
        <f>HYPERLINK("https%3A%2F%2Fwww.webofscience.com%2Fwos%2Fwoscc%2Ffull-record%2FWOS:000346752400019","View Full Record in Web of Science")</f>
        <v>View Full Record in Web of Science</v>
      </c>
    </row>
    <row r="527" spans="1:72" x14ac:dyDescent="0.15">
      <c r="A527" t="s">
        <v>72</v>
      </c>
      <c r="B527" t="s">
        <v>10208</v>
      </c>
      <c r="C527" t="s">
        <v>74</v>
      </c>
      <c r="D527" t="s">
        <v>74</v>
      </c>
      <c r="E527" t="s">
        <v>74</v>
      </c>
      <c r="F527" t="s">
        <v>10209</v>
      </c>
      <c r="G527" t="s">
        <v>74</v>
      </c>
      <c r="H527" t="s">
        <v>74</v>
      </c>
      <c r="I527" t="s">
        <v>10210</v>
      </c>
      <c r="J527" t="s">
        <v>10211</v>
      </c>
      <c r="K527" t="s">
        <v>74</v>
      </c>
      <c r="L527" t="s">
        <v>74</v>
      </c>
      <c r="M527" t="s">
        <v>78</v>
      </c>
      <c r="N527" t="s">
        <v>99</v>
      </c>
      <c r="O527" t="s">
        <v>74</v>
      </c>
      <c r="P527" t="s">
        <v>74</v>
      </c>
      <c r="Q527" t="s">
        <v>74</v>
      </c>
      <c r="R527" t="s">
        <v>74</v>
      </c>
      <c r="S527" t="s">
        <v>74</v>
      </c>
      <c r="T527" t="s">
        <v>10212</v>
      </c>
      <c r="U527" t="s">
        <v>10213</v>
      </c>
      <c r="V527" t="s">
        <v>10214</v>
      </c>
      <c r="W527" t="s">
        <v>10215</v>
      </c>
      <c r="X527" t="s">
        <v>10216</v>
      </c>
      <c r="Y527" t="s">
        <v>10217</v>
      </c>
      <c r="Z527" t="s">
        <v>10218</v>
      </c>
      <c r="AA527" t="s">
        <v>10219</v>
      </c>
      <c r="AB527" t="s">
        <v>10220</v>
      </c>
      <c r="AC527" t="s">
        <v>74</v>
      </c>
      <c r="AD527" t="s">
        <v>74</v>
      </c>
      <c r="AE527" t="s">
        <v>74</v>
      </c>
      <c r="AF527" t="s">
        <v>74</v>
      </c>
      <c r="AG527">
        <v>49</v>
      </c>
      <c r="AH527">
        <v>18</v>
      </c>
      <c r="AI527">
        <v>18</v>
      </c>
      <c r="AJ527">
        <v>1</v>
      </c>
      <c r="AK527">
        <v>28</v>
      </c>
      <c r="AL527" t="s">
        <v>10221</v>
      </c>
      <c r="AM527" t="s">
        <v>10222</v>
      </c>
      <c r="AN527" t="s">
        <v>10223</v>
      </c>
      <c r="AO527" t="s">
        <v>10224</v>
      </c>
      <c r="AP527" t="s">
        <v>10225</v>
      </c>
      <c r="AQ527" t="s">
        <v>74</v>
      </c>
      <c r="AR527" t="s">
        <v>10226</v>
      </c>
      <c r="AS527" t="s">
        <v>10227</v>
      </c>
      <c r="AT527" t="s">
        <v>9658</v>
      </c>
      <c r="AU527">
        <v>2014</v>
      </c>
      <c r="AV527">
        <v>25</v>
      </c>
      <c r="AW527">
        <v>6</v>
      </c>
      <c r="AX527" t="s">
        <v>74</v>
      </c>
      <c r="AY527" t="s">
        <v>74</v>
      </c>
      <c r="AZ527" t="s">
        <v>74</v>
      </c>
      <c r="BA527" t="s">
        <v>74</v>
      </c>
      <c r="BB527">
        <v>1018</v>
      </c>
      <c r="BC527">
        <v>1032</v>
      </c>
      <c r="BD527" t="s">
        <v>74</v>
      </c>
      <c r="BE527" t="s">
        <v>10228</v>
      </c>
      <c r="BF527" t="str">
        <f>HYPERLINK("http://dx.doi.org/10.1007/s12583-014-0505-8","http://dx.doi.org/10.1007/s12583-014-0505-8")</f>
        <v>http://dx.doi.org/10.1007/s12583-014-0505-8</v>
      </c>
      <c r="BG527" t="s">
        <v>74</v>
      </c>
      <c r="BH527" t="s">
        <v>74</v>
      </c>
      <c r="BI527">
        <v>15</v>
      </c>
      <c r="BJ527" t="s">
        <v>1953</v>
      </c>
      <c r="BK527" t="s">
        <v>91</v>
      </c>
      <c r="BL527" t="s">
        <v>1954</v>
      </c>
      <c r="BM527" t="s">
        <v>10229</v>
      </c>
      <c r="BN527" t="s">
        <v>74</v>
      </c>
      <c r="BO527" t="s">
        <v>74</v>
      </c>
      <c r="BP527" t="s">
        <v>74</v>
      </c>
      <c r="BQ527" t="s">
        <v>74</v>
      </c>
      <c r="BR527" t="s">
        <v>93</v>
      </c>
      <c r="BS527" t="s">
        <v>10230</v>
      </c>
      <c r="BT527" t="str">
        <f>HYPERLINK("https%3A%2F%2Fwww.webofscience.com%2Fwos%2Fwoscc%2Ffull-record%2FWOS:000346771700007","View Full Record in Web of Science")</f>
        <v>View Full Record in Web of Science</v>
      </c>
    </row>
    <row r="528" spans="1:72" x14ac:dyDescent="0.15">
      <c r="A528" t="s">
        <v>72</v>
      </c>
      <c r="B528" t="s">
        <v>10231</v>
      </c>
      <c r="C528" t="s">
        <v>74</v>
      </c>
      <c r="D528" t="s">
        <v>74</v>
      </c>
      <c r="E528" t="s">
        <v>74</v>
      </c>
      <c r="F528" t="s">
        <v>10232</v>
      </c>
      <c r="G528" t="s">
        <v>74</v>
      </c>
      <c r="H528" t="s">
        <v>74</v>
      </c>
      <c r="I528" t="s">
        <v>10233</v>
      </c>
      <c r="J528" t="s">
        <v>10234</v>
      </c>
      <c r="K528" t="s">
        <v>74</v>
      </c>
      <c r="L528" t="s">
        <v>74</v>
      </c>
      <c r="M528" t="s">
        <v>78</v>
      </c>
      <c r="N528" t="s">
        <v>99</v>
      </c>
      <c r="O528" t="s">
        <v>74</v>
      </c>
      <c r="P528" t="s">
        <v>74</v>
      </c>
      <c r="Q528" t="s">
        <v>74</v>
      </c>
      <c r="R528" t="s">
        <v>74</v>
      </c>
      <c r="S528" t="s">
        <v>74</v>
      </c>
      <c r="T528" t="s">
        <v>10235</v>
      </c>
      <c r="U528" t="s">
        <v>10236</v>
      </c>
      <c r="V528" t="s">
        <v>10237</v>
      </c>
      <c r="W528" t="s">
        <v>10238</v>
      </c>
      <c r="X528" t="s">
        <v>10239</v>
      </c>
      <c r="Y528" t="s">
        <v>10240</v>
      </c>
      <c r="Z528" t="s">
        <v>10241</v>
      </c>
      <c r="AA528" t="s">
        <v>10242</v>
      </c>
      <c r="AB528" t="s">
        <v>10243</v>
      </c>
      <c r="AC528" t="s">
        <v>10244</v>
      </c>
      <c r="AD528" t="s">
        <v>10245</v>
      </c>
      <c r="AE528" t="s">
        <v>10246</v>
      </c>
      <c r="AF528" t="s">
        <v>74</v>
      </c>
      <c r="AG528">
        <v>20</v>
      </c>
      <c r="AH528">
        <v>36</v>
      </c>
      <c r="AI528">
        <v>39</v>
      </c>
      <c r="AJ528">
        <v>1</v>
      </c>
      <c r="AK528">
        <v>40</v>
      </c>
      <c r="AL528" t="s">
        <v>1175</v>
      </c>
      <c r="AM528" t="s">
        <v>1176</v>
      </c>
      <c r="AN528" t="s">
        <v>2938</v>
      </c>
      <c r="AO528" t="s">
        <v>10247</v>
      </c>
      <c r="AP528" t="s">
        <v>10248</v>
      </c>
      <c r="AQ528" t="s">
        <v>74</v>
      </c>
      <c r="AR528" t="s">
        <v>10249</v>
      </c>
      <c r="AS528" t="s">
        <v>10250</v>
      </c>
      <c r="AT528" t="s">
        <v>9658</v>
      </c>
      <c r="AU528">
        <v>2014</v>
      </c>
      <c r="AV528">
        <v>8</v>
      </c>
      <c r="AW528">
        <v>4</v>
      </c>
      <c r="AX528" t="s">
        <v>74</v>
      </c>
      <c r="AY528" t="s">
        <v>74</v>
      </c>
      <c r="AZ528" t="s">
        <v>74</v>
      </c>
      <c r="BA528" t="s">
        <v>74</v>
      </c>
      <c r="BB528">
        <v>342</v>
      </c>
      <c r="BC528">
        <v>356</v>
      </c>
      <c r="BD528" t="s">
        <v>74</v>
      </c>
      <c r="BE528" t="s">
        <v>10251</v>
      </c>
      <c r="BF528" t="str">
        <f>HYPERLINK("http://dx.doi.org/10.1016/j.polar.2014.07.001","http://dx.doi.org/10.1016/j.polar.2014.07.001")</f>
        <v>http://dx.doi.org/10.1016/j.polar.2014.07.001</v>
      </c>
      <c r="BG528" t="s">
        <v>74</v>
      </c>
      <c r="BH528" t="s">
        <v>74</v>
      </c>
      <c r="BI528">
        <v>15</v>
      </c>
      <c r="BJ528" t="s">
        <v>613</v>
      </c>
      <c r="BK528" t="s">
        <v>91</v>
      </c>
      <c r="BL528" t="s">
        <v>614</v>
      </c>
      <c r="BM528" t="s">
        <v>10252</v>
      </c>
      <c r="BN528" t="s">
        <v>74</v>
      </c>
      <c r="BO528" t="s">
        <v>134</v>
      </c>
      <c r="BP528" t="s">
        <v>74</v>
      </c>
      <c r="BQ528" t="s">
        <v>74</v>
      </c>
      <c r="BR528" t="s">
        <v>93</v>
      </c>
      <c r="BS528" t="s">
        <v>10253</v>
      </c>
      <c r="BT528" t="str">
        <f>HYPERLINK("https%3A%2F%2Fwww.webofscience.com%2Fwos%2Fwoscc%2Ffull-record%2FWOS:000346894800003","View Full Record in Web of Science")</f>
        <v>View Full Record in Web of Science</v>
      </c>
    </row>
    <row r="529" spans="1:72" x14ac:dyDescent="0.15">
      <c r="A529" t="s">
        <v>72</v>
      </c>
      <c r="B529" t="s">
        <v>10254</v>
      </c>
      <c r="C529" t="s">
        <v>74</v>
      </c>
      <c r="D529" t="s">
        <v>74</v>
      </c>
      <c r="E529" t="s">
        <v>74</v>
      </c>
      <c r="F529" t="s">
        <v>10255</v>
      </c>
      <c r="G529" t="s">
        <v>74</v>
      </c>
      <c r="H529" t="s">
        <v>74</v>
      </c>
      <c r="I529" t="s">
        <v>10256</v>
      </c>
      <c r="J529" t="s">
        <v>10234</v>
      </c>
      <c r="K529" t="s">
        <v>74</v>
      </c>
      <c r="L529" t="s">
        <v>74</v>
      </c>
      <c r="M529" t="s">
        <v>78</v>
      </c>
      <c r="N529" t="s">
        <v>99</v>
      </c>
      <c r="O529" t="s">
        <v>74</v>
      </c>
      <c r="P529" t="s">
        <v>74</v>
      </c>
      <c r="Q529" t="s">
        <v>74</v>
      </c>
      <c r="R529" t="s">
        <v>74</v>
      </c>
      <c r="S529" t="s">
        <v>74</v>
      </c>
      <c r="T529" t="s">
        <v>10257</v>
      </c>
      <c r="U529" t="s">
        <v>10258</v>
      </c>
      <c r="V529" t="s">
        <v>10259</v>
      </c>
      <c r="W529" t="s">
        <v>10260</v>
      </c>
      <c r="X529" t="s">
        <v>10261</v>
      </c>
      <c r="Y529" t="s">
        <v>10262</v>
      </c>
      <c r="Z529" t="s">
        <v>10263</v>
      </c>
      <c r="AA529" t="s">
        <v>10264</v>
      </c>
      <c r="AB529" t="s">
        <v>10265</v>
      </c>
      <c r="AC529" t="s">
        <v>10266</v>
      </c>
      <c r="AD529" t="s">
        <v>10267</v>
      </c>
      <c r="AE529" t="s">
        <v>10268</v>
      </c>
      <c r="AF529" t="s">
        <v>74</v>
      </c>
      <c r="AG529">
        <v>80</v>
      </c>
      <c r="AH529">
        <v>19</v>
      </c>
      <c r="AI529">
        <v>20</v>
      </c>
      <c r="AJ529">
        <v>0</v>
      </c>
      <c r="AK529">
        <v>10</v>
      </c>
      <c r="AL529" t="s">
        <v>2640</v>
      </c>
      <c r="AM529" t="s">
        <v>1176</v>
      </c>
      <c r="AN529" t="s">
        <v>2641</v>
      </c>
      <c r="AO529" t="s">
        <v>10247</v>
      </c>
      <c r="AP529" t="s">
        <v>10248</v>
      </c>
      <c r="AQ529" t="s">
        <v>74</v>
      </c>
      <c r="AR529" t="s">
        <v>10249</v>
      </c>
      <c r="AS529" t="s">
        <v>10250</v>
      </c>
      <c r="AT529" t="s">
        <v>9658</v>
      </c>
      <c r="AU529">
        <v>2014</v>
      </c>
      <c r="AV529">
        <v>8</v>
      </c>
      <c r="AW529">
        <v>4</v>
      </c>
      <c r="AX529" t="s">
        <v>74</v>
      </c>
      <c r="AY529" t="s">
        <v>74</v>
      </c>
      <c r="AZ529" t="s">
        <v>74</v>
      </c>
      <c r="BA529" t="s">
        <v>74</v>
      </c>
      <c r="BB529">
        <v>370</v>
      </c>
      <c r="BC529">
        <v>384</v>
      </c>
      <c r="BD529" t="s">
        <v>74</v>
      </c>
      <c r="BE529" t="s">
        <v>10269</v>
      </c>
      <c r="BF529" t="str">
        <f>HYPERLINK("http://dx.doi.org/10.1016/j.polar.2014.08.001","http://dx.doi.org/10.1016/j.polar.2014.08.001")</f>
        <v>http://dx.doi.org/10.1016/j.polar.2014.08.001</v>
      </c>
      <c r="BG529" t="s">
        <v>74</v>
      </c>
      <c r="BH529" t="s">
        <v>74</v>
      </c>
      <c r="BI529">
        <v>15</v>
      </c>
      <c r="BJ529" t="s">
        <v>613</v>
      </c>
      <c r="BK529" t="s">
        <v>91</v>
      </c>
      <c r="BL529" t="s">
        <v>614</v>
      </c>
      <c r="BM529" t="s">
        <v>10252</v>
      </c>
      <c r="BN529" t="s">
        <v>74</v>
      </c>
      <c r="BO529" t="s">
        <v>134</v>
      </c>
      <c r="BP529" t="s">
        <v>74</v>
      </c>
      <c r="BQ529" t="s">
        <v>74</v>
      </c>
      <c r="BR529" t="s">
        <v>93</v>
      </c>
      <c r="BS529" t="s">
        <v>10270</v>
      </c>
      <c r="BT529" t="str">
        <f>HYPERLINK("https%3A%2F%2Fwww.webofscience.com%2Fwos%2Fwoscc%2Ffull-record%2FWOS:000346894800005","View Full Record in Web of Science")</f>
        <v>View Full Record in Web of Science</v>
      </c>
    </row>
    <row r="530" spans="1:72" x14ac:dyDescent="0.15">
      <c r="A530" t="s">
        <v>72</v>
      </c>
      <c r="B530" t="s">
        <v>10271</v>
      </c>
      <c r="C530" t="s">
        <v>74</v>
      </c>
      <c r="D530" t="s">
        <v>74</v>
      </c>
      <c r="E530" t="s">
        <v>74</v>
      </c>
      <c r="F530" t="s">
        <v>10272</v>
      </c>
      <c r="G530" t="s">
        <v>74</v>
      </c>
      <c r="H530" t="s">
        <v>74</v>
      </c>
      <c r="I530" t="s">
        <v>10273</v>
      </c>
      <c r="J530" t="s">
        <v>10274</v>
      </c>
      <c r="K530" t="s">
        <v>74</v>
      </c>
      <c r="L530" t="s">
        <v>74</v>
      </c>
      <c r="M530" t="s">
        <v>78</v>
      </c>
      <c r="N530" t="s">
        <v>99</v>
      </c>
      <c r="O530" t="s">
        <v>74</v>
      </c>
      <c r="P530" t="s">
        <v>74</v>
      </c>
      <c r="Q530" t="s">
        <v>74</v>
      </c>
      <c r="R530" t="s">
        <v>74</v>
      </c>
      <c r="S530" t="s">
        <v>74</v>
      </c>
      <c r="T530" t="s">
        <v>10275</v>
      </c>
      <c r="U530" t="s">
        <v>10276</v>
      </c>
      <c r="V530" t="s">
        <v>10277</v>
      </c>
      <c r="W530" t="s">
        <v>10278</v>
      </c>
      <c r="X530" t="s">
        <v>10279</v>
      </c>
      <c r="Y530" t="s">
        <v>10280</v>
      </c>
      <c r="Z530" t="s">
        <v>10281</v>
      </c>
      <c r="AA530" t="s">
        <v>10282</v>
      </c>
      <c r="AB530" t="s">
        <v>10283</v>
      </c>
      <c r="AC530" t="s">
        <v>10284</v>
      </c>
      <c r="AD530" t="s">
        <v>10285</v>
      </c>
      <c r="AE530" t="s">
        <v>10286</v>
      </c>
      <c r="AF530" t="s">
        <v>74</v>
      </c>
      <c r="AG530">
        <v>53</v>
      </c>
      <c r="AH530">
        <v>28</v>
      </c>
      <c r="AI530">
        <v>29</v>
      </c>
      <c r="AJ530">
        <v>1</v>
      </c>
      <c r="AK530">
        <v>65</v>
      </c>
      <c r="AL530" t="s">
        <v>2006</v>
      </c>
      <c r="AM530" t="s">
        <v>2007</v>
      </c>
      <c r="AN530" t="s">
        <v>2008</v>
      </c>
      <c r="AO530" t="s">
        <v>10287</v>
      </c>
      <c r="AP530" t="s">
        <v>10288</v>
      </c>
      <c r="AQ530" t="s">
        <v>74</v>
      </c>
      <c r="AR530" t="s">
        <v>10289</v>
      </c>
      <c r="AS530" t="s">
        <v>10290</v>
      </c>
      <c r="AT530" t="s">
        <v>9658</v>
      </c>
      <c r="AU530">
        <v>2014</v>
      </c>
      <c r="AV530">
        <v>54</v>
      </c>
      <c r="AW530">
        <v>12</v>
      </c>
      <c r="AX530" t="s">
        <v>74</v>
      </c>
      <c r="AY530" t="s">
        <v>74</v>
      </c>
      <c r="AZ530" t="s">
        <v>74</v>
      </c>
      <c r="BA530" t="s">
        <v>74</v>
      </c>
      <c r="BB530">
        <v>1331</v>
      </c>
      <c r="BC530">
        <v>1341</v>
      </c>
      <c r="BD530" t="s">
        <v>74</v>
      </c>
      <c r="BE530" t="s">
        <v>10291</v>
      </c>
      <c r="BF530" t="str">
        <f>HYPERLINK("http://dx.doi.org/10.1002/jobm.201400232","http://dx.doi.org/10.1002/jobm.201400232")</f>
        <v>http://dx.doi.org/10.1002/jobm.201400232</v>
      </c>
      <c r="BG530" t="s">
        <v>74</v>
      </c>
      <c r="BH530" t="s">
        <v>74</v>
      </c>
      <c r="BI530">
        <v>11</v>
      </c>
      <c r="BJ530" t="s">
        <v>5926</v>
      </c>
      <c r="BK530" t="s">
        <v>91</v>
      </c>
      <c r="BL530" t="s">
        <v>5926</v>
      </c>
      <c r="BM530" t="s">
        <v>10292</v>
      </c>
      <c r="BN530">
        <v>24920339</v>
      </c>
      <c r="BO530" t="s">
        <v>74</v>
      </c>
      <c r="BP530" t="s">
        <v>74</v>
      </c>
      <c r="BQ530" t="s">
        <v>74</v>
      </c>
      <c r="BR530" t="s">
        <v>93</v>
      </c>
      <c r="BS530" t="s">
        <v>10293</v>
      </c>
      <c r="BT530" t="str">
        <f>HYPERLINK("https%3A%2F%2Fwww.webofscience.com%2Fwos%2Fwoscc%2Ffull-record%2FWOS:000346260300006","View Full Record in Web of Science")</f>
        <v>View Full Record in Web of Science</v>
      </c>
    </row>
    <row r="531" spans="1:72" x14ac:dyDescent="0.15">
      <c r="A531" t="s">
        <v>72</v>
      </c>
      <c r="B531" t="s">
        <v>10294</v>
      </c>
      <c r="C531" t="s">
        <v>74</v>
      </c>
      <c r="D531" t="s">
        <v>74</v>
      </c>
      <c r="E531" t="s">
        <v>74</v>
      </c>
      <c r="F531" t="s">
        <v>10295</v>
      </c>
      <c r="G531" t="s">
        <v>74</v>
      </c>
      <c r="H531" t="s">
        <v>74</v>
      </c>
      <c r="I531" t="s">
        <v>10296</v>
      </c>
      <c r="J531" t="s">
        <v>10297</v>
      </c>
      <c r="K531" t="s">
        <v>74</v>
      </c>
      <c r="L531" t="s">
        <v>74</v>
      </c>
      <c r="M531" t="s">
        <v>78</v>
      </c>
      <c r="N531" t="s">
        <v>99</v>
      </c>
      <c r="O531" t="s">
        <v>74</v>
      </c>
      <c r="P531" t="s">
        <v>74</v>
      </c>
      <c r="Q531" t="s">
        <v>74</v>
      </c>
      <c r="R531" t="s">
        <v>74</v>
      </c>
      <c r="S531" t="s">
        <v>74</v>
      </c>
      <c r="T531" t="s">
        <v>10298</v>
      </c>
      <c r="U531" t="s">
        <v>10299</v>
      </c>
      <c r="V531" t="s">
        <v>10300</v>
      </c>
      <c r="W531" t="s">
        <v>10301</v>
      </c>
      <c r="X531" t="s">
        <v>10302</v>
      </c>
      <c r="Y531" t="s">
        <v>10303</v>
      </c>
      <c r="Z531" t="s">
        <v>10304</v>
      </c>
      <c r="AA531" t="s">
        <v>74</v>
      </c>
      <c r="AB531" t="s">
        <v>10305</v>
      </c>
      <c r="AC531" t="s">
        <v>10306</v>
      </c>
      <c r="AD531" t="s">
        <v>10306</v>
      </c>
      <c r="AE531" t="s">
        <v>10307</v>
      </c>
      <c r="AF531" t="s">
        <v>74</v>
      </c>
      <c r="AG531">
        <v>65</v>
      </c>
      <c r="AH531">
        <v>27</v>
      </c>
      <c r="AI531">
        <v>29</v>
      </c>
      <c r="AJ531">
        <v>0</v>
      </c>
      <c r="AK531">
        <v>25</v>
      </c>
      <c r="AL531" t="s">
        <v>2458</v>
      </c>
      <c r="AM531" t="s">
        <v>1411</v>
      </c>
      <c r="AN531" t="s">
        <v>2459</v>
      </c>
      <c r="AO531" t="s">
        <v>10308</v>
      </c>
      <c r="AP531" t="s">
        <v>10309</v>
      </c>
      <c r="AQ531" t="s">
        <v>74</v>
      </c>
      <c r="AR531" t="s">
        <v>10310</v>
      </c>
      <c r="AS531" t="s">
        <v>10311</v>
      </c>
      <c r="AT531" t="s">
        <v>9658</v>
      </c>
      <c r="AU531">
        <v>2014</v>
      </c>
      <c r="AV531">
        <v>138</v>
      </c>
      <c r="AW531" t="s">
        <v>74</v>
      </c>
      <c r="AX531" t="s">
        <v>74</v>
      </c>
      <c r="AY531" t="s">
        <v>74</v>
      </c>
      <c r="AZ531" t="s">
        <v>1437</v>
      </c>
      <c r="BA531" t="s">
        <v>74</v>
      </c>
      <c r="BB531">
        <v>364</v>
      </c>
      <c r="BC531">
        <v>374</v>
      </c>
      <c r="BD531" t="s">
        <v>74</v>
      </c>
      <c r="BE531" t="s">
        <v>10312</v>
      </c>
      <c r="BF531" t="str">
        <f>HYPERLINK("http://dx.doi.org/10.1016/j.jenvrad.2014.01.008","http://dx.doi.org/10.1016/j.jenvrad.2014.01.008")</f>
        <v>http://dx.doi.org/10.1016/j.jenvrad.2014.01.008</v>
      </c>
      <c r="BG531" t="s">
        <v>74</v>
      </c>
      <c r="BH531" t="s">
        <v>74</v>
      </c>
      <c r="BI531">
        <v>11</v>
      </c>
      <c r="BJ531" t="s">
        <v>1611</v>
      </c>
      <c r="BK531" t="s">
        <v>91</v>
      </c>
      <c r="BL531" t="s">
        <v>395</v>
      </c>
      <c r="BM531" t="s">
        <v>10313</v>
      </c>
      <c r="BN531">
        <v>24525181</v>
      </c>
      <c r="BO531" t="s">
        <v>74</v>
      </c>
      <c r="BP531" t="s">
        <v>74</v>
      </c>
      <c r="BQ531" t="s">
        <v>74</v>
      </c>
      <c r="BR531" t="s">
        <v>93</v>
      </c>
      <c r="BS531" t="s">
        <v>10314</v>
      </c>
      <c r="BT531" t="str">
        <f>HYPERLINK("https%3A%2F%2Fwww.webofscience.com%2Fwos%2Fwoscc%2Ffull-record%2FWOS:000346215100044","View Full Record in Web of Science")</f>
        <v>View Full Record in Web of Science</v>
      </c>
    </row>
    <row r="532" spans="1:72" x14ac:dyDescent="0.15">
      <c r="A532" t="s">
        <v>72</v>
      </c>
      <c r="B532" t="s">
        <v>10315</v>
      </c>
      <c r="C532" t="s">
        <v>74</v>
      </c>
      <c r="D532" t="s">
        <v>74</v>
      </c>
      <c r="E532" t="s">
        <v>74</v>
      </c>
      <c r="F532" t="s">
        <v>10316</v>
      </c>
      <c r="G532" t="s">
        <v>74</v>
      </c>
      <c r="H532" t="s">
        <v>74</v>
      </c>
      <c r="I532" t="s">
        <v>10317</v>
      </c>
      <c r="J532" t="s">
        <v>2280</v>
      </c>
      <c r="K532" t="s">
        <v>74</v>
      </c>
      <c r="L532" t="s">
        <v>74</v>
      </c>
      <c r="M532" t="s">
        <v>78</v>
      </c>
      <c r="N532" t="s">
        <v>99</v>
      </c>
      <c r="O532" t="s">
        <v>74</v>
      </c>
      <c r="P532" t="s">
        <v>74</v>
      </c>
      <c r="Q532" t="s">
        <v>74</v>
      </c>
      <c r="R532" t="s">
        <v>74</v>
      </c>
      <c r="S532" t="s">
        <v>74</v>
      </c>
      <c r="T532" t="s">
        <v>74</v>
      </c>
      <c r="U532" t="s">
        <v>74</v>
      </c>
      <c r="V532" t="s">
        <v>10318</v>
      </c>
      <c r="W532" t="s">
        <v>10319</v>
      </c>
      <c r="X532" t="s">
        <v>10320</v>
      </c>
      <c r="Y532" t="s">
        <v>10321</v>
      </c>
      <c r="Z532" t="s">
        <v>10322</v>
      </c>
      <c r="AA532" t="s">
        <v>10323</v>
      </c>
      <c r="AB532" t="s">
        <v>74</v>
      </c>
      <c r="AC532" t="s">
        <v>10324</v>
      </c>
      <c r="AD532" t="s">
        <v>10325</v>
      </c>
      <c r="AE532" t="s">
        <v>10326</v>
      </c>
      <c r="AF532" t="s">
        <v>74</v>
      </c>
      <c r="AG532">
        <v>10</v>
      </c>
      <c r="AH532">
        <v>3</v>
      </c>
      <c r="AI532">
        <v>4</v>
      </c>
      <c r="AJ532">
        <v>0</v>
      </c>
      <c r="AK532">
        <v>4</v>
      </c>
      <c r="AL532" t="s">
        <v>2132</v>
      </c>
      <c r="AM532" t="s">
        <v>342</v>
      </c>
      <c r="AN532" t="s">
        <v>2133</v>
      </c>
      <c r="AO532" t="s">
        <v>2291</v>
      </c>
      <c r="AP532" t="s">
        <v>2292</v>
      </c>
      <c r="AQ532" t="s">
        <v>74</v>
      </c>
      <c r="AR532" t="s">
        <v>2293</v>
      </c>
      <c r="AS532" t="s">
        <v>2294</v>
      </c>
      <c r="AT532" t="s">
        <v>9658</v>
      </c>
      <c r="AU532">
        <v>2014</v>
      </c>
      <c r="AV532">
        <v>54</v>
      </c>
      <c r="AW532">
        <v>7</v>
      </c>
      <c r="AX532" t="s">
        <v>74</v>
      </c>
      <c r="AY532" t="s">
        <v>74</v>
      </c>
      <c r="AZ532" t="s">
        <v>1437</v>
      </c>
      <c r="BA532" t="s">
        <v>74</v>
      </c>
      <c r="BB532">
        <v>926</v>
      </c>
      <c r="BC532">
        <v>932</v>
      </c>
      <c r="BD532" t="s">
        <v>74</v>
      </c>
      <c r="BE532" t="s">
        <v>10327</v>
      </c>
      <c r="BF532" t="str">
        <f>HYPERLINK("http://dx.doi.org/10.1134/S0016793214070032","http://dx.doi.org/10.1134/S0016793214070032")</f>
        <v>http://dx.doi.org/10.1134/S0016793214070032</v>
      </c>
      <c r="BG532" t="s">
        <v>74</v>
      </c>
      <c r="BH532" t="s">
        <v>74</v>
      </c>
      <c r="BI532">
        <v>7</v>
      </c>
      <c r="BJ532" t="s">
        <v>1902</v>
      </c>
      <c r="BK532" t="s">
        <v>91</v>
      </c>
      <c r="BL532" t="s">
        <v>1902</v>
      </c>
      <c r="BM532" t="s">
        <v>10328</v>
      </c>
      <c r="BN532" t="s">
        <v>74</v>
      </c>
      <c r="BO532" t="s">
        <v>74</v>
      </c>
      <c r="BP532" t="s">
        <v>74</v>
      </c>
      <c r="BQ532" t="s">
        <v>74</v>
      </c>
      <c r="BR532" t="s">
        <v>93</v>
      </c>
      <c r="BS532" t="s">
        <v>10329</v>
      </c>
      <c r="BT532" t="str">
        <f>HYPERLINK("https%3A%2F%2Fwww.webofscience.com%2Fwos%2Fwoscc%2Ffull-record%2FWOS:000345965100011","View Full Record in Web of Science")</f>
        <v>View Full Record in Web of Science</v>
      </c>
    </row>
    <row r="533" spans="1:72" x14ac:dyDescent="0.15">
      <c r="A533" t="s">
        <v>72</v>
      </c>
      <c r="B533" t="s">
        <v>10330</v>
      </c>
      <c r="C533" t="s">
        <v>74</v>
      </c>
      <c r="D533" t="s">
        <v>74</v>
      </c>
      <c r="E533" t="s">
        <v>74</v>
      </c>
      <c r="F533" t="s">
        <v>10331</v>
      </c>
      <c r="G533" t="s">
        <v>74</v>
      </c>
      <c r="H533" t="s">
        <v>74</v>
      </c>
      <c r="I533" t="s">
        <v>10332</v>
      </c>
      <c r="J533" t="s">
        <v>2526</v>
      </c>
      <c r="K533" t="s">
        <v>74</v>
      </c>
      <c r="L533" t="s">
        <v>74</v>
      </c>
      <c r="M533" t="s">
        <v>78</v>
      </c>
      <c r="N533" t="s">
        <v>99</v>
      </c>
      <c r="O533" t="s">
        <v>74</v>
      </c>
      <c r="P533" t="s">
        <v>74</v>
      </c>
      <c r="Q533" t="s">
        <v>74</v>
      </c>
      <c r="R533" t="s">
        <v>74</v>
      </c>
      <c r="S533" t="s">
        <v>74</v>
      </c>
      <c r="T533" t="s">
        <v>74</v>
      </c>
      <c r="U533" t="s">
        <v>10333</v>
      </c>
      <c r="V533" t="s">
        <v>10334</v>
      </c>
      <c r="W533" t="s">
        <v>10335</v>
      </c>
      <c r="X533" t="s">
        <v>10336</v>
      </c>
      <c r="Y533" t="s">
        <v>10337</v>
      </c>
      <c r="Z533" t="s">
        <v>10338</v>
      </c>
      <c r="AA533" t="s">
        <v>10339</v>
      </c>
      <c r="AB533" t="s">
        <v>74</v>
      </c>
      <c r="AC533" t="s">
        <v>10340</v>
      </c>
      <c r="AD533" t="s">
        <v>10341</v>
      </c>
      <c r="AE533" t="s">
        <v>10342</v>
      </c>
      <c r="AF533" t="s">
        <v>74</v>
      </c>
      <c r="AG533">
        <v>24</v>
      </c>
      <c r="AH533">
        <v>12</v>
      </c>
      <c r="AI533">
        <v>14</v>
      </c>
      <c r="AJ533">
        <v>1</v>
      </c>
      <c r="AK533">
        <v>16</v>
      </c>
      <c r="AL533" t="s">
        <v>1563</v>
      </c>
      <c r="AM533" t="s">
        <v>1564</v>
      </c>
      <c r="AN533" t="s">
        <v>10343</v>
      </c>
      <c r="AO533" t="s">
        <v>2538</v>
      </c>
      <c r="AP533" t="s">
        <v>2539</v>
      </c>
      <c r="AQ533" t="s">
        <v>74</v>
      </c>
      <c r="AR533" t="s">
        <v>2540</v>
      </c>
      <c r="AS533" t="s">
        <v>2541</v>
      </c>
      <c r="AT533" t="s">
        <v>9658</v>
      </c>
      <c r="AU533">
        <v>2014</v>
      </c>
      <c r="AV533">
        <v>27</v>
      </c>
      <c r="AW533">
        <v>23</v>
      </c>
      <c r="AX533" t="s">
        <v>74</v>
      </c>
      <c r="AY533" t="s">
        <v>74</v>
      </c>
      <c r="AZ533" t="s">
        <v>74</v>
      </c>
      <c r="BA533" t="s">
        <v>74</v>
      </c>
      <c r="BB533">
        <v>8740</v>
      </c>
      <c r="BC533">
        <v>8746</v>
      </c>
      <c r="BD533" t="s">
        <v>74</v>
      </c>
      <c r="BE533" t="s">
        <v>10344</v>
      </c>
      <c r="BF533" t="str">
        <f>HYPERLINK("http://dx.doi.org/10.1175/JCLI-D-14-00282.1","http://dx.doi.org/10.1175/JCLI-D-14-00282.1")</f>
        <v>http://dx.doi.org/10.1175/JCLI-D-14-00282.1</v>
      </c>
      <c r="BG533" t="s">
        <v>74</v>
      </c>
      <c r="BH533" t="s">
        <v>74</v>
      </c>
      <c r="BI533">
        <v>7</v>
      </c>
      <c r="BJ533" t="s">
        <v>226</v>
      </c>
      <c r="BK533" t="s">
        <v>91</v>
      </c>
      <c r="BL533" t="s">
        <v>226</v>
      </c>
      <c r="BM533" t="s">
        <v>10345</v>
      </c>
      <c r="BN533" t="s">
        <v>74</v>
      </c>
      <c r="BO533" t="s">
        <v>134</v>
      </c>
      <c r="BP533" t="s">
        <v>74</v>
      </c>
      <c r="BQ533" t="s">
        <v>74</v>
      </c>
      <c r="BR533" t="s">
        <v>93</v>
      </c>
      <c r="BS533" t="s">
        <v>10346</v>
      </c>
      <c r="BT533" t="str">
        <f>HYPERLINK("https%3A%2F%2Fwww.webofscience.com%2Fwos%2Fwoscc%2Ffull-record%2FWOS:000346055100009","View Full Record in Web of Science")</f>
        <v>View Full Record in Web of Science</v>
      </c>
    </row>
    <row r="534" spans="1:72" x14ac:dyDescent="0.15">
      <c r="A534" t="s">
        <v>72</v>
      </c>
      <c r="B534" t="s">
        <v>10347</v>
      </c>
      <c r="C534" t="s">
        <v>74</v>
      </c>
      <c r="D534" t="s">
        <v>74</v>
      </c>
      <c r="E534" t="s">
        <v>74</v>
      </c>
      <c r="F534" t="s">
        <v>10348</v>
      </c>
      <c r="G534" t="s">
        <v>74</v>
      </c>
      <c r="H534" t="s">
        <v>74</v>
      </c>
      <c r="I534" t="s">
        <v>10349</v>
      </c>
      <c r="J534" t="s">
        <v>2526</v>
      </c>
      <c r="K534" t="s">
        <v>74</v>
      </c>
      <c r="L534" t="s">
        <v>74</v>
      </c>
      <c r="M534" t="s">
        <v>78</v>
      </c>
      <c r="N534" t="s">
        <v>99</v>
      </c>
      <c r="O534" t="s">
        <v>74</v>
      </c>
      <c r="P534" t="s">
        <v>74</v>
      </c>
      <c r="Q534" t="s">
        <v>74</v>
      </c>
      <c r="R534" t="s">
        <v>74</v>
      </c>
      <c r="S534" t="s">
        <v>74</v>
      </c>
      <c r="T534" t="s">
        <v>74</v>
      </c>
      <c r="U534" t="s">
        <v>10350</v>
      </c>
      <c r="V534" t="s">
        <v>10351</v>
      </c>
      <c r="W534" t="s">
        <v>10352</v>
      </c>
      <c r="X534" t="s">
        <v>10353</v>
      </c>
      <c r="Y534" t="s">
        <v>10354</v>
      </c>
      <c r="Z534" t="s">
        <v>10355</v>
      </c>
      <c r="AA534" t="s">
        <v>10356</v>
      </c>
      <c r="AB534" t="s">
        <v>74</v>
      </c>
      <c r="AC534" t="s">
        <v>10357</v>
      </c>
      <c r="AD534" t="s">
        <v>10358</v>
      </c>
      <c r="AE534" t="s">
        <v>10359</v>
      </c>
      <c r="AF534" t="s">
        <v>74</v>
      </c>
      <c r="AG534">
        <v>63</v>
      </c>
      <c r="AH534">
        <v>32</v>
      </c>
      <c r="AI534">
        <v>34</v>
      </c>
      <c r="AJ534">
        <v>2</v>
      </c>
      <c r="AK534">
        <v>37</v>
      </c>
      <c r="AL534" t="s">
        <v>1563</v>
      </c>
      <c r="AM534" t="s">
        <v>1564</v>
      </c>
      <c r="AN534" t="s">
        <v>10343</v>
      </c>
      <c r="AO534" t="s">
        <v>2538</v>
      </c>
      <c r="AP534" t="s">
        <v>2539</v>
      </c>
      <c r="AQ534" t="s">
        <v>74</v>
      </c>
      <c r="AR534" t="s">
        <v>2540</v>
      </c>
      <c r="AS534" t="s">
        <v>2541</v>
      </c>
      <c r="AT534" t="s">
        <v>9658</v>
      </c>
      <c r="AU534">
        <v>2014</v>
      </c>
      <c r="AV534">
        <v>27</v>
      </c>
      <c r="AW534">
        <v>23</v>
      </c>
      <c r="AX534" t="s">
        <v>74</v>
      </c>
      <c r="AY534" t="s">
        <v>74</v>
      </c>
      <c r="AZ534" t="s">
        <v>74</v>
      </c>
      <c r="BA534" t="s">
        <v>74</v>
      </c>
      <c r="BB534">
        <v>8934</v>
      </c>
      <c r="BC534">
        <v>8955</v>
      </c>
      <c r="BD534" t="s">
        <v>74</v>
      </c>
      <c r="BE534" t="s">
        <v>10360</v>
      </c>
      <c r="BF534" t="str">
        <f>HYPERLINK("http://dx.doi.org/10.1175/JCLI-D-14-00296.1","http://dx.doi.org/10.1175/JCLI-D-14-00296.1")</f>
        <v>http://dx.doi.org/10.1175/JCLI-D-14-00296.1</v>
      </c>
      <c r="BG534" t="s">
        <v>74</v>
      </c>
      <c r="BH534" t="s">
        <v>74</v>
      </c>
      <c r="BI534">
        <v>22</v>
      </c>
      <c r="BJ534" t="s">
        <v>226</v>
      </c>
      <c r="BK534" t="s">
        <v>91</v>
      </c>
      <c r="BL534" t="s">
        <v>226</v>
      </c>
      <c r="BM534" t="s">
        <v>10345</v>
      </c>
      <c r="BN534" t="s">
        <v>74</v>
      </c>
      <c r="BO534" t="s">
        <v>375</v>
      </c>
      <c r="BP534" t="s">
        <v>74</v>
      </c>
      <c r="BQ534" t="s">
        <v>74</v>
      </c>
      <c r="BR534" t="s">
        <v>93</v>
      </c>
      <c r="BS534" t="s">
        <v>10361</v>
      </c>
      <c r="BT534" t="str">
        <f>HYPERLINK("https%3A%2F%2Fwww.webofscience.com%2Fwos%2Fwoscc%2Ffull-record%2FWOS:000346055100021","View Full Record in Web of Science")</f>
        <v>View Full Record in Web of Science</v>
      </c>
    </row>
    <row r="535" spans="1:72" x14ac:dyDescent="0.15">
      <c r="A535" t="s">
        <v>72</v>
      </c>
      <c r="B535" t="s">
        <v>10362</v>
      </c>
      <c r="C535" t="s">
        <v>74</v>
      </c>
      <c r="D535" t="s">
        <v>74</v>
      </c>
      <c r="E535" t="s">
        <v>74</v>
      </c>
      <c r="F535" t="s">
        <v>10363</v>
      </c>
      <c r="G535" t="s">
        <v>74</v>
      </c>
      <c r="H535" t="s">
        <v>74</v>
      </c>
      <c r="I535" t="s">
        <v>10364</v>
      </c>
      <c r="J535" t="s">
        <v>2526</v>
      </c>
      <c r="K535" t="s">
        <v>74</v>
      </c>
      <c r="L535" t="s">
        <v>74</v>
      </c>
      <c r="M535" t="s">
        <v>78</v>
      </c>
      <c r="N535" t="s">
        <v>99</v>
      </c>
      <c r="O535" t="s">
        <v>74</v>
      </c>
      <c r="P535" t="s">
        <v>74</v>
      </c>
      <c r="Q535" t="s">
        <v>74</v>
      </c>
      <c r="R535" t="s">
        <v>74</v>
      </c>
      <c r="S535" t="s">
        <v>74</v>
      </c>
      <c r="T535" t="s">
        <v>74</v>
      </c>
      <c r="U535" t="s">
        <v>10365</v>
      </c>
      <c r="V535" t="s">
        <v>10366</v>
      </c>
      <c r="W535" t="s">
        <v>10367</v>
      </c>
      <c r="X535" t="s">
        <v>8257</v>
      </c>
      <c r="Y535" t="s">
        <v>10368</v>
      </c>
      <c r="Z535" t="s">
        <v>10369</v>
      </c>
      <c r="AA535" t="s">
        <v>10370</v>
      </c>
      <c r="AB535" t="s">
        <v>10371</v>
      </c>
      <c r="AC535" t="s">
        <v>10372</v>
      </c>
      <c r="AD535" t="s">
        <v>10373</v>
      </c>
      <c r="AE535" t="s">
        <v>10374</v>
      </c>
      <c r="AF535" t="s">
        <v>74</v>
      </c>
      <c r="AG535">
        <v>38</v>
      </c>
      <c r="AH535">
        <v>66</v>
      </c>
      <c r="AI535">
        <v>79</v>
      </c>
      <c r="AJ535">
        <v>2</v>
      </c>
      <c r="AK535">
        <v>65</v>
      </c>
      <c r="AL535" t="s">
        <v>1563</v>
      </c>
      <c r="AM535" t="s">
        <v>1564</v>
      </c>
      <c r="AN535" t="s">
        <v>1565</v>
      </c>
      <c r="AO535" t="s">
        <v>2538</v>
      </c>
      <c r="AP535" t="s">
        <v>2539</v>
      </c>
      <c r="AQ535" t="s">
        <v>74</v>
      </c>
      <c r="AR535" t="s">
        <v>2540</v>
      </c>
      <c r="AS535" t="s">
        <v>2541</v>
      </c>
      <c r="AT535" t="s">
        <v>9658</v>
      </c>
      <c r="AU535">
        <v>2014</v>
      </c>
      <c r="AV535">
        <v>27</v>
      </c>
      <c r="AW535">
        <v>24</v>
      </c>
      <c r="AX535" t="s">
        <v>74</v>
      </c>
      <c r="AY535" t="s">
        <v>74</v>
      </c>
      <c r="AZ535" t="s">
        <v>74</v>
      </c>
      <c r="BA535" t="s">
        <v>74</v>
      </c>
      <c r="BB535">
        <v>9377</v>
      </c>
      <c r="BC535">
        <v>9382</v>
      </c>
      <c r="BD535" t="s">
        <v>74</v>
      </c>
      <c r="BE535" t="s">
        <v>10375</v>
      </c>
      <c r="BF535" t="str">
        <f>HYPERLINK("http://dx.doi.org/10.1175/JCLI-D-14-00605.1","http://dx.doi.org/10.1175/JCLI-D-14-00605.1")</f>
        <v>http://dx.doi.org/10.1175/JCLI-D-14-00605.1</v>
      </c>
      <c r="BG535" t="s">
        <v>74</v>
      </c>
      <c r="BH535" t="s">
        <v>74</v>
      </c>
      <c r="BI535">
        <v>6</v>
      </c>
      <c r="BJ535" t="s">
        <v>226</v>
      </c>
      <c r="BK535" t="s">
        <v>91</v>
      </c>
      <c r="BL535" t="s">
        <v>226</v>
      </c>
      <c r="BM535" t="s">
        <v>10376</v>
      </c>
      <c r="BN535" t="s">
        <v>74</v>
      </c>
      <c r="BO535" t="s">
        <v>375</v>
      </c>
      <c r="BP535" t="s">
        <v>74</v>
      </c>
      <c r="BQ535" t="s">
        <v>74</v>
      </c>
      <c r="BR535" t="s">
        <v>93</v>
      </c>
      <c r="BS535" t="s">
        <v>10377</v>
      </c>
      <c r="BT535" t="str">
        <f>HYPERLINK("https%3A%2F%2Fwww.webofscience.com%2Fwos%2Fwoscc%2Ffull-record%2FWOS:000346055900023","View Full Record in Web of Science")</f>
        <v>View Full Record in Web of Science</v>
      </c>
    </row>
    <row r="536" spans="1:72" x14ac:dyDescent="0.15">
      <c r="A536" t="s">
        <v>72</v>
      </c>
      <c r="B536" t="s">
        <v>10378</v>
      </c>
      <c r="C536" t="s">
        <v>74</v>
      </c>
      <c r="D536" t="s">
        <v>74</v>
      </c>
      <c r="E536" t="s">
        <v>74</v>
      </c>
      <c r="F536" t="s">
        <v>10379</v>
      </c>
      <c r="G536" t="s">
        <v>74</v>
      </c>
      <c r="H536" t="s">
        <v>74</v>
      </c>
      <c r="I536" t="s">
        <v>10380</v>
      </c>
      <c r="J536" t="s">
        <v>2526</v>
      </c>
      <c r="K536" t="s">
        <v>74</v>
      </c>
      <c r="L536" t="s">
        <v>74</v>
      </c>
      <c r="M536" t="s">
        <v>78</v>
      </c>
      <c r="N536" t="s">
        <v>99</v>
      </c>
      <c r="O536" t="s">
        <v>74</v>
      </c>
      <c r="P536" t="s">
        <v>74</v>
      </c>
      <c r="Q536" t="s">
        <v>74</v>
      </c>
      <c r="R536" t="s">
        <v>74</v>
      </c>
      <c r="S536" t="s">
        <v>74</v>
      </c>
      <c r="T536" t="s">
        <v>74</v>
      </c>
      <c r="U536" t="s">
        <v>10381</v>
      </c>
      <c r="V536" t="s">
        <v>10382</v>
      </c>
      <c r="W536" t="s">
        <v>10383</v>
      </c>
      <c r="X536" t="s">
        <v>10384</v>
      </c>
      <c r="Y536" t="s">
        <v>10385</v>
      </c>
      <c r="Z536" t="s">
        <v>10386</v>
      </c>
      <c r="AA536" t="s">
        <v>10387</v>
      </c>
      <c r="AB536" t="s">
        <v>10388</v>
      </c>
      <c r="AC536" t="s">
        <v>10389</v>
      </c>
      <c r="AD536" t="s">
        <v>10390</v>
      </c>
      <c r="AE536" t="s">
        <v>10391</v>
      </c>
      <c r="AF536" t="s">
        <v>74</v>
      </c>
      <c r="AG536">
        <v>46</v>
      </c>
      <c r="AH536">
        <v>21</v>
      </c>
      <c r="AI536">
        <v>24</v>
      </c>
      <c r="AJ536">
        <v>1</v>
      </c>
      <c r="AK536">
        <v>28</v>
      </c>
      <c r="AL536" t="s">
        <v>1563</v>
      </c>
      <c r="AM536" t="s">
        <v>1564</v>
      </c>
      <c r="AN536" t="s">
        <v>1565</v>
      </c>
      <c r="AO536" t="s">
        <v>2538</v>
      </c>
      <c r="AP536" t="s">
        <v>2539</v>
      </c>
      <c r="AQ536" t="s">
        <v>74</v>
      </c>
      <c r="AR536" t="s">
        <v>2540</v>
      </c>
      <c r="AS536" t="s">
        <v>2541</v>
      </c>
      <c r="AT536" t="s">
        <v>9658</v>
      </c>
      <c r="AU536">
        <v>2014</v>
      </c>
      <c r="AV536">
        <v>27</v>
      </c>
      <c r="AW536">
        <v>24</v>
      </c>
      <c r="AX536" t="s">
        <v>74</v>
      </c>
      <c r="AY536" t="s">
        <v>74</v>
      </c>
      <c r="AZ536" t="s">
        <v>74</v>
      </c>
      <c r="BA536" t="s">
        <v>74</v>
      </c>
      <c r="BB536">
        <v>9383</v>
      </c>
      <c r="BC536">
        <v>9400</v>
      </c>
      <c r="BD536" t="s">
        <v>74</v>
      </c>
      <c r="BE536" t="s">
        <v>10392</v>
      </c>
      <c r="BF536" t="str">
        <f>HYPERLINK("http://dx.doi.org/10.1175/JCLI-D-13-00657.1","http://dx.doi.org/10.1175/JCLI-D-13-00657.1")</f>
        <v>http://dx.doi.org/10.1175/JCLI-D-13-00657.1</v>
      </c>
      <c r="BG536" t="s">
        <v>74</v>
      </c>
      <c r="BH536" t="s">
        <v>74</v>
      </c>
      <c r="BI536">
        <v>18</v>
      </c>
      <c r="BJ536" t="s">
        <v>226</v>
      </c>
      <c r="BK536" t="s">
        <v>91</v>
      </c>
      <c r="BL536" t="s">
        <v>226</v>
      </c>
      <c r="BM536" t="s">
        <v>10376</v>
      </c>
      <c r="BN536" t="s">
        <v>74</v>
      </c>
      <c r="BO536" t="s">
        <v>134</v>
      </c>
      <c r="BP536" t="s">
        <v>74</v>
      </c>
      <c r="BQ536" t="s">
        <v>74</v>
      </c>
      <c r="BR536" t="s">
        <v>93</v>
      </c>
      <c r="BS536" t="s">
        <v>10393</v>
      </c>
      <c r="BT536" t="str">
        <f>HYPERLINK("https%3A%2F%2Fwww.webofscience.com%2Fwos%2Fwoscc%2Ffull-record%2FWOS:000346055900024","View Full Record in Web of Science")</f>
        <v>View Full Record in Web of Science</v>
      </c>
    </row>
    <row r="537" spans="1:72" x14ac:dyDescent="0.15">
      <c r="A537" t="s">
        <v>72</v>
      </c>
      <c r="B537" t="s">
        <v>10394</v>
      </c>
      <c r="C537" t="s">
        <v>74</v>
      </c>
      <c r="D537" t="s">
        <v>74</v>
      </c>
      <c r="E537" t="s">
        <v>74</v>
      </c>
      <c r="F537" t="s">
        <v>10395</v>
      </c>
      <c r="G537" t="s">
        <v>74</v>
      </c>
      <c r="H537" t="s">
        <v>74</v>
      </c>
      <c r="I537" t="s">
        <v>10396</v>
      </c>
      <c r="J537" t="s">
        <v>2571</v>
      </c>
      <c r="K537" t="s">
        <v>74</v>
      </c>
      <c r="L537" t="s">
        <v>74</v>
      </c>
      <c r="M537" t="s">
        <v>78</v>
      </c>
      <c r="N537" t="s">
        <v>99</v>
      </c>
      <c r="O537" t="s">
        <v>74</v>
      </c>
      <c r="P537" t="s">
        <v>74</v>
      </c>
      <c r="Q537" t="s">
        <v>74</v>
      </c>
      <c r="R537" t="s">
        <v>74</v>
      </c>
      <c r="S537" t="s">
        <v>74</v>
      </c>
      <c r="T537" t="s">
        <v>74</v>
      </c>
      <c r="U537" t="s">
        <v>74</v>
      </c>
      <c r="V537" t="s">
        <v>10397</v>
      </c>
      <c r="W537" t="s">
        <v>10398</v>
      </c>
      <c r="X537" t="s">
        <v>10399</v>
      </c>
      <c r="Y537" t="s">
        <v>10400</v>
      </c>
      <c r="Z537" t="s">
        <v>10401</v>
      </c>
      <c r="AA537" t="s">
        <v>10402</v>
      </c>
      <c r="AB537" t="s">
        <v>10403</v>
      </c>
      <c r="AC537" t="s">
        <v>10404</v>
      </c>
      <c r="AD537" t="s">
        <v>10404</v>
      </c>
      <c r="AE537" t="s">
        <v>10405</v>
      </c>
      <c r="AF537" t="s">
        <v>74</v>
      </c>
      <c r="AG537">
        <v>15</v>
      </c>
      <c r="AH537">
        <v>16</v>
      </c>
      <c r="AI537">
        <v>17</v>
      </c>
      <c r="AJ537">
        <v>1</v>
      </c>
      <c r="AK537">
        <v>28</v>
      </c>
      <c r="AL537" t="s">
        <v>2583</v>
      </c>
      <c r="AM537" t="s">
        <v>2584</v>
      </c>
      <c r="AN537" t="s">
        <v>2585</v>
      </c>
      <c r="AO537" t="s">
        <v>2586</v>
      </c>
      <c r="AP537" t="s">
        <v>2587</v>
      </c>
      <c r="AQ537" t="s">
        <v>74</v>
      </c>
      <c r="AR537" t="s">
        <v>2588</v>
      </c>
      <c r="AS537" t="s">
        <v>2589</v>
      </c>
      <c r="AT537" t="s">
        <v>9658</v>
      </c>
      <c r="AU537">
        <v>2014</v>
      </c>
      <c r="AV537">
        <v>136</v>
      </c>
      <c r="AW537">
        <v>6</v>
      </c>
      <c r="AX537" t="s">
        <v>74</v>
      </c>
      <c r="AY537" t="s">
        <v>74</v>
      </c>
      <c r="AZ537" t="s">
        <v>74</v>
      </c>
      <c r="BA537" t="s">
        <v>74</v>
      </c>
      <c r="BB537" t="s">
        <v>10406</v>
      </c>
      <c r="BC537" t="s">
        <v>10407</v>
      </c>
      <c r="BD537" t="s">
        <v>74</v>
      </c>
      <c r="BE537" t="s">
        <v>10408</v>
      </c>
      <c r="BF537" t="str">
        <f>HYPERLINK("http://dx.doi.org/10.1121/1.4902422","http://dx.doi.org/10.1121/1.4902422")</f>
        <v>http://dx.doi.org/10.1121/1.4902422</v>
      </c>
      <c r="BG537" t="s">
        <v>74</v>
      </c>
      <c r="BH537" t="s">
        <v>74</v>
      </c>
      <c r="BI537">
        <v>6</v>
      </c>
      <c r="BJ537" t="s">
        <v>2591</v>
      </c>
      <c r="BK537" t="s">
        <v>91</v>
      </c>
      <c r="BL537" t="s">
        <v>2591</v>
      </c>
      <c r="BM537" t="s">
        <v>10409</v>
      </c>
      <c r="BN537">
        <v>25480092</v>
      </c>
      <c r="BO537" t="s">
        <v>375</v>
      </c>
      <c r="BP537" t="s">
        <v>74</v>
      </c>
      <c r="BQ537" t="s">
        <v>74</v>
      </c>
      <c r="BR537" t="s">
        <v>93</v>
      </c>
      <c r="BS537" t="s">
        <v>10410</v>
      </c>
      <c r="BT537" t="str">
        <f>HYPERLINK("https%3A%2F%2Fwww.webofscience.com%2Fwos%2Fwoscc%2Ffull-record%2FWOS:000345976500005","View Full Record in Web of Science")</f>
        <v>View Full Record in Web of Science</v>
      </c>
    </row>
    <row r="538" spans="1:72" x14ac:dyDescent="0.15">
      <c r="A538" t="s">
        <v>72</v>
      </c>
      <c r="B538" t="s">
        <v>10411</v>
      </c>
      <c r="C538" t="s">
        <v>74</v>
      </c>
      <c r="D538" t="s">
        <v>74</v>
      </c>
      <c r="E538" t="s">
        <v>74</v>
      </c>
      <c r="F538" t="s">
        <v>10412</v>
      </c>
      <c r="G538" t="s">
        <v>74</v>
      </c>
      <c r="H538" t="s">
        <v>74</v>
      </c>
      <c r="I538" t="s">
        <v>10413</v>
      </c>
      <c r="J538" t="s">
        <v>10414</v>
      </c>
      <c r="K538" t="s">
        <v>74</v>
      </c>
      <c r="L538" t="s">
        <v>74</v>
      </c>
      <c r="M538" t="s">
        <v>78</v>
      </c>
      <c r="N538" t="s">
        <v>99</v>
      </c>
      <c r="O538" t="s">
        <v>74</v>
      </c>
      <c r="P538" t="s">
        <v>74</v>
      </c>
      <c r="Q538" t="s">
        <v>74</v>
      </c>
      <c r="R538" t="s">
        <v>74</v>
      </c>
      <c r="S538" t="s">
        <v>74</v>
      </c>
      <c r="T538" t="s">
        <v>10415</v>
      </c>
      <c r="U538" t="s">
        <v>10416</v>
      </c>
      <c r="V538" t="s">
        <v>10417</v>
      </c>
      <c r="W538" t="s">
        <v>10418</v>
      </c>
      <c r="X538" t="s">
        <v>10419</v>
      </c>
      <c r="Y538" t="s">
        <v>10420</v>
      </c>
      <c r="Z538" t="s">
        <v>10421</v>
      </c>
      <c r="AA538" t="s">
        <v>10422</v>
      </c>
      <c r="AB538" t="s">
        <v>10423</v>
      </c>
      <c r="AC538" t="s">
        <v>10424</v>
      </c>
      <c r="AD538" t="s">
        <v>10425</v>
      </c>
      <c r="AE538" t="s">
        <v>10426</v>
      </c>
      <c r="AF538" t="s">
        <v>74</v>
      </c>
      <c r="AG538">
        <v>43</v>
      </c>
      <c r="AH538">
        <v>8</v>
      </c>
      <c r="AI538">
        <v>11</v>
      </c>
      <c r="AJ538">
        <v>0</v>
      </c>
      <c r="AK538">
        <v>47</v>
      </c>
      <c r="AL538" t="s">
        <v>2114</v>
      </c>
      <c r="AM538" t="s">
        <v>2115</v>
      </c>
      <c r="AN538" t="s">
        <v>2116</v>
      </c>
      <c r="AO538" t="s">
        <v>10427</v>
      </c>
      <c r="AP538" t="s">
        <v>10428</v>
      </c>
      <c r="AQ538" t="s">
        <v>74</v>
      </c>
      <c r="AR538" t="s">
        <v>10429</v>
      </c>
      <c r="AS538" t="s">
        <v>10430</v>
      </c>
      <c r="AT538" t="s">
        <v>9658</v>
      </c>
      <c r="AU538">
        <v>2014</v>
      </c>
      <c r="AV538">
        <v>57</v>
      </c>
      <c r="AW538">
        <v>12</v>
      </c>
      <c r="AX538" t="s">
        <v>74</v>
      </c>
      <c r="AY538" t="s">
        <v>74</v>
      </c>
      <c r="AZ538" t="s">
        <v>74</v>
      </c>
      <c r="BA538" t="s">
        <v>74</v>
      </c>
      <c r="BB538">
        <v>3073</v>
      </c>
      <c r="BC538">
        <v>3083</v>
      </c>
      <c r="BD538" t="s">
        <v>74</v>
      </c>
      <c r="BE538" t="s">
        <v>10431</v>
      </c>
      <c r="BF538" t="str">
        <f>HYPERLINK("http://dx.doi.org/10.1007/s11430-014-4939-8","http://dx.doi.org/10.1007/s11430-014-4939-8")</f>
        <v>http://dx.doi.org/10.1007/s11430-014-4939-8</v>
      </c>
      <c r="BG538" t="s">
        <v>74</v>
      </c>
      <c r="BH538" t="s">
        <v>74</v>
      </c>
      <c r="BI538">
        <v>11</v>
      </c>
      <c r="BJ538" t="s">
        <v>1953</v>
      </c>
      <c r="BK538" t="s">
        <v>91</v>
      </c>
      <c r="BL538" t="s">
        <v>1954</v>
      </c>
      <c r="BM538" t="s">
        <v>10432</v>
      </c>
      <c r="BN538" t="s">
        <v>74</v>
      </c>
      <c r="BO538" t="s">
        <v>74</v>
      </c>
      <c r="BP538" t="s">
        <v>74</v>
      </c>
      <c r="BQ538" t="s">
        <v>74</v>
      </c>
      <c r="BR538" t="s">
        <v>93</v>
      </c>
      <c r="BS538" t="s">
        <v>10433</v>
      </c>
      <c r="BT538" t="str">
        <f>HYPERLINK("https%3A%2F%2Fwww.webofscience.com%2Fwos%2Fwoscc%2Ffull-record%2FWOS:000346170700019","View Full Record in Web of Science")</f>
        <v>View Full Record in Web of Science</v>
      </c>
    </row>
    <row r="539" spans="1:72" x14ac:dyDescent="0.15">
      <c r="A539" t="s">
        <v>72</v>
      </c>
      <c r="B539" t="s">
        <v>10434</v>
      </c>
      <c r="C539" t="s">
        <v>74</v>
      </c>
      <c r="D539" t="s">
        <v>74</v>
      </c>
      <c r="E539" t="s">
        <v>74</v>
      </c>
      <c r="F539" t="s">
        <v>10435</v>
      </c>
      <c r="G539" t="s">
        <v>74</v>
      </c>
      <c r="H539" t="s">
        <v>74</v>
      </c>
      <c r="I539" t="s">
        <v>10436</v>
      </c>
      <c r="J539" t="s">
        <v>10437</v>
      </c>
      <c r="K539" t="s">
        <v>74</v>
      </c>
      <c r="L539" t="s">
        <v>74</v>
      </c>
      <c r="M539" t="s">
        <v>78</v>
      </c>
      <c r="N539" t="s">
        <v>99</v>
      </c>
      <c r="O539" t="s">
        <v>74</v>
      </c>
      <c r="P539" t="s">
        <v>74</v>
      </c>
      <c r="Q539" t="s">
        <v>74</v>
      </c>
      <c r="R539" t="s">
        <v>74</v>
      </c>
      <c r="S539" t="s">
        <v>74</v>
      </c>
      <c r="T539" t="s">
        <v>10438</v>
      </c>
      <c r="U539" t="s">
        <v>10439</v>
      </c>
      <c r="V539" t="s">
        <v>10440</v>
      </c>
      <c r="W539" t="s">
        <v>10441</v>
      </c>
      <c r="X539" t="s">
        <v>10442</v>
      </c>
      <c r="Y539" t="s">
        <v>10443</v>
      </c>
      <c r="Z539" t="s">
        <v>10444</v>
      </c>
      <c r="AA539" t="s">
        <v>10445</v>
      </c>
      <c r="AB539" t="s">
        <v>10446</v>
      </c>
      <c r="AC539" t="s">
        <v>10447</v>
      </c>
      <c r="AD539" t="s">
        <v>10448</v>
      </c>
      <c r="AE539" t="s">
        <v>10449</v>
      </c>
      <c r="AF539" t="s">
        <v>74</v>
      </c>
      <c r="AG539">
        <v>49</v>
      </c>
      <c r="AH539">
        <v>8</v>
      </c>
      <c r="AI539">
        <v>8</v>
      </c>
      <c r="AJ539">
        <v>0</v>
      </c>
      <c r="AK539">
        <v>15</v>
      </c>
      <c r="AL539" t="s">
        <v>10450</v>
      </c>
      <c r="AM539" t="s">
        <v>10451</v>
      </c>
      <c r="AN539" t="s">
        <v>10452</v>
      </c>
      <c r="AO539" t="s">
        <v>10453</v>
      </c>
      <c r="AP539" t="s">
        <v>74</v>
      </c>
      <c r="AQ539" t="s">
        <v>74</v>
      </c>
      <c r="AR539" t="s">
        <v>10437</v>
      </c>
      <c r="AS539" t="s">
        <v>423</v>
      </c>
      <c r="AT539" t="s">
        <v>9658</v>
      </c>
      <c r="AU539">
        <v>2014</v>
      </c>
      <c r="AV539">
        <v>117</v>
      </c>
      <c r="AW539">
        <v>6</v>
      </c>
      <c r="AX539" t="s">
        <v>74</v>
      </c>
      <c r="AY539" t="s">
        <v>74</v>
      </c>
      <c r="AZ539" t="s">
        <v>74</v>
      </c>
      <c r="BA539" t="s">
        <v>74</v>
      </c>
      <c r="BB539">
        <v>370</v>
      </c>
      <c r="BC539">
        <v>376</v>
      </c>
      <c r="BD539" t="s">
        <v>74</v>
      </c>
      <c r="BE539" t="s">
        <v>10454</v>
      </c>
      <c r="BF539" t="str">
        <f>HYPERLINK("http://dx.doi.org/10.1016/j.zool.2014.05.003","http://dx.doi.org/10.1016/j.zool.2014.05.003")</f>
        <v>http://dx.doi.org/10.1016/j.zool.2014.05.003</v>
      </c>
      <c r="BG539" t="s">
        <v>74</v>
      </c>
      <c r="BH539" t="s">
        <v>74</v>
      </c>
      <c r="BI539">
        <v>7</v>
      </c>
      <c r="BJ539" t="s">
        <v>423</v>
      </c>
      <c r="BK539" t="s">
        <v>91</v>
      </c>
      <c r="BL539" t="s">
        <v>423</v>
      </c>
      <c r="BM539" t="s">
        <v>10455</v>
      </c>
      <c r="BN539">
        <v>25169959</v>
      </c>
      <c r="BO539" t="s">
        <v>74</v>
      </c>
      <c r="BP539" t="s">
        <v>74</v>
      </c>
      <c r="BQ539" t="s">
        <v>74</v>
      </c>
      <c r="BR539" t="s">
        <v>93</v>
      </c>
      <c r="BS539" t="s">
        <v>10456</v>
      </c>
      <c r="BT539" t="str">
        <f>HYPERLINK("https%3A%2F%2Fwww.webofscience.com%2Fwos%2Fwoscc%2Ffull-record%2FWOS:000346213000002","View Full Record in Web of Science")</f>
        <v>View Full Record in Web of Science</v>
      </c>
    </row>
    <row r="540" spans="1:72" x14ac:dyDescent="0.15">
      <c r="A540" t="s">
        <v>72</v>
      </c>
      <c r="B540" t="s">
        <v>10457</v>
      </c>
      <c r="C540" t="s">
        <v>74</v>
      </c>
      <c r="D540" t="s">
        <v>74</v>
      </c>
      <c r="E540" t="s">
        <v>74</v>
      </c>
      <c r="F540" t="s">
        <v>10458</v>
      </c>
      <c r="G540" t="s">
        <v>74</v>
      </c>
      <c r="H540" t="s">
        <v>74</v>
      </c>
      <c r="I540" t="s">
        <v>10459</v>
      </c>
      <c r="J540" t="s">
        <v>1819</v>
      </c>
      <c r="K540" t="s">
        <v>74</v>
      </c>
      <c r="L540" t="s">
        <v>74</v>
      </c>
      <c r="M540" t="s">
        <v>78</v>
      </c>
      <c r="N540" t="s">
        <v>99</v>
      </c>
      <c r="O540" t="s">
        <v>74</v>
      </c>
      <c r="P540" t="s">
        <v>74</v>
      </c>
      <c r="Q540" t="s">
        <v>74</v>
      </c>
      <c r="R540" t="s">
        <v>74</v>
      </c>
      <c r="S540" t="s">
        <v>74</v>
      </c>
      <c r="T540" t="s">
        <v>10460</v>
      </c>
      <c r="U540" t="s">
        <v>10461</v>
      </c>
      <c r="V540" t="s">
        <v>10462</v>
      </c>
      <c r="W540" t="s">
        <v>10463</v>
      </c>
      <c r="X540" t="s">
        <v>10464</v>
      </c>
      <c r="Y540" t="s">
        <v>10465</v>
      </c>
      <c r="Z540" t="s">
        <v>10466</v>
      </c>
      <c r="AA540" t="s">
        <v>74</v>
      </c>
      <c r="AB540" t="s">
        <v>74</v>
      </c>
      <c r="AC540" t="s">
        <v>74</v>
      </c>
      <c r="AD540" t="s">
        <v>74</v>
      </c>
      <c r="AE540" t="s">
        <v>74</v>
      </c>
      <c r="AF540" t="s">
        <v>74</v>
      </c>
      <c r="AG540">
        <v>34</v>
      </c>
      <c r="AH540">
        <v>1</v>
      </c>
      <c r="AI540">
        <v>1</v>
      </c>
      <c r="AJ540">
        <v>0</v>
      </c>
      <c r="AK540">
        <v>15</v>
      </c>
      <c r="AL540" t="s">
        <v>1832</v>
      </c>
      <c r="AM540" t="s">
        <v>1833</v>
      </c>
      <c r="AN540" t="s">
        <v>1834</v>
      </c>
      <c r="AO540" t="s">
        <v>1835</v>
      </c>
      <c r="AP540" t="s">
        <v>1836</v>
      </c>
      <c r="AQ540" t="s">
        <v>74</v>
      </c>
      <c r="AR540" t="s">
        <v>1837</v>
      </c>
      <c r="AS540" t="s">
        <v>1838</v>
      </c>
      <c r="AT540" t="s">
        <v>9658</v>
      </c>
      <c r="AU540">
        <v>2014</v>
      </c>
      <c r="AV540">
        <v>52</v>
      </c>
      <c r="AW540">
        <v>5</v>
      </c>
      <c r="AX540" t="s">
        <v>74</v>
      </c>
      <c r="AY540" t="s">
        <v>74</v>
      </c>
      <c r="AZ540" t="s">
        <v>74</v>
      </c>
      <c r="BA540" t="s">
        <v>74</v>
      </c>
      <c r="BB540">
        <v>384</v>
      </c>
      <c r="BC540">
        <v>397</v>
      </c>
      <c r="BD540" t="s">
        <v>74</v>
      </c>
      <c r="BE540" t="s">
        <v>10467</v>
      </c>
      <c r="BF540" t="str">
        <f>HYPERLINK("http://dx.doi.org/10.1080/07055900.2014.973831","http://dx.doi.org/10.1080/07055900.2014.973831")</f>
        <v>http://dx.doi.org/10.1080/07055900.2014.973831</v>
      </c>
      <c r="BG540" t="s">
        <v>74</v>
      </c>
      <c r="BH540" t="s">
        <v>74</v>
      </c>
      <c r="BI540">
        <v>14</v>
      </c>
      <c r="BJ540" t="s">
        <v>1537</v>
      </c>
      <c r="BK540" t="s">
        <v>91</v>
      </c>
      <c r="BL540" t="s">
        <v>1537</v>
      </c>
      <c r="BM540" t="s">
        <v>10468</v>
      </c>
      <c r="BN540" t="s">
        <v>74</v>
      </c>
      <c r="BO540" t="s">
        <v>375</v>
      </c>
      <c r="BP540" t="s">
        <v>74</v>
      </c>
      <c r="BQ540" t="s">
        <v>74</v>
      </c>
      <c r="BR540" t="s">
        <v>93</v>
      </c>
      <c r="BS540" t="s">
        <v>10469</v>
      </c>
      <c r="BT540" t="str">
        <f>HYPERLINK("https%3A%2F%2Fwww.webofscience.com%2Fwos%2Fwoscc%2Ffull-record%2FWOS:000346195500002","View Full Record in Web of Science")</f>
        <v>View Full Record in Web of Science</v>
      </c>
    </row>
    <row r="541" spans="1:72" x14ac:dyDescent="0.15">
      <c r="A541" t="s">
        <v>72</v>
      </c>
      <c r="B541" t="s">
        <v>10470</v>
      </c>
      <c r="C541" t="s">
        <v>74</v>
      </c>
      <c r="D541" t="s">
        <v>74</v>
      </c>
      <c r="E541" t="s">
        <v>74</v>
      </c>
      <c r="F541" t="s">
        <v>10471</v>
      </c>
      <c r="G541" t="s">
        <v>74</v>
      </c>
      <c r="H541" t="s">
        <v>74</v>
      </c>
      <c r="I541" t="s">
        <v>10472</v>
      </c>
      <c r="J541" t="s">
        <v>2450</v>
      </c>
      <c r="K541" t="s">
        <v>74</v>
      </c>
      <c r="L541" t="s">
        <v>74</v>
      </c>
      <c r="M541" t="s">
        <v>78</v>
      </c>
      <c r="N541" t="s">
        <v>99</v>
      </c>
      <c r="O541" t="s">
        <v>74</v>
      </c>
      <c r="P541" t="s">
        <v>74</v>
      </c>
      <c r="Q541" t="s">
        <v>74</v>
      </c>
      <c r="R541" t="s">
        <v>74</v>
      </c>
      <c r="S541" t="s">
        <v>74</v>
      </c>
      <c r="T541" t="s">
        <v>10473</v>
      </c>
      <c r="U541" t="s">
        <v>10474</v>
      </c>
      <c r="V541" t="s">
        <v>10475</v>
      </c>
      <c r="W541" t="s">
        <v>10476</v>
      </c>
      <c r="X541" t="s">
        <v>10477</v>
      </c>
      <c r="Y541" t="s">
        <v>10478</v>
      </c>
      <c r="Z541" t="s">
        <v>10479</v>
      </c>
      <c r="AA541" t="s">
        <v>74</v>
      </c>
      <c r="AB541" t="s">
        <v>74</v>
      </c>
      <c r="AC541" t="s">
        <v>10480</v>
      </c>
      <c r="AD541" t="s">
        <v>1382</v>
      </c>
      <c r="AE541" t="s">
        <v>10481</v>
      </c>
      <c r="AF541" t="s">
        <v>74</v>
      </c>
      <c r="AG541">
        <v>41</v>
      </c>
      <c r="AH541">
        <v>15</v>
      </c>
      <c r="AI541">
        <v>15</v>
      </c>
      <c r="AJ541">
        <v>0</v>
      </c>
      <c r="AK541">
        <v>28</v>
      </c>
      <c r="AL541" t="s">
        <v>2458</v>
      </c>
      <c r="AM541" t="s">
        <v>1411</v>
      </c>
      <c r="AN541" t="s">
        <v>2459</v>
      </c>
      <c r="AO541" t="s">
        <v>2460</v>
      </c>
      <c r="AP541" t="s">
        <v>2461</v>
      </c>
      <c r="AQ541" t="s">
        <v>74</v>
      </c>
      <c r="AR541" t="s">
        <v>2462</v>
      </c>
      <c r="AS541" t="s">
        <v>2463</v>
      </c>
      <c r="AT541" t="s">
        <v>9961</v>
      </c>
      <c r="AU541">
        <v>2014</v>
      </c>
      <c r="AV541">
        <v>54</v>
      </c>
      <c r="AW541">
        <v>11</v>
      </c>
      <c r="AX541" t="s">
        <v>74</v>
      </c>
      <c r="AY541" t="s">
        <v>74</v>
      </c>
      <c r="AZ541" t="s">
        <v>74</v>
      </c>
      <c r="BA541" t="s">
        <v>74</v>
      </c>
      <c r="BB541">
        <v>2274</v>
      </c>
      <c r="BC541">
        <v>2285</v>
      </c>
      <c r="BD541" t="s">
        <v>74</v>
      </c>
      <c r="BE541" t="s">
        <v>10482</v>
      </c>
      <c r="BF541" t="str">
        <f>HYPERLINK("http://dx.doi.org/10.1016/j.asr.2014.08.020","http://dx.doi.org/10.1016/j.asr.2014.08.020")</f>
        <v>http://dx.doi.org/10.1016/j.asr.2014.08.020</v>
      </c>
      <c r="BG541" t="s">
        <v>74</v>
      </c>
      <c r="BH541" t="s">
        <v>74</v>
      </c>
      <c r="BI541">
        <v>12</v>
      </c>
      <c r="BJ541" t="s">
        <v>2466</v>
      </c>
      <c r="BK541" t="s">
        <v>91</v>
      </c>
      <c r="BL541" t="s">
        <v>2467</v>
      </c>
      <c r="BM541" t="s">
        <v>10483</v>
      </c>
      <c r="BN541" t="s">
        <v>74</v>
      </c>
      <c r="BO541" t="s">
        <v>74</v>
      </c>
      <c r="BP541" t="s">
        <v>74</v>
      </c>
      <c r="BQ541" t="s">
        <v>74</v>
      </c>
      <c r="BR541" t="s">
        <v>93</v>
      </c>
      <c r="BS541" t="s">
        <v>10484</v>
      </c>
      <c r="BT541" t="str">
        <f>HYPERLINK("https%3A%2F%2Fwww.webofscience.com%2Fwos%2Fwoscc%2Ffull-record%2FWOS:000345722300013","View Full Record in Web of Science")</f>
        <v>View Full Record in Web of Science</v>
      </c>
    </row>
    <row r="542" spans="1:72" x14ac:dyDescent="0.15">
      <c r="A542" t="s">
        <v>72</v>
      </c>
      <c r="B542" t="s">
        <v>10485</v>
      </c>
      <c r="C542" t="s">
        <v>74</v>
      </c>
      <c r="D542" t="s">
        <v>74</v>
      </c>
      <c r="E542" t="s">
        <v>74</v>
      </c>
      <c r="F542" t="s">
        <v>10486</v>
      </c>
      <c r="G542" t="s">
        <v>74</v>
      </c>
      <c r="H542" t="s">
        <v>74</v>
      </c>
      <c r="I542" t="s">
        <v>10487</v>
      </c>
      <c r="J542" t="s">
        <v>2725</v>
      </c>
      <c r="K542" t="s">
        <v>74</v>
      </c>
      <c r="L542" t="s">
        <v>74</v>
      </c>
      <c r="M542" t="s">
        <v>78</v>
      </c>
      <c r="N542" t="s">
        <v>99</v>
      </c>
      <c r="O542" t="s">
        <v>74</v>
      </c>
      <c r="P542" t="s">
        <v>74</v>
      </c>
      <c r="Q542" t="s">
        <v>74</v>
      </c>
      <c r="R542" t="s">
        <v>74</v>
      </c>
      <c r="S542" t="s">
        <v>74</v>
      </c>
      <c r="T542" t="s">
        <v>10488</v>
      </c>
      <c r="U542" t="s">
        <v>10489</v>
      </c>
      <c r="V542" t="s">
        <v>10490</v>
      </c>
      <c r="W542" t="s">
        <v>10491</v>
      </c>
      <c r="X542" t="s">
        <v>10492</v>
      </c>
      <c r="Y542" t="s">
        <v>10493</v>
      </c>
      <c r="Z542" t="s">
        <v>10494</v>
      </c>
      <c r="AA542" t="s">
        <v>10495</v>
      </c>
      <c r="AB542" t="s">
        <v>74</v>
      </c>
      <c r="AC542" t="s">
        <v>10496</v>
      </c>
      <c r="AD542" t="s">
        <v>10497</v>
      </c>
      <c r="AE542" t="s">
        <v>10498</v>
      </c>
      <c r="AF542" t="s">
        <v>74</v>
      </c>
      <c r="AG542">
        <v>68</v>
      </c>
      <c r="AH542">
        <v>26</v>
      </c>
      <c r="AI542">
        <v>30</v>
      </c>
      <c r="AJ542">
        <v>1</v>
      </c>
      <c r="AK542">
        <v>59</v>
      </c>
      <c r="AL542" t="s">
        <v>2439</v>
      </c>
      <c r="AM542" t="s">
        <v>1411</v>
      </c>
      <c r="AN542" t="s">
        <v>2440</v>
      </c>
      <c r="AO542" t="s">
        <v>2738</v>
      </c>
      <c r="AP542" t="s">
        <v>2739</v>
      </c>
      <c r="AQ542" t="s">
        <v>74</v>
      </c>
      <c r="AR542" t="s">
        <v>2740</v>
      </c>
      <c r="AS542" t="s">
        <v>2741</v>
      </c>
      <c r="AT542" t="s">
        <v>9658</v>
      </c>
      <c r="AU542">
        <v>2014</v>
      </c>
      <c r="AV542">
        <v>99</v>
      </c>
      <c r="AW542" t="s">
        <v>74</v>
      </c>
      <c r="AX542" t="s">
        <v>74</v>
      </c>
      <c r="AY542" t="s">
        <v>74</v>
      </c>
      <c r="AZ542" t="s">
        <v>74</v>
      </c>
      <c r="BA542" t="s">
        <v>74</v>
      </c>
      <c r="BB542">
        <v>374</v>
      </c>
      <c r="BC542">
        <v>384</v>
      </c>
      <c r="BD542" t="s">
        <v>74</v>
      </c>
      <c r="BE542" t="s">
        <v>10499</v>
      </c>
      <c r="BF542" t="str">
        <f>HYPERLINK("http://dx.doi.org/10.1016/j.atmosenv.2014.10.009","http://dx.doi.org/10.1016/j.atmosenv.2014.10.009")</f>
        <v>http://dx.doi.org/10.1016/j.atmosenv.2014.10.009</v>
      </c>
      <c r="BG542" t="s">
        <v>74</v>
      </c>
      <c r="BH542" t="s">
        <v>74</v>
      </c>
      <c r="BI542">
        <v>11</v>
      </c>
      <c r="BJ542" t="s">
        <v>497</v>
      </c>
      <c r="BK542" t="s">
        <v>91</v>
      </c>
      <c r="BL542" t="s">
        <v>498</v>
      </c>
      <c r="BM542" t="s">
        <v>10500</v>
      </c>
      <c r="BN542" t="s">
        <v>74</v>
      </c>
      <c r="BO542" t="s">
        <v>74</v>
      </c>
      <c r="BP542" t="s">
        <v>74</v>
      </c>
      <c r="BQ542" t="s">
        <v>74</v>
      </c>
      <c r="BR542" t="s">
        <v>93</v>
      </c>
      <c r="BS542" t="s">
        <v>10501</v>
      </c>
      <c r="BT542" t="str">
        <f>HYPERLINK("https%3A%2F%2Fwww.webofscience.com%2Fwos%2Fwoscc%2Ffull-record%2FWOS:000345804400039","View Full Record in Web of Science")</f>
        <v>View Full Record in Web of Science</v>
      </c>
    </row>
    <row r="543" spans="1:72" x14ac:dyDescent="0.15">
      <c r="A543" t="s">
        <v>72</v>
      </c>
      <c r="B543" t="s">
        <v>10502</v>
      </c>
      <c r="C543" t="s">
        <v>74</v>
      </c>
      <c r="D543" t="s">
        <v>74</v>
      </c>
      <c r="E543" t="s">
        <v>74</v>
      </c>
      <c r="F543" t="s">
        <v>10503</v>
      </c>
      <c r="G543" t="s">
        <v>74</v>
      </c>
      <c r="H543" t="s">
        <v>74</v>
      </c>
      <c r="I543" t="s">
        <v>10504</v>
      </c>
      <c r="J543" t="s">
        <v>10505</v>
      </c>
      <c r="K543" t="s">
        <v>74</v>
      </c>
      <c r="L543" t="s">
        <v>74</v>
      </c>
      <c r="M543" t="s">
        <v>78</v>
      </c>
      <c r="N543" t="s">
        <v>99</v>
      </c>
      <c r="O543" t="s">
        <v>74</v>
      </c>
      <c r="P543" t="s">
        <v>74</v>
      </c>
      <c r="Q543" t="s">
        <v>74</v>
      </c>
      <c r="R543" t="s">
        <v>74</v>
      </c>
      <c r="S543" t="s">
        <v>74</v>
      </c>
      <c r="T543" t="s">
        <v>10506</v>
      </c>
      <c r="U543" t="s">
        <v>10507</v>
      </c>
      <c r="V543" t="s">
        <v>10508</v>
      </c>
      <c r="W543" t="s">
        <v>10509</v>
      </c>
      <c r="X543" t="s">
        <v>3121</v>
      </c>
      <c r="Y543" t="s">
        <v>10510</v>
      </c>
      <c r="Z543" t="s">
        <v>10511</v>
      </c>
      <c r="AA543" t="s">
        <v>10512</v>
      </c>
      <c r="AB543" t="s">
        <v>10513</v>
      </c>
      <c r="AC543" t="s">
        <v>10514</v>
      </c>
      <c r="AD543" t="s">
        <v>10515</v>
      </c>
      <c r="AE543" t="s">
        <v>10516</v>
      </c>
      <c r="AF543" t="s">
        <v>74</v>
      </c>
      <c r="AG543">
        <v>30</v>
      </c>
      <c r="AH543">
        <v>9</v>
      </c>
      <c r="AI543">
        <v>9</v>
      </c>
      <c r="AJ543">
        <v>0</v>
      </c>
      <c r="AK543">
        <v>18</v>
      </c>
      <c r="AL543" t="s">
        <v>2640</v>
      </c>
      <c r="AM543" t="s">
        <v>1176</v>
      </c>
      <c r="AN543" t="s">
        <v>2641</v>
      </c>
      <c r="AO543" t="s">
        <v>10517</v>
      </c>
      <c r="AP543" t="s">
        <v>10518</v>
      </c>
      <c r="AQ543" t="s">
        <v>74</v>
      </c>
      <c r="AR543" t="s">
        <v>10519</v>
      </c>
      <c r="AS543" t="s">
        <v>10520</v>
      </c>
      <c r="AT543" t="s">
        <v>9658</v>
      </c>
      <c r="AU543">
        <v>2014</v>
      </c>
      <c r="AV543">
        <v>110</v>
      </c>
      <c r="AW543" t="s">
        <v>74</v>
      </c>
      <c r="AX543" t="s">
        <v>74</v>
      </c>
      <c r="AY543" t="s">
        <v>74</v>
      </c>
      <c r="AZ543" t="s">
        <v>74</v>
      </c>
      <c r="BA543" t="s">
        <v>74</v>
      </c>
      <c r="BB543">
        <v>117</v>
      </c>
      <c r="BC543">
        <v>125</v>
      </c>
      <c r="BD543" t="s">
        <v>74</v>
      </c>
      <c r="BE543" t="s">
        <v>10521</v>
      </c>
      <c r="BF543" t="str">
        <f>HYPERLINK("http://dx.doi.org/10.1016/j.molcatb.2014.09.016","http://dx.doi.org/10.1016/j.molcatb.2014.09.016")</f>
        <v>http://dx.doi.org/10.1016/j.molcatb.2014.09.016</v>
      </c>
      <c r="BG543" t="s">
        <v>74</v>
      </c>
      <c r="BH543" t="s">
        <v>74</v>
      </c>
      <c r="BI543">
        <v>9</v>
      </c>
      <c r="BJ543" t="s">
        <v>10522</v>
      </c>
      <c r="BK543" t="s">
        <v>91</v>
      </c>
      <c r="BL543" t="s">
        <v>10523</v>
      </c>
      <c r="BM543" t="s">
        <v>10524</v>
      </c>
      <c r="BN543" t="s">
        <v>74</v>
      </c>
      <c r="BO543" t="s">
        <v>74</v>
      </c>
      <c r="BP543" t="s">
        <v>74</v>
      </c>
      <c r="BQ543" t="s">
        <v>74</v>
      </c>
      <c r="BR543" t="s">
        <v>93</v>
      </c>
      <c r="BS543" t="s">
        <v>10525</v>
      </c>
      <c r="BT543" t="str">
        <f>HYPERLINK("https%3A%2F%2Fwww.webofscience.com%2Fwos%2Fwoscc%2Ffull-record%2FWOS:000345648500017","View Full Record in Web of Science")</f>
        <v>View Full Record in Web of Science</v>
      </c>
    </row>
    <row r="544" spans="1:72" x14ac:dyDescent="0.15">
      <c r="A544" t="s">
        <v>72</v>
      </c>
      <c r="B544" t="s">
        <v>10526</v>
      </c>
      <c r="C544" t="s">
        <v>74</v>
      </c>
      <c r="D544" t="s">
        <v>74</v>
      </c>
      <c r="E544" t="s">
        <v>74</v>
      </c>
      <c r="F544" t="s">
        <v>10527</v>
      </c>
      <c r="G544" t="s">
        <v>74</v>
      </c>
      <c r="H544" t="s">
        <v>74</v>
      </c>
      <c r="I544" t="s">
        <v>10528</v>
      </c>
      <c r="J544" t="s">
        <v>10529</v>
      </c>
      <c r="K544" t="s">
        <v>74</v>
      </c>
      <c r="L544" t="s">
        <v>74</v>
      </c>
      <c r="M544" t="s">
        <v>78</v>
      </c>
      <c r="N544" t="s">
        <v>99</v>
      </c>
      <c r="O544" t="s">
        <v>74</v>
      </c>
      <c r="P544" t="s">
        <v>74</v>
      </c>
      <c r="Q544" t="s">
        <v>74</v>
      </c>
      <c r="R544" t="s">
        <v>74</v>
      </c>
      <c r="S544" t="s">
        <v>74</v>
      </c>
      <c r="T544" t="s">
        <v>10530</v>
      </c>
      <c r="U544" t="s">
        <v>10531</v>
      </c>
      <c r="V544" t="s">
        <v>10532</v>
      </c>
      <c r="W544" t="s">
        <v>10533</v>
      </c>
      <c r="X544" t="s">
        <v>10534</v>
      </c>
      <c r="Y544" t="s">
        <v>10535</v>
      </c>
      <c r="Z544" t="s">
        <v>10536</v>
      </c>
      <c r="AA544" t="s">
        <v>10537</v>
      </c>
      <c r="AB544" t="s">
        <v>10538</v>
      </c>
      <c r="AC544" t="s">
        <v>10539</v>
      </c>
      <c r="AD544" t="s">
        <v>2029</v>
      </c>
      <c r="AE544" t="s">
        <v>10540</v>
      </c>
      <c r="AF544" t="s">
        <v>74</v>
      </c>
      <c r="AG544">
        <v>45</v>
      </c>
      <c r="AH544">
        <v>18</v>
      </c>
      <c r="AI544">
        <v>18</v>
      </c>
      <c r="AJ544">
        <v>0</v>
      </c>
      <c r="AK544">
        <v>28</v>
      </c>
      <c r="AL544" t="s">
        <v>2006</v>
      </c>
      <c r="AM544" t="s">
        <v>2007</v>
      </c>
      <c r="AN544" t="s">
        <v>2008</v>
      </c>
      <c r="AO544" t="s">
        <v>10541</v>
      </c>
      <c r="AP544" t="s">
        <v>10542</v>
      </c>
      <c r="AQ544" t="s">
        <v>74</v>
      </c>
      <c r="AR544" t="s">
        <v>10543</v>
      </c>
      <c r="AS544" t="s">
        <v>10544</v>
      </c>
      <c r="AT544" t="s">
        <v>9658</v>
      </c>
      <c r="AU544">
        <v>2014</v>
      </c>
      <c r="AV544">
        <v>50</v>
      </c>
      <c r="AW544">
        <v>6</v>
      </c>
      <c r="AX544" t="s">
        <v>74</v>
      </c>
      <c r="AY544" t="s">
        <v>74</v>
      </c>
      <c r="AZ544" t="s">
        <v>74</v>
      </c>
      <c r="BA544" t="s">
        <v>74</v>
      </c>
      <c r="BB544">
        <v>1081</v>
      </c>
      <c r="BC544">
        <v>1088</v>
      </c>
      <c r="BD544" t="s">
        <v>74</v>
      </c>
      <c r="BE544" t="s">
        <v>10545</v>
      </c>
      <c r="BF544" t="str">
        <f>HYPERLINK("http://dx.doi.org/10.1111/jpy.12240","http://dx.doi.org/10.1111/jpy.12240")</f>
        <v>http://dx.doi.org/10.1111/jpy.12240</v>
      </c>
      <c r="BG544" t="s">
        <v>74</v>
      </c>
      <c r="BH544" t="s">
        <v>74</v>
      </c>
      <c r="BI544">
        <v>8</v>
      </c>
      <c r="BJ544" t="s">
        <v>90</v>
      </c>
      <c r="BK544" t="s">
        <v>91</v>
      </c>
      <c r="BL544" t="s">
        <v>90</v>
      </c>
      <c r="BM544" t="s">
        <v>10546</v>
      </c>
      <c r="BN544">
        <v>26988789</v>
      </c>
      <c r="BO544" t="s">
        <v>74</v>
      </c>
      <c r="BP544" t="s">
        <v>74</v>
      </c>
      <c r="BQ544" t="s">
        <v>74</v>
      </c>
      <c r="BR544" t="s">
        <v>93</v>
      </c>
      <c r="BS544" t="s">
        <v>10547</v>
      </c>
      <c r="BT544" t="str">
        <f>HYPERLINK("https%3A%2F%2Fwww.webofscience.com%2Fwos%2Fwoscc%2Ffull-record%2FWOS:000345760300011","View Full Record in Web of Science")</f>
        <v>View Full Record in Web of Science</v>
      </c>
    </row>
    <row r="545" spans="1:72" x14ac:dyDescent="0.15">
      <c r="A545" t="s">
        <v>72</v>
      </c>
      <c r="B545" t="s">
        <v>10548</v>
      </c>
      <c r="C545" t="s">
        <v>74</v>
      </c>
      <c r="D545" t="s">
        <v>74</v>
      </c>
      <c r="E545" t="s">
        <v>74</v>
      </c>
      <c r="F545" t="s">
        <v>10549</v>
      </c>
      <c r="G545" t="s">
        <v>74</v>
      </c>
      <c r="H545" t="s">
        <v>74</v>
      </c>
      <c r="I545" t="s">
        <v>10550</v>
      </c>
      <c r="J545" t="s">
        <v>2840</v>
      </c>
      <c r="K545" t="s">
        <v>74</v>
      </c>
      <c r="L545" t="s">
        <v>74</v>
      </c>
      <c r="M545" t="s">
        <v>78</v>
      </c>
      <c r="N545" t="s">
        <v>99</v>
      </c>
      <c r="O545" t="s">
        <v>74</v>
      </c>
      <c r="P545" t="s">
        <v>74</v>
      </c>
      <c r="Q545" t="s">
        <v>74</v>
      </c>
      <c r="R545" t="s">
        <v>74</v>
      </c>
      <c r="S545" t="s">
        <v>74</v>
      </c>
      <c r="T545" t="s">
        <v>74</v>
      </c>
      <c r="U545" t="s">
        <v>10551</v>
      </c>
      <c r="V545" t="s">
        <v>10552</v>
      </c>
      <c r="W545" t="s">
        <v>10553</v>
      </c>
      <c r="X545" t="s">
        <v>10554</v>
      </c>
      <c r="Y545" t="s">
        <v>10555</v>
      </c>
      <c r="Z545" t="s">
        <v>10556</v>
      </c>
      <c r="AA545" t="s">
        <v>74</v>
      </c>
      <c r="AB545" t="s">
        <v>74</v>
      </c>
      <c r="AC545" t="s">
        <v>10557</v>
      </c>
      <c r="AD545" t="s">
        <v>1893</v>
      </c>
      <c r="AE545" t="s">
        <v>10558</v>
      </c>
      <c r="AF545" t="s">
        <v>74</v>
      </c>
      <c r="AG545">
        <v>29</v>
      </c>
      <c r="AH545">
        <v>29</v>
      </c>
      <c r="AI545">
        <v>31</v>
      </c>
      <c r="AJ545">
        <v>1</v>
      </c>
      <c r="AK545">
        <v>12</v>
      </c>
      <c r="AL545" t="s">
        <v>1563</v>
      </c>
      <c r="AM545" t="s">
        <v>1564</v>
      </c>
      <c r="AN545" t="s">
        <v>10343</v>
      </c>
      <c r="AO545" t="s">
        <v>2852</v>
      </c>
      <c r="AP545" t="s">
        <v>2853</v>
      </c>
      <c r="AQ545" t="s">
        <v>74</v>
      </c>
      <c r="AR545" t="s">
        <v>2854</v>
      </c>
      <c r="AS545" t="s">
        <v>2855</v>
      </c>
      <c r="AT545" t="s">
        <v>9658</v>
      </c>
      <c r="AU545">
        <v>2014</v>
      </c>
      <c r="AV545">
        <v>44</v>
      </c>
      <c r="AW545">
        <v>12</v>
      </c>
      <c r="AX545" t="s">
        <v>74</v>
      </c>
      <c r="AY545" t="s">
        <v>74</v>
      </c>
      <c r="AZ545" t="s">
        <v>74</v>
      </c>
      <c r="BA545" t="s">
        <v>74</v>
      </c>
      <c r="BB545">
        <v>3072</v>
      </c>
      <c r="BC545">
        <v>3078</v>
      </c>
      <c r="BD545" t="s">
        <v>74</v>
      </c>
      <c r="BE545" t="s">
        <v>10559</v>
      </c>
      <c r="BF545" t="str">
        <f>HYPERLINK("http://dx.doi.org/10.1175/JPO-D-14-0062.1","http://dx.doi.org/10.1175/JPO-D-14-0062.1")</f>
        <v>http://dx.doi.org/10.1175/JPO-D-14-0062.1</v>
      </c>
      <c r="BG545" t="s">
        <v>74</v>
      </c>
      <c r="BH545" t="s">
        <v>74</v>
      </c>
      <c r="BI545">
        <v>7</v>
      </c>
      <c r="BJ545" t="s">
        <v>2054</v>
      </c>
      <c r="BK545" t="s">
        <v>91</v>
      </c>
      <c r="BL545" t="s">
        <v>2054</v>
      </c>
      <c r="BM545" t="s">
        <v>10560</v>
      </c>
      <c r="BN545" t="s">
        <v>74</v>
      </c>
      <c r="BO545" t="s">
        <v>991</v>
      </c>
      <c r="BP545" t="s">
        <v>74</v>
      </c>
      <c r="BQ545" t="s">
        <v>74</v>
      </c>
      <c r="BR545" t="s">
        <v>93</v>
      </c>
      <c r="BS545" t="s">
        <v>10561</v>
      </c>
      <c r="BT545" t="str">
        <f>HYPERLINK("https%3A%2F%2Fwww.webofscience.com%2Fwos%2Fwoscc%2Ffull-record%2FWOS:000345812300006","View Full Record in Web of Science")</f>
        <v>View Full Record in Web of Science</v>
      </c>
    </row>
    <row r="546" spans="1:72" x14ac:dyDescent="0.15">
      <c r="A546" t="s">
        <v>72</v>
      </c>
      <c r="B546" t="s">
        <v>10562</v>
      </c>
      <c r="C546" t="s">
        <v>74</v>
      </c>
      <c r="D546" t="s">
        <v>74</v>
      </c>
      <c r="E546" t="s">
        <v>74</v>
      </c>
      <c r="F546" t="s">
        <v>10563</v>
      </c>
      <c r="G546" t="s">
        <v>74</v>
      </c>
      <c r="H546" t="s">
        <v>74</v>
      </c>
      <c r="I546" t="s">
        <v>10564</v>
      </c>
      <c r="J546" t="s">
        <v>10565</v>
      </c>
      <c r="K546" t="s">
        <v>74</v>
      </c>
      <c r="L546" t="s">
        <v>74</v>
      </c>
      <c r="M546" t="s">
        <v>78</v>
      </c>
      <c r="N546" t="s">
        <v>99</v>
      </c>
      <c r="O546" t="s">
        <v>74</v>
      </c>
      <c r="P546" t="s">
        <v>74</v>
      </c>
      <c r="Q546" t="s">
        <v>74</v>
      </c>
      <c r="R546" t="s">
        <v>74</v>
      </c>
      <c r="S546" t="s">
        <v>74</v>
      </c>
      <c r="T546" t="s">
        <v>10566</v>
      </c>
      <c r="U546" t="s">
        <v>10567</v>
      </c>
      <c r="V546" t="s">
        <v>10568</v>
      </c>
      <c r="W546" t="s">
        <v>10569</v>
      </c>
      <c r="X546" t="s">
        <v>10570</v>
      </c>
      <c r="Y546" t="s">
        <v>10571</v>
      </c>
      <c r="Z546" t="s">
        <v>10572</v>
      </c>
      <c r="AA546" t="s">
        <v>10573</v>
      </c>
      <c r="AB546" t="s">
        <v>10574</v>
      </c>
      <c r="AC546" t="s">
        <v>10575</v>
      </c>
      <c r="AD546" t="s">
        <v>10576</v>
      </c>
      <c r="AE546" t="s">
        <v>10577</v>
      </c>
      <c r="AF546" t="s">
        <v>74</v>
      </c>
      <c r="AG546">
        <v>54</v>
      </c>
      <c r="AH546">
        <v>22</v>
      </c>
      <c r="AI546">
        <v>27</v>
      </c>
      <c r="AJ546">
        <v>1</v>
      </c>
      <c r="AK546">
        <v>17</v>
      </c>
      <c r="AL546" t="s">
        <v>1175</v>
      </c>
      <c r="AM546" t="s">
        <v>1176</v>
      </c>
      <c r="AN546" t="s">
        <v>2938</v>
      </c>
      <c r="AO546" t="s">
        <v>10578</v>
      </c>
      <c r="AP546" t="s">
        <v>10579</v>
      </c>
      <c r="AQ546" t="s">
        <v>74</v>
      </c>
      <c r="AR546" t="s">
        <v>10580</v>
      </c>
      <c r="AS546" t="s">
        <v>10581</v>
      </c>
      <c r="AT546" t="s">
        <v>9658</v>
      </c>
      <c r="AU546">
        <v>2014</v>
      </c>
      <c r="AV546">
        <v>113</v>
      </c>
      <c r="AW546" t="s">
        <v>74</v>
      </c>
      <c r="AX546" t="s">
        <v>74</v>
      </c>
      <c r="AY546" t="s">
        <v>74</v>
      </c>
      <c r="AZ546" t="s">
        <v>74</v>
      </c>
      <c r="BA546" t="s">
        <v>74</v>
      </c>
      <c r="BB546">
        <v>10</v>
      </c>
      <c r="BC546">
        <v>19</v>
      </c>
      <c r="BD546" t="s">
        <v>74</v>
      </c>
      <c r="BE546" t="s">
        <v>10582</v>
      </c>
      <c r="BF546" t="str">
        <f>HYPERLINK("http://dx.doi.org/10.1016/j.marmicro.2014.08.006","http://dx.doi.org/10.1016/j.marmicro.2014.08.006")</f>
        <v>http://dx.doi.org/10.1016/j.marmicro.2014.08.006</v>
      </c>
      <c r="BG546" t="s">
        <v>74</v>
      </c>
      <c r="BH546" t="s">
        <v>74</v>
      </c>
      <c r="BI546">
        <v>10</v>
      </c>
      <c r="BJ546" t="s">
        <v>447</v>
      </c>
      <c r="BK546" t="s">
        <v>91</v>
      </c>
      <c r="BL546" t="s">
        <v>447</v>
      </c>
      <c r="BM546" t="s">
        <v>10583</v>
      </c>
      <c r="BN546" t="s">
        <v>74</v>
      </c>
      <c r="BO546" t="s">
        <v>74</v>
      </c>
      <c r="BP546" t="s">
        <v>74</v>
      </c>
      <c r="BQ546" t="s">
        <v>74</v>
      </c>
      <c r="BR546" t="s">
        <v>93</v>
      </c>
      <c r="BS546" t="s">
        <v>10584</v>
      </c>
      <c r="BT546" t="str">
        <f>HYPERLINK("https%3A%2F%2Fwww.webofscience.com%2Fwos%2Fwoscc%2Ffull-record%2FWOS:000345879400002","View Full Record in Web of Science")</f>
        <v>View Full Record in Web of Science</v>
      </c>
    </row>
    <row r="547" spans="1:72" x14ac:dyDescent="0.15">
      <c r="A547" t="s">
        <v>72</v>
      </c>
      <c r="B547" t="s">
        <v>10585</v>
      </c>
      <c r="C547" t="s">
        <v>74</v>
      </c>
      <c r="D547" t="s">
        <v>74</v>
      </c>
      <c r="E547" t="s">
        <v>74</v>
      </c>
      <c r="F547" t="s">
        <v>10586</v>
      </c>
      <c r="G547" t="s">
        <v>74</v>
      </c>
      <c r="H547" t="s">
        <v>74</v>
      </c>
      <c r="I547" t="s">
        <v>10587</v>
      </c>
      <c r="J547" t="s">
        <v>2878</v>
      </c>
      <c r="K547" t="s">
        <v>74</v>
      </c>
      <c r="L547" t="s">
        <v>74</v>
      </c>
      <c r="M547" t="s">
        <v>78</v>
      </c>
      <c r="N547" t="s">
        <v>99</v>
      </c>
      <c r="O547" t="s">
        <v>74</v>
      </c>
      <c r="P547" t="s">
        <v>74</v>
      </c>
      <c r="Q547" t="s">
        <v>74</v>
      </c>
      <c r="R547" t="s">
        <v>74</v>
      </c>
      <c r="S547" t="s">
        <v>74</v>
      </c>
      <c r="T547" t="s">
        <v>74</v>
      </c>
      <c r="U547" t="s">
        <v>10588</v>
      </c>
      <c r="V547" t="s">
        <v>10589</v>
      </c>
      <c r="W547" t="s">
        <v>10590</v>
      </c>
      <c r="X547" t="s">
        <v>10591</v>
      </c>
      <c r="Y547" t="s">
        <v>10592</v>
      </c>
      <c r="Z547" t="s">
        <v>10593</v>
      </c>
      <c r="AA547" t="s">
        <v>10594</v>
      </c>
      <c r="AB547" t="s">
        <v>10595</v>
      </c>
      <c r="AC547" t="s">
        <v>10596</v>
      </c>
      <c r="AD547" t="s">
        <v>10597</v>
      </c>
      <c r="AE547" t="s">
        <v>10598</v>
      </c>
      <c r="AF547" t="s">
        <v>74</v>
      </c>
      <c r="AG547">
        <v>83</v>
      </c>
      <c r="AH547">
        <v>24</v>
      </c>
      <c r="AI547">
        <v>27</v>
      </c>
      <c r="AJ547">
        <v>1</v>
      </c>
      <c r="AK547">
        <v>17</v>
      </c>
      <c r="AL547" t="s">
        <v>2006</v>
      </c>
      <c r="AM547" t="s">
        <v>2007</v>
      </c>
      <c r="AN547" t="s">
        <v>2008</v>
      </c>
      <c r="AO547" t="s">
        <v>2890</v>
      </c>
      <c r="AP547" t="s">
        <v>2891</v>
      </c>
      <c r="AQ547" t="s">
        <v>74</v>
      </c>
      <c r="AR547" t="s">
        <v>2892</v>
      </c>
      <c r="AS547" t="s">
        <v>2893</v>
      </c>
      <c r="AT547" t="s">
        <v>9658</v>
      </c>
      <c r="AU547">
        <v>2014</v>
      </c>
      <c r="AV547">
        <v>49</v>
      </c>
      <c r="AW547">
        <v>12</v>
      </c>
      <c r="AX547" t="s">
        <v>74</v>
      </c>
      <c r="AY547" t="s">
        <v>74</v>
      </c>
      <c r="AZ547" t="s">
        <v>74</v>
      </c>
      <c r="BA547" t="s">
        <v>74</v>
      </c>
      <c r="BB547">
        <v>2133</v>
      </c>
      <c r="BC547">
        <v>2151</v>
      </c>
      <c r="BD547" t="s">
        <v>74</v>
      </c>
      <c r="BE547" t="s">
        <v>10599</v>
      </c>
      <c r="BF547" t="str">
        <f>HYPERLINK("http://dx.doi.org/10.1111/maps.12377","http://dx.doi.org/10.1111/maps.12377")</f>
        <v>http://dx.doi.org/10.1111/maps.12377</v>
      </c>
      <c r="BG547" t="s">
        <v>74</v>
      </c>
      <c r="BH547" t="s">
        <v>74</v>
      </c>
      <c r="BI547">
        <v>19</v>
      </c>
      <c r="BJ547" t="s">
        <v>1902</v>
      </c>
      <c r="BK547" t="s">
        <v>91</v>
      </c>
      <c r="BL547" t="s">
        <v>1902</v>
      </c>
      <c r="BM547" t="s">
        <v>10600</v>
      </c>
      <c r="BN547">
        <v>26640360</v>
      </c>
      <c r="BO547" t="s">
        <v>9238</v>
      </c>
      <c r="BP547" t="s">
        <v>74</v>
      </c>
      <c r="BQ547" t="s">
        <v>74</v>
      </c>
      <c r="BR547" t="s">
        <v>93</v>
      </c>
      <c r="BS547" t="s">
        <v>10601</v>
      </c>
      <c r="BT547" t="str">
        <f>HYPERLINK("https%3A%2F%2Fwww.webofscience.com%2Fwos%2Fwoscc%2Ffull-record%2FWOS:000345762800002","View Full Record in Web of Science")</f>
        <v>View Full Record in Web of Science</v>
      </c>
    </row>
    <row r="548" spans="1:72" x14ac:dyDescent="0.15">
      <c r="A548" t="s">
        <v>72</v>
      </c>
      <c r="B548" t="s">
        <v>10602</v>
      </c>
      <c r="C548" t="s">
        <v>74</v>
      </c>
      <c r="D548" t="s">
        <v>74</v>
      </c>
      <c r="E548" t="s">
        <v>74</v>
      </c>
      <c r="F548" t="s">
        <v>10603</v>
      </c>
      <c r="G548" t="s">
        <v>74</v>
      </c>
      <c r="H548" t="s">
        <v>74</v>
      </c>
      <c r="I548" t="s">
        <v>10604</v>
      </c>
      <c r="J548" t="s">
        <v>10605</v>
      </c>
      <c r="K548" t="s">
        <v>74</v>
      </c>
      <c r="L548" t="s">
        <v>74</v>
      </c>
      <c r="M548" t="s">
        <v>78</v>
      </c>
      <c r="N548" t="s">
        <v>99</v>
      </c>
      <c r="O548" t="s">
        <v>74</v>
      </c>
      <c r="P548" t="s">
        <v>74</v>
      </c>
      <c r="Q548" t="s">
        <v>74</v>
      </c>
      <c r="R548" t="s">
        <v>74</v>
      </c>
      <c r="S548" t="s">
        <v>74</v>
      </c>
      <c r="T548" t="s">
        <v>74</v>
      </c>
      <c r="U548" t="s">
        <v>10606</v>
      </c>
      <c r="V548" t="s">
        <v>10607</v>
      </c>
      <c r="W548" t="s">
        <v>10608</v>
      </c>
      <c r="X548" t="s">
        <v>10609</v>
      </c>
      <c r="Y548" t="s">
        <v>10610</v>
      </c>
      <c r="Z548" t="s">
        <v>10611</v>
      </c>
      <c r="AA548" t="s">
        <v>10612</v>
      </c>
      <c r="AB548" t="s">
        <v>74</v>
      </c>
      <c r="AC548" t="s">
        <v>10613</v>
      </c>
      <c r="AD548" t="s">
        <v>10614</v>
      </c>
      <c r="AE548" t="s">
        <v>10615</v>
      </c>
      <c r="AF548" t="s">
        <v>74</v>
      </c>
      <c r="AG548">
        <v>26</v>
      </c>
      <c r="AH548">
        <v>14</v>
      </c>
      <c r="AI548">
        <v>14</v>
      </c>
      <c r="AJ548">
        <v>1</v>
      </c>
      <c r="AK548">
        <v>12</v>
      </c>
      <c r="AL548" t="s">
        <v>1563</v>
      </c>
      <c r="AM548" t="s">
        <v>1564</v>
      </c>
      <c r="AN548" t="s">
        <v>1565</v>
      </c>
      <c r="AO548" t="s">
        <v>10616</v>
      </c>
      <c r="AP548" t="s">
        <v>10617</v>
      </c>
      <c r="AQ548" t="s">
        <v>74</v>
      </c>
      <c r="AR548" t="s">
        <v>10618</v>
      </c>
      <c r="AS548" t="s">
        <v>10619</v>
      </c>
      <c r="AT548" t="s">
        <v>9658</v>
      </c>
      <c r="AU548">
        <v>2014</v>
      </c>
      <c r="AV548">
        <v>142</v>
      </c>
      <c r="AW548">
        <v>12</v>
      </c>
      <c r="AX548" t="s">
        <v>74</v>
      </c>
      <c r="AY548" t="s">
        <v>74</v>
      </c>
      <c r="AZ548" t="s">
        <v>74</v>
      </c>
      <c r="BA548" t="s">
        <v>74</v>
      </c>
      <c r="BB548">
        <v>4719</v>
      </c>
      <c r="BC548">
        <v>4734</v>
      </c>
      <c r="BD548" t="s">
        <v>74</v>
      </c>
      <c r="BE548" t="s">
        <v>10620</v>
      </c>
      <c r="BF548" t="str">
        <f>HYPERLINK("http://dx.doi.org/10.1175/MWR-D-14-00077.1","http://dx.doi.org/10.1175/MWR-D-14-00077.1")</f>
        <v>http://dx.doi.org/10.1175/MWR-D-14-00077.1</v>
      </c>
      <c r="BG548" t="s">
        <v>74</v>
      </c>
      <c r="BH548" t="s">
        <v>74</v>
      </c>
      <c r="BI548">
        <v>16</v>
      </c>
      <c r="BJ548" t="s">
        <v>226</v>
      </c>
      <c r="BK548" t="s">
        <v>91</v>
      </c>
      <c r="BL548" t="s">
        <v>226</v>
      </c>
      <c r="BM548" t="s">
        <v>10621</v>
      </c>
      <c r="BN548" t="s">
        <v>74</v>
      </c>
      <c r="BO548" t="s">
        <v>134</v>
      </c>
      <c r="BP548" t="s">
        <v>74</v>
      </c>
      <c r="BQ548" t="s">
        <v>74</v>
      </c>
      <c r="BR548" t="s">
        <v>93</v>
      </c>
      <c r="BS548" t="s">
        <v>10622</v>
      </c>
      <c r="BT548" t="str">
        <f>HYPERLINK("https%3A%2F%2Fwww.webofscience.com%2Fwos%2Fwoscc%2Ffull-record%2FWOS:000345860400020","View Full Record in Web of Science")</f>
        <v>View Full Record in Web of Science</v>
      </c>
    </row>
    <row r="549" spans="1:72" x14ac:dyDescent="0.15">
      <c r="A549" t="s">
        <v>72</v>
      </c>
      <c r="B549" t="s">
        <v>10623</v>
      </c>
      <c r="C549" t="s">
        <v>74</v>
      </c>
      <c r="D549" t="s">
        <v>74</v>
      </c>
      <c r="E549" t="s">
        <v>74</v>
      </c>
      <c r="F549" t="s">
        <v>10624</v>
      </c>
      <c r="G549" t="s">
        <v>74</v>
      </c>
      <c r="H549" t="s">
        <v>74</v>
      </c>
      <c r="I549" t="s">
        <v>10625</v>
      </c>
      <c r="J549" t="s">
        <v>10626</v>
      </c>
      <c r="K549" t="s">
        <v>74</v>
      </c>
      <c r="L549" t="s">
        <v>74</v>
      </c>
      <c r="M549" t="s">
        <v>78</v>
      </c>
      <c r="N549" t="s">
        <v>99</v>
      </c>
      <c r="O549" t="s">
        <v>74</v>
      </c>
      <c r="P549" t="s">
        <v>74</v>
      </c>
      <c r="Q549" t="s">
        <v>74</v>
      </c>
      <c r="R549" t="s">
        <v>74</v>
      </c>
      <c r="S549" t="s">
        <v>74</v>
      </c>
      <c r="T549" t="s">
        <v>10627</v>
      </c>
      <c r="U549" t="s">
        <v>10628</v>
      </c>
      <c r="V549" t="s">
        <v>10629</v>
      </c>
      <c r="W549" t="s">
        <v>10630</v>
      </c>
      <c r="X549" t="s">
        <v>10631</v>
      </c>
      <c r="Y549" t="s">
        <v>10632</v>
      </c>
      <c r="Z549" t="s">
        <v>10633</v>
      </c>
      <c r="AA549" t="s">
        <v>10634</v>
      </c>
      <c r="AB549" t="s">
        <v>10635</v>
      </c>
      <c r="AC549" t="s">
        <v>10636</v>
      </c>
      <c r="AD549" t="s">
        <v>10636</v>
      </c>
      <c r="AE549" t="s">
        <v>10637</v>
      </c>
      <c r="AF549" t="s">
        <v>74</v>
      </c>
      <c r="AG549">
        <v>84</v>
      </c>
      <c r="AH549">
        <v>12</v>
      </c>
      <c r="AI549">
        <v>12</v>
      </c>
      <c r="AJ549">
        <v>0</v>
      </c>
      <c r="AK549">
        <v>9</v>
      </c>
      <c r="AL549" t="s">
        <v>2640</v>
      </c>
      <c r="AM549" t="s">
        <v>1176</v>
      </c>
      <c r="AN549" t="s">
        <v>2641</v>
      </c>
      <c r="AO549" t="s">
        <v>10638</v>
      </c>
      <c r="AP549" t="s">
        <v>10639</v>
      </c>
      <c r="AQ549" t="s">
        <v>74</v>
      </c>
      <c r="AR549" t="s">
        <v>10626</v>
      </c>
      <c r="AS549" t="s">
        <v>10640</v>
      </c>
      <c r="AT549" t="s">
        <v>9961</v>
      </c>
      <c r="AU549">
        <v>2014</v>
      </c>
      <c r="AV549">
        <v>636</v>
      </c>
      <c r="AW549" t="s">
        <v>74</v>
      </c>
      <c r="AX549" t="s">
        <v>74</v>
      </c>
      <c r="AY549" t="s">
        <v>74</v>
      </c>
      <c r="AZ549" t="s">
        <v>74</v>
      </c>
      <c r="BA549" t="s">
        <v>74</v>
      </c>
      <c r="BB549">
        <v>228</v>
      </c>
      <c r="BC549">
        <v>243</v>
      </c>
      <c r="BD549" t="s">
        <v>74</v>
      </c>
      <c r="BE549" t="s">
        <v>10641</v>
      </c>
      <c r="BF549" t="str">
        <f>HYPERLINK("http://dx.doi.org/10.1016/j.tecto.2014.08.021","http://dx.doi.org/10.1016/j.tecto.2014.08.021")</f>
        <v>http://dx.doi.org/10.1016/j.tecto.2014.08.021</v>
      </c>
      <c r="BG549" t="s">
        <v>74</v>
      </c>
      <c r="BH549" t="s">
        <v>74</v>
      </c>
      <c r="BI549">
        <v>16</v>
      </c>
      <c r="BJ549" t="s">
        <v>1902</v>
      </c>
      <c r="BK549" t="s">
        <v>91</v>
      </c>
      <c r="BL549" t="s">
        <v>1902</v>
      </c>
      <c r="BM549" t="s">
        <v>10642</v>
      </c>
      <c r="BN549" t="s">
        <v>74</v>
      </c>
      <c r="BO549" t="s">
        <v>74</v>
      </c>
      <c r="BP549" t="s">
        <v>74</v>
      </c>
      <c r="BQ549" t="s">
        <v>74</v>
      </c>
      <c r="BR549" t="s">
        <v>93</v>
      </c>
      <c r="BS549" t="s">
        <v>10643</v>
      </c>
      <c r="BT549" t="str">
        <f>HYPERLINK("https%3A%2F%2Fwww.webofscience.com%2Fwos%2Fwoscc%2Ffull-record%2FWOS:000345821700017","View Full Record in Web of Science")</f>
        <v>View Full Record in Web of Science</v>
      </c>
    </row>
    <row r="550" spans="1:72" x14ac:dyDescent="0.15">
      <c r="A550" t="s">
        <v>72</v>
      </c>
      <c r="B550" t="s">
        <v>10644</v>
      </c>
      <c r="C550" t="s">
        <v>74</v>
      </c>
      <c r="D550" t="s">
        <v>74</v>
      </c>
      <c r="E550" t="s">
        <v>74</v>
      </c>
      <c r="F550" t="s">
        <v>10645</v>
      </c>
      <c r="G550" t="s">
        <v>74</v>
      </c>
      <c r="H550" t="s">
        <v>74</v>
      </c>
      <c r="I550" t="s">
        <v>10646</v>
      </c>
      <c r="J550" t="s">
        <v>10626</v>
      </c>
      <c r="K550" t="s">
        <v>74</v>
      </c>
      <c r="L550" t="s">
        <v>74</v>
      </c>
      <c r="M550" t="s">
        <v>78</v>
      </c>
      <c r="N550" t="s">
        <v>99</v>
      </c>
      <c r="O550" t="s">
        <v>74</v>
      </c>
      <c r="P550" t="s">
        <v>74</v>
      </c>
      <c r="Q550" t="s">
        <v>74</v>
      </c>
      <c r="R550" t="s">
        <v>74</v>
      </c>
      <c r="S550" t="s">
        <v>74</v>
      </c>
      <c r="T550" t="s">
        <v>10647</v>
      </c>
      <c r="U550" t="s">
        <v>10648</v>
      </c>
      <c r="V550" t="s">
        <v>10649</v>
      </c>
      <c r="W550" t="s">
        <v>10650</v>
      </c>
      <c r="X550" t="s">
        <v>10651</v>
      </c>
      <c r="Y550" t="s">
        <v>10652</v>
      </c>
      <c r="Z550" t="s">
        <v>10653</v>
      </c>
      <c r="AA550" t="s">
        <v>10654</v>
      </c>
      <c r="AB550" t="s">
        <v>10655</v>
      </c>
      <c r="AC550" t="s">
        <v>10656</v>
      </c>
      <c r="AD550" t="s">
        <v>10657</v>
      </c>
      <c r="AE550" t="s">
        <v>10658</v>
      </c>
      <c r="AF550" t="s">
        <v>74</v>
      </c>
      <c r="AG550">
        <v>75</v>
      </c>
      <c r="AH550">
        <v>9</v>
      </c>
      <c r="AI550">
        <v>9</v>
      </c>
      <c r="AJ550">
        <v>1</v>
      </c>
      <c r="AK550">
        <v>26</v>
      </c>
      <c r="AL550" t="s">
        <v>1175</v>
      </c>
      <c r="AM550" t="s">
        <v>1176</v>
      </c>
      <c r="AN550" t="s">
        <v>2938</v>
      </c>
      <c r="AO550" t="s">
        <v>10638</v>
      </c>
      <c r="AP550" t="s">
        <v>10639</v>
      </c>
      <c r="AQ550" t="s">
        <v>74</v>
      </c>
      <c r="AR550" t="s">
        <v>10626</v>
      </c>
      <c r="AS550" t="s">
        <v>10640</v>
      </c>
      <c r="AT550" t="s">
        <v>9961</v>
      </c>
      <c r="AU550">
        <v>2014</v>
      </c>
      <c r="AV550">
        <v>636</v>
      </c>
      <c r="AW550" t="s">
        <v>74</v>
      </c>
      <c r="AX550" t="s">
        <v>74</v>
      </c>
      <c r="AY550" t="s">
        <v>74</v>
      </c>
      <c r="AZ550" t="s">
        <v>74</v>
      </c>
      <c r="BA550" t="s">
        <v>74</v>
      </c>
      <c r="BB550">
        <v>244</v>
      </c>
      <c r="BC550">
        <v>256</v>
      </c>
      <c r="BD550" t="s">
        <v>74</v>
      </c>
      <c r="BE550" t="s">
        <v>10659</v>
      </c>
      <c r="BF550" t="str">
        <f>HYPERLINK("http://dx.doi.org/10.1016/j.tecto.2014.08.020","http://dx.doi.org/10.1016/j.tecto.2014.08.020")</f>
        <v>http://dx.doi.org/10.1016/j.tecto.2014.08.020</v>
      </c>
      <c r="BG550" t="s">
        <v>74</v>
      </c>
      <c r="BH550" t="s">
        <v>74</v>
      </c>
      <c r="BI550">
        <v>13</v>
      </c>
      <c r="BJ550" t="s">
        <v>1902</v>
      </c>
      <c r="BK550" t="s">
        <v>91</v>
      </c>
      <c r="BL550" t="s">
        <v>1902</v>
      </c>
      <c r="BM550" t="s">
        <v>10642</v>
      </c>
      <c r="BN550" t="s">
        <v>74</v>
      </c>
      <c r="BO550" t="s">
        <v>74</v>
      </c>
      <c r="BP550" t="s">
        <v>74</v>
      </c>
      <c r="BQ550" t="s">
        <v>74</v>
      </c>
      <c r="BR550" t="s">
        <v>93</v>
      </c>
      <c r="BS550" t="s">
        <v>10660</v>
      </c>
      <c r="BT550" t="str">
        <f>HYPERLINK("https%3A%2F%2Fwww.webofscience.com%2Fwos%2Fwoscc%2Ffull-record%2FWOS:000345821700018","View Full Record in Web of Science")</f>
        <v>View Full Record in Web of Science</v>
      </c>
    </row>
    <row r="551" spans="1:72" x14ac:dyDescent="0.15">
      <c r="A551" t="s">
        <v>72</v>
      </c>
      <c r="B551" t="s">
        <v>10661</v>
      </c>
      <c r="C551" t="s">
        <v>74</v>
      </c>
      <c r="D551" t="s">
        <v>74</v>
      </c>
      <c r="E551" t="s">
        <v>74</v>
      </c>
      <c r="F551" t="s">
        <v>10662</v>
      </c>
      <c r="G551" t="s">
        <v>74</v>
      </c>
      <c r="H551" t="s">
        <v>74</v>
      </c>
      <c r="I551" t="s">
        <v>10663</v>
      </c>
      <c r="J551" t="s">
        <v>3506</v>
      </c>
      <c r="K551" t="s">
        <v>74</v>
      </c>
      <c r="L551" t="s">
        <v>74</v>
      </c>
      <c r="M551" t="s">
        <v>78</v>
      </c>
      <c r="N551" t="s">
        <v>99</v>
      </c>
      <c r="O551" t="s">
        <v>74</v>
      </c>
      <c r="P551" t="s">
        <v>74</v>
      </c>
      <c r="Q551" t="s">
        <v>74</v>
      </c>
      <c r="R551" t="s">
        <v>74</v>
      </c>
      <c r="S551" t="s">
        <v>74</v>
      </c>
      <c r="T551" t="s">
        <v>74</v>
      </c>
      <c r="U551" t="s">
        <v>10664</v>
      </c>
      <c r="V551" t="s">
        <v>10665</v>
      </c>
      <c r="W551" t="s">
        <v>10666</v>
      </c>
      <c r="X551" t="s">
        <v>9648</v>
      </c>
      <c r="Y551" t="s">
        <v>10667</v>
      </c>
      <c r="Z551" t="s">
        <v>10668</v>
      </c>
      <c r="AA551" t="s">
        <v>74</v>
      </c>
      <c r="AB551" t="s">
        <v>10669</v>
      </c>
      <c r="AC551" t="s">
        <v>10670</v>
      </c>
      <c r="AD551" t="s">
        <v>10671</v>
      </c>
      <c r="AE551" t="s">
        <v>10672</v>
      </c>
      <c r="AF551" t="s">
        <v>74</v>
      </c>
      <c r="AG551">
        <v>73</v>
      </c>
      <c r="AH551">
        <v>8</v>
      </c>
      <c r="AI551">
        <v>11</v>
      </c>
      <c r="AJ551">
        <v>1</v>
      </c>
      <c r="AK551">
        <v>55</v>
      </c>
      <c r="AL551" t="s">
        <v>2439</v>
      </c>
      <c r="AM551" t="s">
        <v>1411</v>
      </c>
      <c r="AN551" t="s">
        <v>2440</v>
      </c>
      <c r="AO551" t="s">
        <v>3518</v>
      </c>
      <c r="AP551" t="s">
        <v>74</v>
      </c>
      <c r="AQ551" t="s">
        <v>74</v>
      </c>
      <c r="AR551" t="s">
        <v>3519</v>
      </c>
      <c r="AS551" t="s">
        <v>3520</v>
      </c>
      <c r="AT551" t="s">
        <v>9658</v>
      </c>
      <c r="AU551">
        <v>2014</v>
      </c>
      <c r="AV551">
        <v>51</v>
      </c>
      <c r="AW551" t="s">
        <v>74</v>
      </c>
      <c r="AX551" t="s">
        <v>74</v>
      </c>
      <c r="AY551" t="s">
        <v>74</v>
      </c>
      <c r="AZ551" t="s">
        <v>74</v>
      </c>
      <c r="BA551" t="s">
        <v>74</v>
      </c>
      <c r="BB551">
        <v>33</v>
      </c>
      <c r="BC551">
        <v>43</v>
      </c>
      <c r="BD551" t="s">
        <v>74</v>
      </c>
      <c r="BE551" t="s">
        <v>10673</v>
      </c>
      <c r="BF551" t="str">
        <f>HYPERLINK("http://dx.doi.org/10.1016/j.apgeochem.2014.08.011","http://dx.doi.org/10.1016/j.apgeochem.2014.08.011")</f>
        <v>http://dx.doi.org/10.1016/j.apgeochem.2014.08.011</v>
      </c>
      <c r="BG551" t="s">
        <v>74</v>
      </c>
      <c r="BH551" t="s">
        <v>74</v>
      </c>
      <c r="BI551">
        <v>11</v>
      </c>
      <c r="BJ551" t="s">
        <v>1902</v>
      </c>
      <c r="BK551" t="s">
        <v>91</v>
      </c>
      <c r="BL551" t="s">
        <v>1902</v>
      </c>
      <c r="BM551" t="s">
        <v>10674</v>
      </c>
      <c r="BN551" t="s">
        <v>74</v>
      </c>
      <c r="BO551" t="s">
        <v>74</v>
      </c>
      <c r="BP551" t="s">
        <v>74</v>
      </c>
      <c r="BQ551" t="s">
        <v>74</v>
      </c>
      <c r="BR551" t="s">
        <v>93</v>
      </c>
      <c r="BS551" t="s">
        <v>10675</v>
      </c>
      <c r="BT551" t="str">
        <f>HYPERLINK("https%3A%2F%2Fwww.webofscience.com%2Fwos%2Fwoscc%2Ffull-record%2FWOS:000345405400004","View Full Record in Web of Science")</f>
        <v>View Full Record in Web of Science</v>
      </c>
    </row>
    <row r="552" spans="1:72" x14ac:dyDescent="0.15">
      <c r="A552" t="s">
        <v>72</v>
      </c>
      <c r="B552" t="s">
        <v>10676</v>
      </c>
      <c r="C552" t="s">
        <v>74</v>
      </c>
      <c r="D552" t="s">
        <v>74</v>
      </c>
      <c r="E552" t="s">
        <v>74</v>
      </c>
      <c r="F552" t="s">
        <v>10677</v>
      </c>
      <c r="G552" t="s">
        <v>74</v>
      </c>
      <c r="H552" t="s">
        <v>74</v>
      </c>
      <c r="I552" t="s">
        <v>10678</v>
      </c>
      <c r="J552" t="s">
        <v>2725</v>
      </c>
      <c r="K552" t="s">
        <v>74</v>
      </c>
      <c r="L552" t="s">
        <v>74</v>
      </c>
      <c r="M552" t="s">
        <v>78</v>
      </c>
      <c r="N552" t="s">
        <v>99</v>
      </c>
      <c r="O552" t="s">
        <v>74</v>
      </c>
      <c r="P552" t="s">
        <v>74</v>
      </c>
      <c r="Q552" t="s">
        <v>74</v>
      </c>
      <c r="R552" t="s">
        <v>74</v>
      </c>
      <c r="S552" t="s">
        <v>74</v>
      </c>
      <c r="T552" t="s">
        <v>10679</v>
      </c>
      <c r="U552" t="s">
        <v>10680</v>
      </c>
      <c r="V552" t="s">
        <v>10681</v>
      </c>
      <c r="W552" t="s">
        <v>10682</v>
      </c>
      <c r="X552" t="s">
        <v>10683</v>
      </c>
      <c r="Y552" t="s">
        <v>10684</v>
      </c>
      <c r="Z552" t="s">
        <v>10685</v>
      </c>
      <c r="AA552" t="s">
        <v>10686</v>
      </c>
      <c r="AB552" t="s">
        <v>10687</v>
      </c>
      <c r="AC552" t="s">
        <v>10688</v>
      </c>
      <c r="AD552" t="s">
        <v>10689</v>
      </c>
      <c r="AE552" t="s">
        <v>10690</v>
      </c>
      <c r="AF552" t="s">
        <v>74</v>
      </c>
      <c r="AG552">
        <v>62</v>
      </c>
      <c r="AH552">
        <v>14</v>
      </c>
      <c r="AI552">
        <v>18</v>
      </c>
      <c r="AJ552">
        <v>5</v>
      </c>
      <c r="AK552">
        <v>73</v>
      </c>
      <c r="AL552" t="s">
        <v>2439</v>
      </c>
      <c r="AM552" t="s">
        <v>1411</v>
      </c>
      <c r="AN552" t="s">
        <v>2440</v>
      </c>
      <c r="AO552" t="s">
        <v>2738</v>
      </c>
      <c r="AP552" t="s">
        <v>2739</v>
      </c>
      <c r="AQ552" t="s">
        <v>74</v>
      </c>
      <c r="AR552" t="s">
        <v>2740</v>
      </c>
      <c r="AS552" t="s">
        <v>2741</v>
      </c>
      <c r="AT552" t="s">
        <v>9658</v>
      </c>
      <c r="AU552">
        <v>2014</v>
      </c>
      <c r="AV552">
        <v>98</v>
      </c>
      <c r="AW552" t="s">
        <v>74</v>
      </c>
      <c r="AX552" t="s">
        <v>74</v>
      </c>
      <c r="AY552" t="s">
        <v>74</v>
      </c>
      <c r="AZ552" t="s">
        <v>74</v>
      </c>
      <c r="BA552" t="s">
        <v>74</v>
      </c>
      <c r="BB552">
        <v>190</v>
      </c>
      <c r="BC552">
        <v>201</v>
      </c>
      <c r="BD552" t="s">
        <v>74</v>
      </c>
      <c r="BE552" t="s">
        <v>10691</v>
      </c>
      <c r="BF552" t="str">
        <f>HYPERLINK("http://dx.doi.org/10.1016/j.atmosenv.2014.08.065","http://dx.doi.org/10.1016/j.atmosenv.2014.08.065")</f>
        <v>http://dx.doi.org/10.1016/j.atmosenv.2014.08.065</v>
      </c>
      <c r="BG552" t="s">
        <v>74</v>
      </c>
      <c r="BH552" t="s">
        <v>74</v>
      </c>
      <c r="BI552">
        <v>12</v>
      </c>
      <c r="BJ552" t="s">
        <v>497</v>
      </c>
      <c r="BK552" t="s">
        <v>91</v>
      </c>
      <c r="BL552" t="s">
        <v>498</v>
      </c>
      <c r="BM552" t="s">
        <v>10692</v>
      </c>
      <c r="BN552" t="s">
        <v>74</v>
      </c>
      <c r="BO552" t="s">
        <v>74</v>
      </c>
      <c r="BP552" t="s">
        <v>74</v>
      </c>
      <c r="BQ552" t="s">
        <v>74</v>
      </c>
      <c r="BR552" t="s">
        <v>93</v>
      </c>
      <c r="BS552" t="s">
        <v>10693</v>
      </c>
      <c r="BT552" t="str">
        <f>HYPERLINK("https%3A%2F%2Fwww.webofscience.com%2Fwos%2Fwoscc%2Ffull-record%2FWOS:000345475000021","View Full Record in Web of Science")</f>
        <v>View Full Record in Web of Science</v>
      </c>
    </row>
    <row r="553" spans="1:72" x14ac:dyDescent="0.15">
      <c r="A553" t="s">
        <v>72</v>
      </c>
      <c r="B553" t="s">
        <v>10694</v>
      </c>
      <c r="C553" t="s">
        <v>74</v>
      </c>
      <c r="D553" t="s">
        <v>74</v>
      </c>
      <c r="E553" t="s">
        <v>74</v>
      </c>
      <c r="F553" t="s">
        <v>10695</v>
      </c>
      <c r="G553" t="s">
        <v>74</v>
      </c>
      <c r="H553" t="s">
        <v>74</v>
      </c>
      <c r="I553" t="s">
        <v>10696</v>
      </c>
      <c r="J553" t="s">
        <v>10697</v>
      </c>
      <c r="K553" t="s">
        <v>74</v>
      </c>
      <c r="L553" t="s">
        <v>74</v>
      </c>
      <c r="M553" t="s">
        <v>78</v>
      </c>
      <c r="N553" t="s">
        <v>99</v>
      </c>
      <c r="O553" t="s">
        <v>74</v>
      </c>
      <c r="P553" t="s">
        <v>74</v>
      </c>
      <c r="Q553" t="s">
        <v>74</v>
      </c>
      <c r="R553" t="s">
        <v>74</v>
      </c>
      <c r="S553" t="s">
        <v>74</v>
      </c>
      <c r="T553" t="s">
        <v>10698</v>
      </c>
      <c r="U553" t="s">
        <v>10699</v>
      </c>
      <c r="V553" t="s">
        <v>10700</v>
      </c>
      <c r="W553" t="s">
        <v>10701</v>
      </c>
      <c r="X553" t="s">
        <v>10702</v>
      </c>
      <c r="Y553" t="s">
        <v>10703</v>
      </c>
      <c r="Z553" t="s">
        <v>10704</v>
      </c>
      <c r="AA553" t="s">
        <v>74</v>
      </c>
      <c r="AB553" t="s">
        <v>74</v>
      </c>
      <c r="AC553" t="s">
        <v>74</v>
      </c>
      <c r="AD553" t="s">
        <v>74</v>
      </c>
      <c r="AE553" t="s">
        <v>74</v>
      </c>
      <c r="AF553" t="s">
        <v>74</v>
      </c>
      <c r="AG553">
        <v>38</v>
      </c>
      <c r="AH553">
        <v>19</v>
      </c>
      <c r="AI553">
        <v>22</v>
      </c>
      <c r="AJ553">
        <v>0</v>
      </c>
      <c r="AK553">
        <v>15</v>
      </c>
      <c r="AL553" t="s">
        <v>10705</v>
      </c>
      <c r="AM553" t="s">
        <v>2171</v>
      </c>
      <c r="AN553" t="s">
        <v>10706</v>
      </c>
      <c r="AO553" t="s">
        <v>10707</v>
      </c>
      <c r="AP553" t="s">
        <v>74</v>
      </c>
      <c r="AQ553" t="s">
        <v>74</v>
      </c>
      <c r="AR553" t="s">
        <v>10708</v>
      </c>
      <c r="AS553" t="s">
        <v>10709</v>
      </c>
      <c r="AT553" t="s">
        <v>9658</v>
      </c>
      <c r="AU553">
        <v>2014</v>
      </c>
      <c r="AV553">
        <v>37</v>
      </c>
      <c r="AW553">
        <v>12</v>
      </c>
      <c r="AX553" t="s">
        <v>74</v>
      </c>
      <c r="AY553" t="s">
        <v>74</v>
      </c>
      <c r="AZ553" t="s">
        <v>74</v>
      </c>
      <c r="BA553" t="s">
        <v>74</v>
      </c>
      <c r="BB553">
        <v>1899</v>
      </c>
      <c r="BC553">
        <v>1906</v>
      </c>
      <c r="BD553" t="s">
        <v>74</v>
      </c>
      <c r="BE553" t="s">
        <v>10710</v>
      </c>
      <c r="BF553" t="str">
        <f>HYPERLINK("http://dx.doi.org/10.1248/bpb.b14-00397","http://dx.doi.org/10.1248/bpb.b14-00397")</f>
        <v>http://dx.doi.org/10.1248/bpb.b14-00397</v>
      </c>
      <c r="BG553" t="s">
        <v>74</v>
      </c>
      <c r="BH553" t="s">
        <v>74</v>
      </c>
      <c r="BI553">
        <v>8</v>
      </c>
      <c r="BJ553" t="s">
        <v>2422</v>
      </c>
      <c r="BK553" t="s">
        <v>91</v>
      </c>
      <c r="BL553" t="s">
        <v>2422</v>
      </c>
      <c r="BM553" t="s">
        <v>10711</v>
      </c>
      <c r="BN553">
        <v>25451839</v>
      </c>
      <c r="BO553" t="s">
        <v>1393</v>
      </c>
      <c r="BP553" t="s">
        <v>74</v>
      </c>
      <c r="BQ553" t="s">
        <v>74</v>
      </c>
      <c r="BR553" t="s">
        <v>93</v>
      </c>
      <c r="BS553" t="s">
        <v>10712</v>
      </c>
      <c r="BT553" t="str">
        <f>HYPERLINK("https%3A%2F%2Fwww.webofscience.com%2Fwos%2Fwoscc%2Ffull-record%2FWOS:000345495600007","View Full Record in Web of Science")</f>
        <v>View Full Record in Web of Science</v>
      </c>
    </row>
    <row r="554" spans="1:72" x14ac:dyDescent="0.15">
      <c r="A554" t="s">
        <v>72</v>
      </c>
      <c r="B554" t="s">
        <v>10713</v>
      </c>
      <c r="C554" t="s">
        <v>74</v>
      </c>
      <c r="D554" t="s">
        <v>74</v>
      </c>
      <c r="E554" t="s">
        <v>74</v>
      </c>
      <c r="F554" t="s">
        <v>10714</v>
      </c>
      <c r="G554" t="s">
        <v>74</v>
      </c>
      <c r="H554" t="s">
        <v>74</v>
      </c>
      <c r="I554" t="s">
        <v>10715</v>
      </c>
      <c r="J554" t="s">
        <v>3436</v>
      </c>
      <c r="K554" t="s">
        <v>74</v>
      </c>
      <c r="L554" t="s">
        <v>74</v>
      </c>
      <c r="M554" t="s">
        <v>78</v>
      </c>
      <c r="N554" t="s">
        <v>99</v>
      </c>
      <c r="O554" t="s">
        <v>74</v>
      </c>
      <c r="P554" t="s">
        <v>74</v>
      </c>
      <c r="Q554" t="s">
        <v>74</v>
      </c>
      <c r="R554" t="s">
        <v>74</v>
      </c>
      <c r="S554" t="s">
        <v>74</v>
      </c>
      <c r="T554" t="s">
        <v>10716</v>
      </c>
      <c r="U554" t="s">
        <v>10717</v>
      </c>
      <c r="V554" t="s">
        <v>10718</v>
      </c>
      <c r="W554" t="s">
        <v>10719</v>
      </c>
      <c r="X554" t="s">
        <v>10720</v>
      </c>
      <c r="Y554" t="s">
        <v>10721</v>
      </c>
      <c r="Z554" t="s">
        <v>10722</v>
      </c>
      <c r="AA554" t="s">
        <v>10723</v>
      </c>
      <c r="AB554" t="s">
        <v>10724</v>
      </c>
      <c r="AC554" t="s">
        <v>10725</v>
      </c>
      <c r="AD554" t="s">
        <v>10725</v>
      </c>
      <c r="AE554" t="s">
        <v>10726</v>
      </c>
      <c r="AF554" t="s">
        <v>74</v>
      </c>
      <c r="AG554">
        <v>40</v>
      </c>
      <c r="AH554">
        <v>5</v>
      </c>
      <c r="AI554">
        <v>5</v>
      </c>
      <c r="AJ554">
        <v>0</v>
      </c>
      <c r="AK554">
        <v>12</v>
      </c>
      <c r="AL554" t="s">
        <v>2458</v>
      </c>
      <c r="AM554" t="s">
        <v>1411</v>
      </c>
      <c r="AN554" t="s">
        <v>2459</v>
      </c>
      <c r="AO554" t="s">
        <v>3449</v>
      </c>
      <c r="AP554" t="s">
        <v>3450</v>
      </c>
      <c r="AQ554" t="s">
        <v>74</v>
      </c>
      <c r="AR554" t="s">
        <v>3451</v>
      </c>
      <c r="AS554" t="s">
        <v>3452</v>
      </c>
      <c r="AT554" t="s">
        <v>9658</v>
      </c>
      <c r="AU554">
        <v>2014</v>
      </c>
      <c r="AV554">
        <v>84</v>
      </c>
      <c r="AW554" t="s">
        <v>74</v>
      </c>
      <c r="AX554" t="s">
        <v>74</v>
      </c>
      <c r="AY554" t="s">
        <v>74</v>
      </c>
      <c r="AZ554" t="s">
        <v>74</v>
      </c>
      <c r="BA554" t="s">
        <v>74</v>
      </c>
      <c r="BB554">
        <v>12</v>
      </c>
      <c r="BC554">
        <v>25</v>
      </c>
      <c r="BD554" t="s">
        <v>74</v>
      </c>
      <c r="BE554" t="s">
        <v>10727</v>
      </c>
      <c r="BF554" t="str">
        <f>HYPERLINK("http://dx.doi.org/10.1016/j.ocemod.2014.09.004","http://dx.doi.org/10.1016/j.ocemod.2014.09.004")</f>
        <v>http://dx.doi.org/10.1016/j.ocemod.2014.09.004</v>
      </c>
      <c r="BG554" t="s">
        <v>74</v>
      </c>
      <c r="BH554" t="s">
        <v>74</v>
      </c>
      <c r="BI554">
        <v>14</v>
      </c>
      <c r="BJ554" t="s">
        <v>1537</v>
      </c>
      <c r="BK554" t="s">
        <v>91</v>
      </c>
      <c r="BL554" t="s">
        <v>1537</v>
      </c>
      <c r="BM554" t="s">
        <v>10728</v>
      </c>
      <c r="BN554" t="s">
        <v>74</v>
      </c>
      <c r="BO554" t="s">
        <v>4631</v>
      </c>
      <c r="BP554" t="s">
        <v>74</v>
      </c>
      <c r="BQ554" t="s">
        <v>74</v>
      </c>
      <c r="BR554" t="s">
        <v>93</v>
      </c>
      <c r="BS554" t="s">
        <v>10729</v>
      </c>
      <c r="BT554" t="str">
        <f>HYPERLINK("https%3A%2F%2Fwww.webofscience.com%2Fwos%2Fwoscc%2Ffull-record%2FWOS:000345526000002","View Full Record in Web of Science")</f>
        <v>View Full Record in Web of Science</v>
      </c>
    </row>
    <row r="555" spans="1:72" x14ac:dyDescent="0.15">
      <c r="A555" t="s">
        <v>72</v>
      </c>
      <c r="B555" t="s">
        <v>10730</v>
      </c>
      <c r="C555" t="s">
        <v>74</v>
      </c>
      <c r="D555" t="s">
        <v>74</v>
      </c>
      <c r="E555" t="s">
        <v>74</v>
      </c>
      <c r="F555" t="s">
        <v>10731</v>
      </c>
      <c r="G555" t="s">
        <v>74</v>
      </c>
      <c r="H555" t="s">
        <v>74</v>
      </c>
      <c r="I555" t="s">
        <v>10732</v>
      </c>
      <c r="J555" t="s">
        <v>3436</v>
      </c>
      <c r="K555" t="s">
        <v>74</v>
      </c>
      <c r="L555" t="s">
        <v>74</v>
      </c>
      <c r="M555" t="s">
        <v>78</v>
      </c>
      <c r="N555" t="s">
        <v>99</v>
      </c>
      <c r="O555" t="s">
        <v>74</v>
      </c>
      <c r="P555" t="s">
        <v>74</v>
      </c>
      <c r="Q555" t="s">
        <v>74</v>
      </c>
      <c r="R555" t="s">
        <v>74</v>
      </c>
      <c r="S555" t="s">
        <v>74</v>
      </c>
      <c r="T555" t="s">
        <v>10733</v>
      </c>
      <c r="U555" t="s">
        <v>10734</v>
      </c>
      <c r="V555" t="s">
        <v>10735</v>
      </c>
      <c r="W555" t="s">
        <v>10736</v>
      </c>
      <c r="X555" t="s">
        <v>1211</v>
      </c>
      <c r="Y555" t="s">
        <v>10737</v>
      </c>
      <c r="Z555" t="s">
        <v>10738</v>
      </c>
      <c r="AA555" t="s">
        <v>10739</v>
      </c>
      <c r="AB555" t="s">
        <v>10740</v>
      </c>
      <c r="AC555" t="s">
        <v>74</v>
      </c>
      <c r="AD555" t="s">
        <v>74</v>
      </c>
      <c r="AE555" t="s">
        <v>74</v>
      </c>
      <c r="AF555" t="s">
        <v>74</v>
      </c>
      <c r="AG555">
        <v>53</v>
      </c>
      <c r="AH555">
        <v>65</v>
      </c>
      <c r="AI555">
        <v>69</v>
      </c>
      <c r="AJ555">
        <v>2</v>
      </c>
      <c r="AK555">
        <v>27</v>
      </c>
      <c r="AL555" t="s">
        <v>2458</v>
      </c>
      <c r="AM555" t="s">
        <v>1411</v>
      </c>
      <c r="AN555" t="s">
        <v>2459</v>
      </c>
      <c r="AO555" t="s">
        <v>3449</v>
      </c>
      <c r="AP555" t="s">
        <v>3450</v>
      </c>
      <c r="AQ555" t="s">
        <v>74</v>
      </c>
      <c r="AR555" t="s">
        <v>3451</v>
      </c>
      <c r="AS555" t="s">
        <v>3452</v>
      </c>
      <c r="AT555" t="s">
        <v>9658</v>
      </c>
      <c r="AU555">
        <v>2014</v>
      </c>
      <c r="AV555">
        <v>84</v>
      </c>
      <c r="AW555" t="s">
        <v>74</v>
      </c>
      <c r="AX555" t="s">
        <v>74</v>
      </c>
      <c r="AY555" t="s">
        <v>74</v>
      </c>
      <c r="AZ555" t="s">
        <v>74</v>
      </c>
      <c r="BA555" t="s">
        <v>74</v>
      </c>
      <c r="BB555">
        <v>26</v>
      </c>
      <c r="BC555">
        <v>34</v>
      </c>
      <c r="BD555" t="s">
        <v>74</v>
      </c>
      <c r="BE555" t="s">
        <v>10741</v>
      </c>
      <c r="BF555" t="str">
        <f>HYPERLINK("http://dx.doi.org/10.1016/j.ocemod.2014.09.007","http://dx.doi.org/10.1016/j.ocemod.2014.09.007")</f>
        <v>http://dx.doi.org/10.1016/j.ocemod.2014.09.007</v>
      </c>
      <c r="BG555" t="s">
        <v>74</v>
      </c>
      <c r="BH555" t="s">
        <v>74</v>
      </c>
      <c r="BI555">
        <v>9</v>
      </c>
      <c r="BJ555" t="s">
        <v>1537</v>
      </c>
      <c r="BK555" t="s">
        <v>91</v>
      </c>
      <c r="BL555" t="s">
        <v>1537</v>
      </c>
      <c r="BM555" t="s">
        <v>10728</v>
      </c>
      <c r="BN555" t="s">
        <v>74</v>
      </c>
      <c r="BO555" t="s">
        <v>74</v>
      </c>
      <c r="BP555" t="s">
        <v>74</v>
      </c>
      <c r="BQ555" t="s">
        <v>74</v>
      </c>
      <c r="BR555" t="s">
        <v>93</v>
      </c>
      <c r="BS555" t="s">
        <v>10742</v>
      </c>
      <c r="BT555" t="str">
        <f>HYPERLINK("https%3A%2F%2Fwww.webofscience.com%2Fwos%2Fwoscc%2Ffull-record%2FWOS:000345526000003","View Full Record in Web of Science")</f>
        <v>View Full Record in Web of Science</v>
      </c>
    </row>
    <row r="556" spans="1:72" x14ac:dyDescent="0.15">
      <c r="A556" t="s">
        <v>72</v>
      </c>
      <c r="B556" t="s">
        <v>10743</v>
      </c>
      <c r="C556" t="s">
        <v>74</v>
      </c>
      <c r="D556" t="s">
        <v>74</v>
      </c>
      <c r="E556" t="s">
        <v>74</v>
      </c>
      <c r="F556" t="s">
        <v>10744</v>
      </c>
      <c r="G556" t="s">
        <v>74</v>
      </c>
      <c r="H556" t="s">
        <v>74</v>
      </c>
      <c r="I556" t="s">
        <v>10745</v>
      </c>
      <c r="J556" t="s">
        <v>10746</v>
      </c>
      <c r="K556" t="s">
        <v>74</v>
      </c>
      <c r="L556" t="s">
        <v>74</v>
      </c>
      <c r="M556" t="s">
        <v>78</v>
      </c>
      <c r="N556" t="s">
        <v>99</v>
      </c>
      <c r="O556" t="s">
        <v>74</v>
      </c>
      <c r="P556" t="s">
        <v>74</v>
      </c>
      <c r="Q556" t="s">
        <v>74</v>
      </c>
      <c r="R556" t="s">
        <v>74</v>
      </c>
      <c r="S556" t="s">
        <v>74</v>
      </c>
      <c r="T556" t="s">
        <v>10747</v>
      </c>
      <c r="U556" t="s">
        <v>74</v>
      </c>
      <c r="V556" t="s">
        <v>10748</v>
      </c>
      <c r="W556" t="s">
        <v>10749</v>
      </c>
      <c r="X556" t="s">
        <v>10750</v>
      </c>
      <c r="Y556" t="s">
        <v>10751</v>
      </c>
      <c r="Z556" t="s">
        <v>10752</v>
      </c>
      <c r="AA556" t="s">
        <v>10753</v>
      </c>
      <c r="AB556" t="s">
        <v>10754</v>
      </c>
      <c r="AC556" t="s">
        <v>10755</v>
      </c>
      <c r="AD556" t="s">
        <v>10756</v>
      </c>
      <c r="AE556" t="s">
        <v>10757</v>
      </c>
      <c r="AF556" t="s">
        <v>74</v>
      </c>
      <c r="AG556">
        <v>21</v>
      </c>
      <c r="AH556">
        <v>1</v>
      </c>
      <c r="AI556">
        <v>1</v>
      </c>
      <c r="AJ556">
        <v>0</v>
      </c>
      <c r="AK556">
        <v>10</v>
      </c>
      <c r="AL556" t="s">
        <v>10758</v>
      </c>
      <c r="AM556" t="s">
        <v>10759</v>
      </c>
      <c r="AN556" t="s">
        <v>10760</v>
      </c>
      <c r="AO556" t="s">
        <v>10761</v>
      </c>
      <c r="AP556" t="s">
        <v>10762</v>
      </c>
      <c r="AQ556" t="s">
        <v>74</v>
      </c>
      <c r="AR556" t="s">
        <v>10763</v>
      </c>
      <c r="AS556" t="s">
        <v>10764</v>
      </c>
      <c r="AT556" t="s">
        <v>9658</v>
      </c>
      <c r="AU556">
        <v>2014</v>
      </c>
      <c r="AV556">
        <v>49</v>
      </c>
      <c r="AW556">
        <v>3</v>
      </c>
      <c r="AX556" t="s">
        <v>74</v>
      </c>
      <c r="AY556" t="s">
        <v>74</v>
      </c>
      <c r="AZ556" t="s">
        <v>74</v>
      </c>
      <c r="BA556" t="s">
        <v>74</v>
      </c>
      <c r="BB556">
        <v>537</v>
      </c>
      <c r="BC556">
        <v>546</v>
      </c>
      <c r="BD556" t="s">
        <v>74</v>
      </c>
      <c r="BE556" t="s">
        <v>10765</v>
      </c>
      <c r="BF556" t="str">
        <f>HYPERLINK("http://dx.doi.org/10.4067/S0718-19572014000300010","http://dx.doi.org/10.4067/S0718-19572014000300010")</f>
        <v>http://dx.doi.org/10.4067/S0718-19572014000300010</v>
      </c>
      <c r="BG556" t="s">
        <v>74</v>
      </c>
      <c r="BH556" t="s">
        <v>74</v>
      </c>
      <c r="BI556">
        <v>10</v>
      </c>
      <c r="BJ556" t="s">
        <v>2393</v>
      </c>
      <c r="BK556" t="s">
        <v>91</v>
      </c>
      <c r="BL556" t="s">
        <v>2393</v>
      </c>
      <c r="BM556" t="s">
        <v>10766</v>
      </c>
      <c r="BN556" t="s">
        <v>74</v>
      </c>
      <c r="BO556" t="s">
        <v>1136</v>
      </c>
      <c r="BP556" t="s">
        <v>74</v>
      </c>
      <c r="BQ556" t="s">
        <v>74</v>
      </c>
      <c r="BR556" t="s">
        <v>93</v>
      </c>
      <c r="BS556" t="s">
        <v>10767</v>
      </c>
      <c r="BT556" t="str">
        <f>HYPERLINK("https%3A%2F%2Fwww.webofscience.com%2Fwos%2Fwoscc%2Ffull-record%2FWOS:000345746000010","View Full Record in Web of Science")</f>
        <v>View Full Record in Web of Science</v>
      </c>
    </row>
    <row r="557" spans="1:72" x14ac:dyDescent="0.15">
      <c r="A557" t="s">
        <v>72</v>
      </c>
      <c r="B557" t="s">
        <v>10768</v>
      </c>
      <c r="C557" t="s">
        <v>74</v>
      </c>
      <c r="D557" t="s">
        <v>74</v>
      </c>
      <c r="E557" t="s">
        <v>74</v>
      </c>
      <c r="F557" t="s">
        <v>10769</v>
      </c>
      <c r="G557" t="s">
        <v>74</v>
      </c>
      <c r="H557" t="s">
        <v>74</v>
      </c>
      <c r="I557" t="s">
        <v>10770</v>
      </c>
      <c r="J557" t="s">
        <v>10771</v>
      </c>
      <c r="K557" t="s">
        <v>74</v>
      </c>
      <c r="L557" t="s">
        <v>74</v>
      </c>
      <c r="M557" t="s">
        <v>78</v>
      </c>
      <c r="N557" t="s">
        <v>99</v>
      </c>
      <c r="O557" t="s">
        <v>74</v>
      </c>
      <c r="P557" t="s">
        <v>74</v>
      </c>
      <c r="Q557" t="s">
        <v>74</v>
      </c>
      <c r="R557" t="s">
        <v>74</v>
      </c>
      <c r="S557" t="s">
        <v>74</v>
      </c>
      <c r="T557" t="s">
        <v>10772</v>
      </c>
      <c r="U557" t="s">
        <v>10773</v>
      </c>
      <c r="V557" t="s">
        <v>10774</v>
      </c>
      <c r="W557" t="s">
        <v>10775</v>
      </c>
      <c r="X557" t="s">
        <v>10776</v>
      </c>
      <c r="Y557" t="s">
        <v>10777</v>
      </c>
      <c r="Z557" t="s">
        <v>10778</v>
      </c>
      <c r="AA557" t="s">
        <v>10779</v>
      </c>
      <c r="AB557" t="s">
        <v>74</v>
      </c>
      <c r="AC557" t="s">
        <v>10780</v>
      </c>
      <c r="AD557" t="s">
        <v>5530</v>
      </c>
      <c r="AE557" t="s">
        <v>10781</v>
      </c>
      <c r="AF557" t="s">
        <v>74</v>
      </c>
      <c r="AG557">
        <v>21</v>
      </c>
      <c r="AH557">
        <v>4</v>
      </c>
      <c r="AI557">
        <v>4</v>
      </c>
      <c r="AJ557">
        <v>0</v>
      </c>
      <c r="AK557">
        <v>13</v>
      </c>
      <c r="AL557" t="s">
        <v>10782</v>
      </c>
      <c r="AM557" t="s">
        <v>10783</v>
      </c>
      <c r="AN557" t="s">
        <v>10784</v>
      </c>
      <c r="AO557" t="s">
        <v>10785</v>
      </c>
      <c r="AP557" t="s">
        <v>10786</v>
      </c>
      <c r="AQ557" t="s">
        <v>74</v>
      </c>
      <c r="AR557" t="s">
        <v>10787</v>
      </c>
      <c r="AS557" t="s">
        <v>10788</v>
      </c>
      <c r="AT557" t="s">
        <v>9658</v>
      </c>
      <c r="AU557">
        <v>2014</v>
      </c>
      <c r="AV557">
        <v>55</v>
      </c>
      <c r="AW557">
        <v>12</v>
      </c>
      <c r="AX557" t="s">
        <v>74</v>
      </c>
      <c r="AY557" t="s">
        <v>74</v>
      </c>
      <c r="AZ557" t="s">
        <v>74</v>
      </c>
      <c r="BA557" t="s">
        <v>74</v>
      </c>
      <c r="BB557">
        <v>1471</v>
      </c>
      <c r="BC557">
        <v>1475</v>
      </c>
      <c r="BD557" t="s">
        <v>74</v>
      </c>
      <c r="BE557" t="s">
        <v>10789</v>
      </c>
      <c r="BF557" t="str">
        <f>HYPERLINK("http://dx.doi.org/10.1016/j.rgg.2014.11.011","http://dx.doi.org/10.1016/j.rgg.2014.11.011")</f>
        <v>http://dx.doi.org/10.1016/j.rgg.2014.11.011</v>
      </c>
      <c r="BG557" t="s">
        <v>74</v>
      </c>
      <c r="BH557" t="s">
        <v>74</v>
      </c>
      <c r="BI557">
        <v>5</v>
      </c>
      <c r="BJ557" t="s">
        <v>1953</v>
      </c>
      <c r="BK557" t="s">
        <v>91</v>
      </c>
      <c r="BL557" t="s">
        <v>1954</v>
      </c>
      <c r="BM557" t="s">
        <v>10790</v>
      </c>
      <c r="BN557" t="s">
        <v>74</v>
      </c>
      <c r="BO557" t="s">
        <v>74</v>
      </c>
      <c r="BP557" t="s">
        <v>74</v>
      </c>
      <c r="BQ557" t="s">
        <v>74</v>
      </c>
      <c r="BR557" t="s">
        <v>93</v>
      </c>
      <c r="BS557" t="s">
        <v>10791</v>
      </c>
      <c r="BT557" t="str">
        <f>HYPERLINK("https%3A%2F%2Fwww.webofscience.com%2Fwos%2Fwoscc%2Ffull-record%2FWOS:000345660700011","View Full Record in Web of Science")</f>
        <v>View Full Record in Web of Science</v>
      </c>
    </row>
    <row r="558" spans="1:72" x14ac:dyDescent="0.15">
      <c r="A558" t="s">
        <v>72</v>
      </c>
      <c r="B558" t="s">
        <v>10792</v>
      </c>
      <c r="C558" t="s">
        <v>74</v>
      </c>
      <c r="D558" t="s">
        <v>74</v>
      </c>
      <c r="E558" t="s">
        <v>74</v>
      </c>
      <c r="F558" t="s">
        <v>10793</v>
      </c>
      <c r="G558" t="s">
        <v>74</v>
      </c>
      <c r="H558" t="s">
        <v>74</v>
      </c>
      <c r="I558" t="s">
        <v>10794</v>
      </c>
      <c r="J558" t="s">
        <v>10795</v>
      </c>
      <c r="K558" t="s">
        <v>74</v>
      </c>
      <c r="L558" t="s">
        <v>74</v>
      </c>
      <c r="M558" t="s">
        <v>78</v>
      </c>
      <c r="N558" t="s">
        <v>99</v>
      </c>
      <c r="O558" t="s">
        <v>74</v>
      </c>
      <c r="P558" t="s">
        <v>74</v>
      </c>
      <c r="Q558" t="s">
        <v>74</v>
      </c>
      <c r="R558" t="s">
        <v>74</v>
      </c>
      <c r="S558" t="s">
        <v>74</v>
      </c>
      <c r="T558" t="s">
        <v>10796</v>
      </c>
      <c r="U558" t="s">
        <v>10797</v>
      </c>
      <c r="V558" t="s">
        <v>10798</v>
      </c>
      <c r="W558" t="s">
        <v>10799</v>
      </c>
      <c r="X558" t="s">
        <v>10800</v>
      </c>
      <c r="Y558" t="s">
        <v>10801</v>
      </c>
      <c r="Z558" t="s">
        <v>10802</v>
      </c>
      <c r="AA558" t="s">
        <v>10803</v>
      </c>
      <c r="AB558" t="s">
        <v>10804</v>
      </c>
      <c r="AC558" t="s">
        <v>10805</v>
      </c>
      <c r="AD558" t="s">
        <v>10806</v>
      </c>
      <c r="AE558" t="s">
        <v>10807</v>
      </c>
      <c r="AF558" t="s">
        <v>74</v>
      </c>
      <c r="AG558">
        <v>49</v>
      </c>
      <c r="AH558">
        <v>13</v>
      </c>
      <c r="AI558">
        <v>13</v>
      </c>
      <c r="AJ558">
        <v>0</v>
      </c>
      <c r="AK558">
        <v>23</v>
      </c>
      <c r="AL558" t="s">
        <v>2666</v>
      </c>
      <c r="AM558" t="s">
        <v>6414</v>
      </c>
      <c r="AN558" t="s">
        <v>6415</v>
      </c>
      <c r="AO558" t="s">
        <v>10808</v>
      </c>
      <c r="AP558" t="s">
        <v>10809</v>
      </c>
      <c r="AQ558" t="s">
        <v>74</v>
      </c>
      <c r="AR558" t="s">
        <v>10795</v>
      </c>
      <c r="AS558" t="s">
        <v>10810</v>
      </c>
      <c r="AT558" t="s">
        <v>9658</v>
      </c>
      <c r="AU558">
        <v>2014</v>
      </c>
      <c r="AV558">
        <v>43</v>
      </c>
      <c r="AW558">
        <v>8</v>
      </c>
      <c r="AX558" t="s">
        <v>74</v>
      </c>
      <c r="AY558" t="s">
        <v>74</v>
      </c>
      <c r="AZ558" t="s">
        <v>74</v>
      </c>
      <c r="BA558" t="s">
        <v>74</v>
      </c>
      <c r="BB558">
        <v>1069</v>
      </c>
      <c r="BC558">
        <v>1081</v>
      </c>
      <c r="BD558" t="s">
        <v>74</v>
      </c>
      <c r="BE558" t="s">
        <v>10811</v>
      </c>
      <c r="BF558" t="str">
        <f>HYPERLINK("http://dx.doi.org/10.1007/s13280-014-0537-4","http://dx.doi.org/10.1007/s13280-014-0537-4")</f>
        <v>http://dx.doi.org/10.1007/s13280-014-0537-4</v>
      </c>
      <c r="BG558" t="s">
        <v>74</v>
      </c>
      <c r="BH558" t="s">
        <v>74</v>
      </c>
      <c r="BI558">
        <v>13</v>
      </c>
      <c r="BJ558" t="s">
        <v>9006</v>
      </c>
      <c r="BK558" t="s">
        <v>157</v>
      </c>
      <c r="BL558" t="s">
        <v>9007</v>
      </c>
      <c r="BM558" t="s">
        <v>10812</v>
      </c>
      <c r="BN558">
        <v>24973052</v>
      </c>
      <c r="BO558" t="s">
        <v>2056</v>
      </c>
      <c r="BP558" t="s">
        <v>74</v>
      </c>
      <c r="BQ558" t="s">
        <v>74</v>
      </c>
      <c r="BR558" t="s">
        <v>93</v>
      </c>
      <c r="BS558" t="s">
        <v>10813</v>
      </c>
      <c r="BT558" t="str">
        <f>HYPERLINK("https%3A%2F%2Fwww.webofscience.com%2Fwos%2Fwoscc%2Ffull-record%2FWOS:000344920200008","View Full Record in Web of Science")</f>
        <v>View Full Record in Web of Science</v>
      </c>
    </row>
    <row r="559" spans="1:72" x14ac:dyDescent="0.15">
      <c r="A559" t="s">
        <v>72</v>
      </c>
      <c r="B559" t="s">
        <v>10814</v>
      </c>
      <c r="C559" t="s">
        <v>74</v>
      </c>
      <c r="D559" t="s">
        <v>74</v>
      </c>
      <c r="E559" t="s">
        <v>74</v>
      </c>
      <c r="F559" t="s">
        <v>10815</v>
      </c>
      <c r="G559" t="s">
        <v>74</v>
      </c>
      <c r="H559" t="s">
        <v>74</v>
      </c>
      <c r="I559" t="s">
        <v>10816</v>
      </c>
      <c r="J559" t="s">
        <v>10817</v>
      </c>
      <c r="K559" t="s">
        <v>74</v>
      </c>
      <c r="L559" t="s">
        <v>74</v>
      </c>
      <c r="M559" t="s">
        <v>78</v>
      </c>
      <c r="N559" t="s">
        <v>99</v>
      </c>
      <c r="O559" t="s">
        <v>74</v>
      </c>
      <c r="P559" t="s">
        <v>74</v>
      </c>
      <c r="Q559" t="s">
        <v>74</v>
      </c>
      <c r="R559" t="s">
        <v>74</v>
      </c>
      <c r="S559" t="s">
        <v>74</v>
      </c>
      <c r="T559" t="s">
        <v>10818</v>
      </c>
      <c r="U559" t="s">
        <v>10819</v>
      </c>
      <c r="V559" t="s">
        <v>10820</v>
      </c>
      <c r="W559" t="s">
        <v>10821</v>
      </c>
      <c r="X559" t="s">
        <v>10822</v>
      </c>
      <c r="Y559" t="s">
        <v>10823</v>
      </c>
      <c r="Z559" t="s">
        <v>10824</v>
      </c>
      <c r="AA559" t="s">
        <v>10825</v>
      </c>
      <c r="AB559" t="s">
        <v>10826</v>
      </c>
      <c r="AC559" t="s">
        <v>10827</v>
      </c>
      <c r="AD559" t="s">
        <v>10828</v>
      </c>
      <c r="AE559" t="s">
        <v>10829</v>
      </c>
      <c r="AF559" t="s">
        <v>74</v>
      </c>
      <c r="AG559">
        <v>50</v>
      </c>
      <c r="AH559">
        <v>16</v>
      </c>
      <c r="AI559">
        <v>17</v>
      </c>
      <c r="AJ559">
        <v>2</v>
      </c>
      <c r="AK559">
        <v>25</v>
      </c>
      <c r="AL559" t="s">
        <v>2640</v>
      </c>
      <c r="AM559" t="s">
        <v>1176</v>
      </c>
      <c r="AN559" t="s">
        <v>2641</v>
      </c>
      <c r="AO559" t="s">
        <v>10830</v>
      </c>
      <c r="AP559" t="s">
        <v>10831</v>
      </c>
      <c r="AQ559" t="s">
        <v>74</v>
      </c>
      <c r="AR559" t="s">
        <v>10832</v>
      </c>
      <c r="AS559" t="s">
        <v>10833</v>
      </c>
      <c r="AT559" t="s">
        <v>9658</v>
      </c>
      <c r="AU559">
        <v>2014</v>
      </c>
      <c r="AV559">
        <v>1844</v>
      </c>
      <c r="AW559">
        <v>12</v>
      </c>
      <c r="AX559" t="s">
        <v>74</v>
      </c>
      <c r="AY559" t="s">
        <v>74</v>
      </c>
      <c r="AZ559" t="s">
        <v>74</v>
      </c>
      <c r="BA559" t="s">
        <v>74</v>
      </c>
      <c r="BB559">
        <v>2229</v>
      </c>
      <c r="BC559">
        <v>2240</v>
      </c>
      <c r="BD559" t="s">
        <v>74</v>
      </c>
      <c r="BE559" t="s">
        <v>10834</v>
      </c>
      <c r="BF559" t="str">
        <f>HYPERLINK("http://dx.doi.org/10.1016/j.bbapap.2014.08.006","http://dx.doi.org/10.1016/j.bbapap.2014.08.006")</f>
        <v>http://dx.doi.org/10.1016/j.bbapap.2014.08.006</v>
      </c>
      <c r="BG559" t="s">
        <v>74</v>
      </c>
      <c r="BH559" t="s">
        <v>74</v>
      </c>
      <c r="BI559">
        <v>12</v>
      </c>
      <c r="BJ559" t="s">
        <v>10835</v>
      </c>
      <c r="BK559" t="s">
        <v>91</v>
      </c>
      <c r="BL559" t="s">
        <v>10835</v>
      </c>
      <c r="BM559" t="s">
        <v>10836</v>
      </c>
      <c r="BN559">
        <v>25149826</v>
      </c>
      <c r="BO559" t="s">
        <v>74</v>
      </c>
      <c r="BP559" t="s">
        <v>74</v>
      </c>
      <c r="BQ559" t="s">
        <v>74</v>
      </c>
      <c r="BR559" t="s">
        <v>93</v>
      </c>
      <c r="BS559" t="s">
        <v>10837</v>
      </c>
      <c r="BT559" t="str">
        <f>HYPERLINK("https%3A%2F%2Fwww.webofscience.com%2Fwos%2Fwoscc%2Ffull-record%2FWOS:000345182800019","View Full Record in Web of Science")</f>
        <v>View Full Record in Web of Science</v>
      </c>
    </row>
    <row r="560" spans="1:72" x14ac:dyDescent="0.15">
      <c r="A560" t="s">
        <v>72</v>
      </c>
      <c r="B560" t="s">
        <v>10838</v>
      </c>
      <c r="C560" t="s">
        <v>74</v>
      </c>
      <c r="D560" t="s">
        <v>74</v>
      </c>
      <c r="E560" t="s">
        <v>74</v>
      </c>
      <c r="F560" t="s">
        <v>10839</v>
      </c>
      <c r="G560" t="s">
        <v>74</v>
      </c>
      <c r="H560" t="s">
        <v>74</v>
      </c>
      <c r="I560" t="s">
        <v>10840</v>
      </c>
      <c r="J560" t="s">
        <v>10841</v>
      </c>
      <c r="K560" t="s">
        <v>74</v>
      </c>
      <c r="L560" t="s">
        <v>74</v>
      </c>
      <c r="M560" t="s">
        <v>78</v>
      </c>
      <c r="N560" t="s">
        <v>99</v>
      </c>
      <c r="O560" t="s">
        <v>74</v>
      </c>
      <c r="P560" t="s">
        <v>74</v>
      </c>
      <c r="Q560" t="s">
        <v>74</v>
      </c>
      <c r="R560" t="s">
        <v>74</v>
      </c>
      <c r="S560" t="s">
        <v>74</v>
      </c>
      <c r="T560" t="s">
        <v>10842</v>
      </c>
      <c r="U560" t="s">
        <v>10843</v>
      </c>
      <c r="V560" t="s">
        <v>10844</v>
      </c>
      <c r="W560" t="s">
        <v>10845</v>
      </c>
      <c r="X560" t="s">
        <v>10846</v>
      </c>
      <c r="Y560" t="s">
        <v>10847</v>
      </c>
      <c r="Z560" t="s">
        <v>10848</v>
      </c>
      <c r="AA560" t="s">
        <v>74</v>
      </c>
      <c r="AB560" t="s">
        <v>74</v>
      </c>
      <c r="AC560" t="s">
        <v>10849</v>
      </c>
      <c r="AD560" t="s">
        <v>10850</v>
      </c>
      <c r="AE560" t="s">
        <v>10851</v>
      </c>
      <c r="AF560" t="s">
        <v>74</v>
      </c>
      <c r="AG560">
        <v>22</v>
      </c>
      <c r="AH560">
        <v>3</v>
      </c>
      <c r="AI560">
        <v>3</v>
      </c>
      <c r="AJ560">
        <v>0</v>
      </c>
      <c r="AK560">
        <v>7</v>
      </c>
      <c r="AL560" t="s">
        <v>2666</v>
      </c>
      <c r="AM560" t="s">
        <v>6414</v>
      </c>
      <c r="AN560" t="s">
        <v>6415</v>
      </c>
      <c r="AO560" t="s">
        <v>10852</v>
      </c>
      <c r="AP560" t="s">
        <v>10853</v>
      </c>
      <c r="AQ560" t="s">
        <v>74</v>
      </c>
      <c r="AR560" t="s">
        <v>10854</v>
      </c>
      <c r="AS560" t="s">
        <v>10855</v>
      </c>
      <c r="AT560" t="s">
        <v>9658</v>
      </c>
      <c r="AU560">
        <v>2014</v>
      </c>
      <c r="AV560">
        <v>21</v>
      </c>
      <c r="AW560">
        <v>4</v>
      </c>
      <c r="AX560" t="s">
        <v>74</v>
      </c>
      <c r="AY560" t="s">
        <v>74</v>
      </c>
      <c r="AZ560" t="s">
        <v>74</v>
      </c>
      <c r="BA560" t="s">
        <v>74</v>
      </c>
      <c r="BB560">
        <v>697</v>
      </c>
      <c r="BC560">
        <v>714</v>
      </c>
      <c r="BD560" t="s">
        <v>74</v>
      </c>
      <c r="BE560" t="s">
        <v>10856</v>
      </c>
      <c r="BF560" t="str">
        <f>HYPERLINK("http://dx.doi.org/10.1007/s10651-014-0276-5","http://dx.doi.org/10.1007/s10651-014-0276-5")</f>
        <v>http://dx.doi.org/10.1007/s10651-014-0276-5</v>
      </c>
      <c r="BG560" t="s">
        <v>74</v>
      </c>
      <c r="BH560" t="s">
        <v>74</v>
      </c>
      <c r="BI560">
        <v>18</v>
      </c>
      <c r="BJ560" t="s">
        <v>10857</v>
      </c>
      <c r="BK560" t="s">
        <v>91</v>
      </c>
      <c r="BL560" t="s">
        <v>10858</v>
      </c>
      <c r="BM560" t="s">
        <v>10859</v>
      </c>
      <c r="BN560" t="s">
        <v>74</v>
      </c>
      <c r="BO560" t="s">
        <v>74</v>
      </c>
      <c r="BP560" t="s">
        <v>74</v>
      </c>
      <c r="BQ560" t="s">
        <v>74</v>
      </c>
      <c r="BR560" t="s">
        <v>93</v>
      </c>
      <c r="BS560" t="s">
        <v>10860</v>
      </c>
      <c r="BT560" t="str">
        <f>HYPERLINK("https%3A%2F%2Fwww.webofscience.com%2Fwos%2Fwoscc%2Ffull-record%2FWOS:000345322300006","View Full Record in Web of Science")</f>
        <v>View Full Record in Web of Science</v>
      </c>
    </row>
    <row r="561" spans="1:72" x14ac:dyDescent="0.15">
      <c r="A561" t="s">
        <v>72</v>
      </c>
      <c r="B561" t="s">
        <v>10861</v>
      </c>
      <c r="C561" t="s">
        <v>74</v>
      </c>
      <c r="D561" t="s">
        <v>74</v>
      </c>
      <c r="E561" t="s">
        <v>74</v>
      </c>
      <c r="F561" t="s">
        <v>10862</v>
      </c>
      <c r="G561" t="s">
        <v>74</v>
      </c>
      <c r="H561" t="s">
        <v>74</v>
      </c>
      <c r="I561" t="s">
        <v>10863</v>
      </c>
      <c r="J561" t="s">
        <v>10864</v>
      </c>
      <c r="K561" t="s">
        <v>74</v>
      </c>
      <c r="L561" t="s">
        <v>74</v>
      </c>
      <c r="M561" t="s">
        <v>78</v>
      </c>
      <c r="N561" t="s">
        <v>99</v>
      </c>
      <c r="O561" t="s">
        <v>74</v>
      </c>
      <c r="P561" t="s">
        <v>74</v>
      </c>
      <c r="Q561" t="s">
        <v>74</v>
      </c>
      <c r="R561" t="s">
        <v>74</v>
      </c>
      <c r="S561" t="s">
        <v>74</v>
      </c>
      <c r="T561" t="s">
        <v>10865</v>
      </c>
      <c r="U561" t="s">
        <v>10866</v>
      </c>
      <c r="V561" t="s">
        <v>10867</v>
      </c>
      <c r="W561" t="s">
        <v>10868</v>
      </c>
      <c r="X561" t="s">
        <v>10869</v>
      </c>
      <c r="Y561" t="s">
        <v>10870</v>
      </c>
      <c r="Z561" t="s">
        <v>10871</v>
      </c>
      <c r="AA561" t="s">
        <v>74</v>
      </c>
      <c r="AB561" t="s">
        <v>10872</v>
      </c>
      <c r="AC561" t="s">
        <v>10873</v>
      </c>
      <c r="AD561" t="s">
        <v>10874</v>
      </c>
      <c r="AE561" t="s">
        <v>10875</v>
      </c>
      <c r="AF561" t="s">
        <v>74</v>
      </c>
      <c r="AG561">
        <v>65</v>
      </c>
      <c r="AH561">
        <v>2</v>
      </c>
      <c r="AI561">
        <v>3</v>
      </c>
      <c r="AJ561">
        <v>1</v>
      </c>
      <c r="AK561">
        <v>11</v>
      </c>
      <c r="AL561" t="s">
        <v>10876</v>
      </c>
      <c r="AM561" t="s">
        <v>10877</v>
      </c>
      <c r="AN561" t="s">
        <v>10878</v>
      </c>
      <c r="AO561" t="s">
        <v>10879</v>
      </c>
      <c r="AP561" t="s">
        <v>10880</v>
      </c>
      <c r="AQ561" t="s">
        <v>74</v>
      </c>
      <c r="AR561" t="s">
        <v>10881</v>
      </c>
      <c r="AS561" t="s">
        <v>10882</v>
      </c>
      <c r="AT561" t="s">
        <v>9658</v>
      </c>
      <c r="AU561">
        <v>2014</v>
      </c>
      <c r="AV561">
        <v>18</v>
      </c>
      <c r="AW561">
        <v>4</v>
      </c>
      <c r="AX561" t="s">
        <v>74</v>
      </c>
      <c r="AY561" t="s">
        <v>74</v>
      </c>
      <c r="AZ561" t="s">
        <v>74</v>
      </c>
      <c r="BA561" t="s">
        <v>74</v>
      </c>
      <c r="BB561">
        <v>495</v>
      </c>
      <c r="BC561">
        <v>501</v>
      </c>
      <c r="BD561" t="s">
        <v>74</v>
      </c>
      <c r="BE561" t="s">
        <v>10883</v>
      </c>
      <c r="BF561" t="str">
        <f>HYPERLINK("http://dx.doi.org/10.1007/s12303-014-0011-0","http://dx.doi.org/10.1007/s12303-014-0011-0")</f>
        <v>http://dx.doi.org/10.1007/s12303-014-0011-0</v>
      </c>
      <c r="BG561" t="s">
        <v>74</v>
      </c>
      <c r="BH561" t="s">
        <v>74</v>
      </c>
      <c r="BI561">
        <v>7</v>
      </c>
      <c r="BJ561" t="s">
        <v>1953</v>
      </c>
      <c r="BK561" t="s">
        <v>91</v>
      </c>
      <c r="BL561" t="s">
        <v>1954</v>
      </c>
      <c r="BM561" t="s">
        <v>10884</v>
      </c>
      <c r="BN561" t="s">
        <v>74</v>
      </c>
      <c r="BO561" t="s">
        <v>74</v>
      </c>
      <c r="BP561" t="s">
        <v>74</v>
      </c>
      <c r="BQ561" t="s">
        <v>74</v>
      </c>
      <c r="BR561" t="s">
        <v>93</v>
      </c>
      <c r="BS561" t="s">
        <v>10885</v>
      </c>
      <c r="BT561" t="str">
        <f>HYPERLINK("https%3A%2F%2Fwww.webofscience.com%2Fwos%2Fwoscc%2Ffull-record%2FWOS:000345280300012","View Full Record in Web of Science")</f>
        <v>View Full Record in Web of Science</v>
      </c>
    </row>
    <row r="562" spans="1:72" x14ac:dyDescent="0.15">
      <c r="A562" t="s">
        <v>72</v>
      </c>
      <c r="B562" t="s">
        <v>10886</v>
      </c>
      <c r="C562" t="s">
        <v>74</v>
      </c>
      <c r="D562" t="s">
        <v>74</v>
      </c>
      <c r="E562" t="s">
        <v>74</v>
      </c>
      <c r="F562" t="s">
        <v>10887</v>
      </c>
      <c r="G562" t="s">
        <v>74</v>
      </c>
      <c r="H562" t="s">
        <v>74</v>
      </c>
      <c r="I562" t="s">
        <v>10888</v>
      </c>
      <c r="J562" t="s">
        <v>3231</v>
      </c>
      <c r="K562" t="s">
        <v>74</v>
      </c>
      <c r="L562" t="s">
        <v>74</v>
      </c>
      <c r="M562" t="s">
        <v>78</v>
      </c>
      <c r="N562" t="s">
        <v>99</v>
      </c>
      <c r="O562" t="s">
        <v>74</v>
      </c>
      <c r="P562" t="s">
        <v>74</v>
      </c>
      <c r="Q562" t="s">
        <v>74</v>
      </c>
      <c r="R562" t="s">
        <v>74</v>
      </c>
      <c r="S562" t="s">
        <v>74</v>
      </c>
      <c r="T562" t="s">
        <v>74</v>
      </c>
      <c r="U562" t="s">
        <v>10889</v>
      </c>
      <c r="V562" t="s">
        <v>10890</v>
      </c>
      <c r="W562" t="s">
        <v>74</v>
      </c>
      <c r="X562" t="s">
        <v>74</v>
      </c>
      <c r="Y562" t="s">
        <v>74</v>
      </c>
      <c r="Z562" t="s">
        <v>10891</v>
      </c>
      <c r="AA562" t="s">
        <v>74</v>
      </c>
      <c r="AB562" t="s">
        <v>74</v>
      </c>
      <c r="AC562" t="s">
        <v>74</v>
      </c>
      <c r="AD562" t="s">
        <v>74</v>
      </c>
      <c r="AE562" t="s">
        <v>74</v>
      </c>
      <c r="AF562" t="s">
        <v>74</v>
      </c>
      <c r="AG562">
        <v>101</v>
      </c>
      <c r="AH562">
        <v>44</v>
      </c>
      <c r="AI562">
        <v>47</v>
      </c>
      <c r="AJ562">
        <v>4</v>
      </c>
      <c r="AK562">
        <v>46</v>
      </c>
      <c r="AL562" t="s">
        <v>2486</v>
      </c>
      <c r="AM562" t="s">
        <v>2487</v>
      </c>
      <c r="AN562" t="s">
        <v>2488</v>
      </c>
      <c r="AO562" t="s">
        <v>3243</v>
      </c>
      <c r="AP562" t="s">
        <v>3244</v>
      </c>
      <c r="AQ562" t="s">
        <v>74</v>
      </c>
      <c r="AR562" t="s">
        <v>3245</v>
      </c>
      <c r="AS562" t="s">
        <v>3246</v>
      </c>
      <c r="AT562" t="s">
        <v>9658</v>
      </c>
      <c r="AU562">
        <v>2014</v>
      </c>
      <c r="AV562">
        <v>161</v>
      </c>
      <c r="AW562">
        <v>12</v>
      </c>
      <c r="AX562" t="s">
        <v>74</v>
      </c>
      <c r="AY562" t="s">
        <v>74</v>
      </c>
      <c r="AZ562" t="s">
        <v>74</v>
      </c>
      <c r="BA562" t="s">
        <v>74</v>
      </c>
      <c r="BB562">
        <v>2753</v>
      </c>
      <c r="BC562">
        <v>2766</v>
      </c>
      <c r="BD562" t="s">
        <v>74</v>
      </c>
      <c r="BE562" t="s">
        <v>10892</v>
      </c>
      <c r="BF562" t="str">
        <f>HYPERLINK("http://dx.doi.org/10.1007/s00227-014-2540-5","http://dx.doi.org/10.1007/s00227-014-2540-5")</f>
        <v>http://dx.doi.org/10.1007/s00227-014-2540-5</v>
      </c>
      <c r="BG562" t="s">
        <v>74</v>
      </c>
      <c r="BH562" t="s">
        <v>74</v>
      </c>
      <c r="BI562">
        <v>14</v>
      </c>
      <c r="BJ562" t="s">
        <v>1227</v>
      </c>
      <c r="BK562" t="s">
        <v>91</v>
      </c>
      <c r="BL562" t="s">
        <v>1227</v>
      </c>
      <c r="BM562" t="s">
        <v>10893</v>
      </c>
      <c r="BN562" t="s">
        <v>74</v>
      </c>
      <c r="BO562" t="s">
        <v>574</v>
      </c>
      <c r="BP562" t="s">
        <v>74</v>
      </c>
      <c r="BQ562" t="s">
        <v>74</v>
      </c>
      <c r="BR562" t="s">
        <v>93</v>
      </c>
      <c r="BS562" t="s">
        <v>10894</v>
      </c>
      <c r="BT562" t="str">
        <f>HYPERLINK("https%3A%2F%2Fwww.webofscience.com%2Fwos%2Fwoscc%2Ffull-record%2FWOS:000345050800004","View Full Record in Web of Science")</f>
        <v>View Full Record in Web of Science</v>
      </c>
    </row>
    <row r="563" spans="1:72" x14ac:dyDescent="0.15">
      <c r="A563" t="s">
        <v>72</v>
      </c>
      <c r="B563" t="s">
        <v>10895</v>
      </c>
      <c r="C563" t="s">
        <v>74</v>
      </c>
      <c r="D563" t="s">
        <v>74</v>
      </c>
      <c r="E563" t="s">
        <v>74</v>
      </c>
      <c r="F563" t="s">
        <v>10896</v>
      </c>
      <c r="G563" t="s">
        <v>74</v>
      </c>
      <c r="H563" t="s">
        <v>74</v>
      </c>
      <c r="I563" t="s">
        <v>10897</v>
      </c>
      <c r="J563" t="s">
        <v>3231</v>
      </c>
      <c r="K563" t="s">
        <v>74</v>
      </c>
      <c r="L563" t="s">
        <v>74</v>
      </c>
      <c r="M563" t="s">
        <v>78</v>
      </c>
      <c r="N563" t="s">
        <v>99</v>
      </c>
      <c r="O563" t="s">
        <v>74</v>
      </c>
      <c r="P563" t="s">
        <v>74</v>
      </c>
      <c r="Q563" t="s">
        <v>74</v>
      </c>
      <c r="R563" t="s">
        <v>74</v>
      </c>
      <c r="S563" t="s">
        <v>74</v>
      </c>
      <c r="T563" t="s">
        <v>74</v>
      </c>
      <c r="U563" t="s">
        <v>10898</v>
      </c>
      <c r="V563" t="s">
        <v>10899</v>
      </c>
      <c r="W563" t="s">
        <v>10900</v>
      </c>
      <c r="X563" t="s">
        <v>10901</v>
      </c>
      <c r="Y563" t="s">
        <v>10902</v>
      </c>
      <c r="Z563" t="s">
        <v>10903</v>
      </c>
      <c r="AA563" t="s">
        <v>10904</v>
      </c>
      <c r="AB563" t="s">
        <v>10905</v>
      </c>
      <c r="AC563" t="s">
        <v>10906</v>
      </c>
      <c r="AD563" t="s">
        <v>10907</v>
      </c>
      <c r="AE563" t="s">
        <v>10908</v>
      </c>
      <c r="AF563" t="s">
        <v>74</v>
      </c>
      <c r="AG563">
        <v>82</v>
      </c>
      <c r="AH563">
        <v>10</v>
      </c>
      <c r="AI563">
        <v>11</v>
      </c>
      <c r="AJ563">
        <v>0</v>
      </c>
      <c r="AK563">
        <v>16</v>
      </c>
      <c r="AL563" t="s">
        <v>2486</v>
      </c>
      <c r="AM563" t="s">
        <v>2487</v>
      </c>
      <c r="AN563" t="s">
        <v>2488</v>
      </c>
      <c r="AO563" t="s">
        <v>3243</v>
      </c>
      <c r="AP563" t="s">
        <v>3244</v>
      </c>
      <c r="AQ563" t="s">
        <v>74</v>
      </c>
      <c r="AR563" t="s">
        <v>3245</v>
      </c>
      <c r="AS563" t="s">
        <v>3246</v>
      </c>
      <c r="AT563" t="s">
        <v>9658</v>
      </c>
      <c r="AU563">
        <v>2014</v>
      </c>
      <c r="AV563">
        <v>161</v>
      </c>
      <c r="AW563">
        <v>12</v>
      </c>
      <c r="AX563" t="s">
        <v>74</v>
      </c>
      <c r="AY563" t="s">
        <v>74</v>
      </c>
      <c r="AZ563" t="s">
        <v>74</v>
      </c>
      <c r="BA563" t="s">
        <v>74</v>
      </c>
      <c r="BB563">
        <v>2857</v>
      </c>
      <c r="BC563">
        <v>2868</v>
      </c>
      <c r="BD563" t="s">
        <v>74</v>
      </c>
      <c r="BE563" t="s">
        <v>10909</v>
      </c>
      <c r="BF563" t="str">
        <f>HYPERLINK("http://dx.doi.org/10.1007/s00227-014-2551-2","http://dx.doi.org/10.1007/s00227-014-2551-2")</f>
        <v>http://dx.doi.org/10.1007/s00227-014-2551-2</v>
      </c>
      <c r="BG563" t="s">
        <v>74</v>
      </c>
      <c r="BH563" t="s">
        <v>74</v>
      </c>
      <c r="BI563">
        <v>12</v>
      </c>
      <c r="BJ563" t="s">
        <v>1227</v>
      </c>
      <c r="BK563" t="s">
        <v>91</v>
      </c>
      <c r="BL563" t="s">
        <v>1227</v>
      </c>
      <c r="BM563" t="s">
        <v>10893</v>
      </c>
      <c r="BN563" t="s">
        <v>74</v>
      </c>
      <c r="BO563" t="s">
        <v>74</v>
      </c>
      <c r="BP563" t="s">
        <v>74</v>
      </c>
      <c r="BQ563" t="s">
        <v>74</v>
      </c>
      <c r="BR563" t="s">
        <v>93</v>
      </c>
      <c r="BS563" t="s">
        <v>10910</v>
      </c>
      <c r="BT563" t="str">
        <f>HYPERLINK("https%3A%2F%2Fwww.webofscience.com%2Fwos%2Fwoscc%2Ffull-record%2FWOS:000345050800012","View Full Record in Web of Science")</f>
        <v>View Full Record in Web of Science</v>
      </c>
    </row>
    <row r="564" spans="1:72" x14ac:dyDescent="0.15">
      <c r="A564" t="s">
        <v>72</v>
      </c>
      <c r="B564" t="s">
        <v>10911</v>
      </c>
      <c r="C564" t="s">
        <v>74</v>
      </c>
      <c r="D564" t="s">
        <v>74</v>
      </c>
      <c r="E564" t="s">
        <v>74</v>
      </c>
      <c r="F564" t="s">
        <v>10912</v>
      </c>
      <c r="G564" t="s">
        <v>74</v>
      </c>
      <c r="H564" t="s">
        <v>74</v>
      </c>
      <c r="I564" t="s">
        <v>10913</v>
      </c>
      <c r="J564" t="s">
        <v>10914</v>
      </c>
      <c r="K564" t="s">
        <v>74</v>
      </c>
      <c r="L564" t="s">
        <v>74</v>
      </c>
      <c r="M564" t="s">
        <v>78</v>
      </c>
      <c r="N564" t="s">
        <v>99</v>
      </c>
      <c r="O564" t="s">
        <v>74</v>
      </c>
      <c r="P564" t="s">
        <v>74</v>
      </c>
      <c r="Q564" t="s">
        <v>74</v>
      </c>
      <c r="R564" t="s">
        <v>74</v>
      </c>
      <c r="S564" t="s">
        <v>74</v>
      </c>
      <c r="T564" t="s">
        <v>10915</v>
      </c>
      <c r="U564" t="s">
        <v>10916</v>
      </c>
      <c r="V564" t="s">
        <v>10917</v>
      </c>
      <c r="W564" t="s">
        <v>10918</v>
      </c>
      <c r="X564" t="s">
        <v>10919</v>
      </c>
      <c r="Y564" t="s">
        <v>10920</v>
      </c>
      <c r="Z564" t="s">
        <v>10921</v>
      </c>
      <c r="AA564" t="s">
        <v>10922</v>
      </c>
      <c r="AB564" t="s">
        <v>10923</v>
      </c>
      <c r="AC564" t="s">
        <v>10924</v>
      </c>
      <c r="AD564" t="s">
        <v>10925</v>
      </c>
      <c r="AE564" t="s">
        <v>10926</v>
      </c>
      <c r="AF564" t="s">
        <v>74</v>
      </c>
      <c r="AG564">
        <v>38</v>
      </c>
      <c r="AH564">
        <v>24</v>
      </c>
      <c r="AI564">
        <v>29</v>
      </c>
      <c r="AJ564">
        <v>9</v>
      </c>
      <c r="AK564">
        <v>107</v>
      </c>
      <c r="AL564" t="s">
        <v>2666</v>
      </c>
      <c r="AM564" t="s">
        <v>6414</v>
      </c>
      <c r="AN564" t="s">
        <v>6415</v>
      </c>
      <c r="AO564" t="s">
        <v>10927</v>
      </c>
      <c r="AP564" t="s">
        <v>10928</v>
      </c>
      <c r="AQ564" t="s">
        <v>74</v>
      </c>
      <c r="AR564" t="s">
        <v>10914</v>
      </c>
      <c r="AS564" t="s">
        <v>10929</v>
      </c>
      <c r="AT564" t="s">
        <v>9658</v>
      </c>
      <c r="AU564">
        <v>2014</v>
      </c>
      <c r="AV564">
        <v>101</v>
      </c>
      <c r="AW564">
        <v>3</v>
      </c>
      <c r="AX564" t="s">
        <v>74</v>
      </c>
      <c r="AY564" t="s">
        <v>74</v>
      </c>
      <c r="AZ564" t="s">
        <v>74</v>
      </c>
      <c r="BA564" t="s">
        <v>74</v>
      </c>
      <c r="BB564">
        <v>1925</v>
      </c>
      <c r="BC564">
        <v>1939</v>
      </c>
      <c r="BD564" t="s">
        <v>74</v>
      </c>
      <c r="BE564" t="s">
        <v>10930</v>
      </c>
      <c r="BF564" t="str">
        <f>HYPERLINK("http://dx.doi.org/10.1007/s11192-014-1332-5","http://dx.doi.org/10.1007/s11192-014-1332-5")</f>
        <v>http://dx.doi.org/10.1007/s11192-014-1332-5</v>
      </c>
      <c r="BG564" t="s">
        <v>74</v>
      </c>
      <c r="BH564" t="s">
        <v>74</v>
      </c>
      <c r="BI564">
        <v>15</v>
      </c>
      <c r="BJ564" t="s">
        <v>10931</v>
      </c>
      <c r="BK564" t="s">
        <v>157</v>
      </c>
      <c r="BL564" t="s">
        <v>10932</v>
      </c>
      <c r="BM564" t="s">
        <v>10933</v>
      </c>
      <c r="BN564" t="s">
        <v>74</v>
      </c>
      <c r="BO564" t="s">
        <v>74</v>
      </c>
      <c r="BP564" t="s">
        <v>74</v>
      </c>
      <c r="BQ564" t="s">
        <v>74</v>
      </c>
      <c r="BR564" t="s">
        <v>93</v>
      </c>
      <c r="BS564" t="s">
        <v>10934</v>
      </c>
      <c r="BT564" t="str">
        <f>HYPERLINK("https%3A%2F%2Fwww.webofscience.com%2Fwos%2Fwoscc%2Ffull-record%2FWOS:000345136000018","View Full Record in Web of Science")</f>
        <v>View Full Record in Web of Science</v>
      </c>
    </row>
    <row r="565" spans="1:72" x14ac:dyDescent="0.15">
      <c r="A565" t="s">
        <v>72</v>
      </c>
      <c r="B565" t="s">
        <v>10935</v>
      </c>
      <c r="C565" t="s">
        <v>74</v>
      </c>
      <c r="D565" t="s">
        <v>74</v>
      </c>
      <c r="E565" t="s">
        <v>74</v>
      </c>
      <c r="F565" t="s">
        <v>10936</v>
      </c>
      <c r="G565" t="s">
        <v>74</v>
      </c>
      <c r="H565" t="s">
        <v>74</v>
      </c>
      <c r="I565" t="s">
        <v>10937</v>
      </c>
      <c r="J565" t="s">
        <v>10938</v>
      </c>
      <c r="K565" t="s">
        <v>74</v>
      </c>
      <c r="L565" t="s">
        <v>74</v>
      </c>
      <c r="M565" t="s">
        <v>78</v>
      </c>
      <c r="N565" t="s">
        <v>10939</v>
      </c>
      <c r="O565" t="s">
        <v>74</v>
      </c>
      <c r="P565" t="s">
        <v>74</v>
      </c>
      <c r="Q565" t="s">
        <v>74</v>
      </c>
      <c r="R565" t="s">
        <v>74</v>
      </c>
      <c r="S565" t="s">
        <v>74</v>
      </c>
      <c r="T565" t="s">
        <v>74</v>
      </c>
      <c r="U565" t="s">
        <v>74</v>
      </c>
      <c r="V565" t="s">
        <v>74</v>
      </c>
      <c r="W565" t="s">
        <v>10940</v>
      </c>
      <c r="X565" t="s">
        <v>10941</v>
      </c>
      <c r="Y565" t="s">
        <v>10942</v>
      </c>
      <c r="Z565" t="s">
        <v>10943</v>
      </c>
      <c r="AA565" t="s">
        <v>74</v>
      </c>
      <c r="AB565" t="s">
        <v>74</v>
      </c>
      <c r="AC565" t="s">
        <v>74</v>
      </c>
      <c r="AD565" t="s">
        <v>74</v>
      </c>
      <c r="AE565" t="s">
        <v>74</v>
      </c>
      <c r="AF565" t="s">
        <v>74</v>
      </c>
      <c r="AG565">
        <v>1</v>
      </c>
      <c r="AH565">
        <v>0</v>
      </c>
      <c r="AI565">
        <v>0</v>
      </c>
      <c r="AJ565">
        <v>0</v>
      </c>
      <c r="AK565">
        <v>1</v>
      </c>
      <c r="AL565" t="s">
        <v>365</v>
      </c>
      <c r="AM565" t="s">
        <v>342</v>
      </c>
      <c r="AN565" t="s">
        <v>2314</v>
      </c>
      <c r="AO565" t="s">
        <v>10944</v>
      </c>
      <c r="AP565" t="s">
        <v>10945</v>
      </c>
      <c r="AQ565" t="s">
        <v>74</v>
      </c>
      <c r="AR565" t="s">
        <v>10946</v>
      </c>
      <c r="AS565" t="s">
        <v>10947</v>
      </c>
      <c r="AT565" t="s">
        <v>9658</v>
      </c>
      <c r="AU565">
        <v>2014</v>
      </c>
      <c r="AV565">
        <v>26</v>
      </c>
      <c r="AW565">
        <v>6</v>
      </c>
      <c r="AX565" t="s">
        <v>74</v>
      </c>
      <c r="AY565" t="s">
        <v>74</v>
      </c>
      <c r="AZ565" t="s">
        <v>1437</v>
      </c>
      <c r="BA565" t="s">
        <v>74</v>
      </c>
      <c r="BB565">
        <v>603</v>
      </c>
      <c r="BC565">
        <v>603</v>
      </c>
      <c r="BD565" t="s">
        <v>74</v>
      </c>
      <c r="BE565" t="s">
        <v>10948</v>
      </c>
      <c r="BF565" t="str">
        <f>HYPERLINK("http://dx.doi.org/10.1017/S0954102014000388","http://dx.doi.org/10.1017/S0954102014000388")</f>
        <v>http://dx.doi.org/10.1017/S0954102014000388</v>
      </c>
      <c r="BG565" t="s">
        <v>74</v>
      </c>
      <c r="BH565" t="s">
        <v>74</v>
      </c>
      <c r="BI565">
        <v>1</v>
      </c>
      <c r="BJ565" t="s">
        <v>10949</v>
      </c>
      <c r="BK565" t="s">
        <v>91</v>
      </c>
      <c r="BL565" t="s">
        <v>10950</v>
      </c>
      <c r="BM565" t="s">
        <v>10951</v>
      </c>
      <c r="BN565" t="s">
        <v>74</v>
      </c>
      <c r="BO565" t="s">
        <v>134</v>
      </c>
      <c r="BP565" t="s">
        <v>74</v>
      </c>
      <c r="BQ565" t="s">
        <v>74</v>
      </c>
      <c r="BR565" t="s">
        <v>93</v>
      </c>
      <c r="BS565" t="s">
        <v>10952</v>
      </c>
      <c r="BT565" t="str">
        <f>HYPERLINK("https%3A%2F%2Fwww.webofscience.com%2Fwos%2Fwoscc%2Ffull-record%2FWOS:000344736100002","View Full Record in Web of Science")</f>
        <v>View Full Record in Web of Science</v>
      </c>
    </row>
    <row r="566" spans="1:72" x14ac:dyDescent="0.15">
      <c r="A566" t="s">
        <v>72</v>
      </c>
      <c r="B566" t="s">
        <v>10953</v>
      </c>
      <c r="C566" t="s">
        <v>74</v>
      </c>
      <c r="D566" t="s">
        <v>74</v>
      </c>
      <c r="E566" t="s">
        <v>74</v>
      </c>
      <c r="F566" t="s">
        <v>10954</v>
      </c>
      <c r="G566" t="s">
        <v>74</v>
      </c>
      <c r="H566" t="s">
        <v>74</v>
      </c>
      <c r="I566" t="s">
        <v>10955</v>
      </c>
      <c r="J566" t="s">
        <v>10938</v>
      </c>
      <c r="K566" t="s">
        <v>74</v>
      </c>
      <c r="L566" t="s">
        <v>74</v>
      </c>
      <c r="M566" t="s">
        <v>78</v>
      </c>
      <c r="N566" t="s">
        <v>99</v>
      </c>
      <c r="O566" t="s">
        <v>74</v>
      </c>
      <c r="P566" t="s">
        <v>74</v>
      </c>
      <c r="Q566" t="s">
        <v>74</v>
      </c>
      <c r="R566" t="s">
        <v>74</v>
      </c>
      <c r="S566" t="s">
        <v>74</v>
      </c>
      <c r="T566" t="s">
        <v>10956</v>
      </c>
      <c r="U566" t="s">
        <v>10957</v>
      </c>
      <c r="V566" t="s">
        <v>10958</v>
      </c>
      <c r="W566" t="s">
        <v>10959</v>
      </c>
      <c r="X566" t="s">
        <v>10960</v>
      </c>
      <c r="Y566" t="s">
        <v>10961</v>
      </c>
      <c r="Z566" t="s">
        <v>10962</v>
      </c>
      <c r="AA566" t="s">
        <v>10963</v>
      </c>
      <c r="AB566" t="s">
        <v>74</v>
      </c>
      <c r="AC566" t="s">
        <v>10964</v>
      </c>
      <c r="AD566" t="s">
        <v>10965</v>
      </c>
      <c r="AE566" t="s">
        <v>10966</v>
      </c>
      <c r="AF566" t="s">
        <v>74</v>
      </c>
      <c r="AG566">
        <v>38</v>
      </c>
      <c r="AH566">
        <v>10</v>
      </c>
      <c r="AI566">
        <v>10</v>
      </c>
      <c r="AJ566">
        <v>1</v>
      </c>
      <c r="AK566">
        <v>11</v>
      </c>
      <c r="AL566" t="s">
        <v>365</v>
      </c>
      <c r="AM566" t="s">
        <v>342</v>
      </c>
      <c r="AN566" t="s">
        <v>2314</v>
      </c>
      <c r="AO566" t="s">
        <v>10944</v>
      </c>
      <c r="AP566" t="s">
        <v>10945</v>
      </c>
      <c r="AQ566" t="s">
        <v>74</v>
      </c>
      <c r="AR566" t="s">
        <v>10946</v>
      </c>
      <c r="AS566" t="s">
        <v>10947</v>
      </c>
      <c r="AT566" t="s">
        <v>9658</v>
      </c>
      <c r="AU566">
        <v>2014</v>
      </c>
      <c r="AV566">
        <v>26</v>
      </c>
      <c r="AW566">
        <v>6</v>
      </c>
      <c r="AX566" t="s">
        <v>74</v>
      </c>
      <c r="AY566" t="s">
        <v>74</v>
      </c>
      <c r="AZ566" t="s">
        <v>1437</v>
      </c>
      <c r="BA566" t="s">
        <v>74</v>
      </c>
      <c r="BB566">
        <v>636</v>
      </c>
      <c r="BC566">
        <v>645</v>
      </c>
      <c r="BD566" t="s">
        <v>74</v>
      </c>
      <c r="BE566" t="s">
        <v>10967</v>
      </c>
      <c r="BF566" t="str">
        <f>HYPERLINK("http://dx.doi.org/10.1017/S0954102014000364","http://dx.doi.org/10.1017/S0954102014000364")</f>
        <v>http://dx.doi.org/10.1017/S0954102014000364</v>
      </c>
      <c r="BG566" t="s">
        <v>74</v>
      </c>
      <c r="BH566" t="s">
        <v>74</v>
      </c>
      <c r="BI566">
        <v>10</v>
      </c>
      <c r="BJ566" t="s">
        <v>10949</v>
      </c>
      <c r="BK566" t="s">
        <v>91</v>
      </c>
      <c r="BL566" t="s">
        <v>10950</v>
      </c>
      <c r="BM566" t="s">
        <v>10951</v>
      </c>
      <c r="BN566" t="s">
        <v>74</v>
      </c>
      <c r="BO566" t="s">
        <v>134</v>
      </c>
      <c r="BP566" t="s">
        <v>74</v>
      </c>
      <c r="BQ566" t="s">
        <v>74</v>
      </c>
      <c r="BR566" t="s">
        <v>93</v>
      </c>
      <c r="BS566" t="s">
        <v>10968</v>
      </c>
      <c r="BT566" t="str">
        <f>HYPERLINK("https%3A%2F%2Fwww.webofscience.com%2Fwos%2Fwoscc%2Ffull-record%2FWOS:000344736100006","View Full Record in Web of Science")</f>
        <v>View Full Record in Web of Science</v>
      </c>
    </row>
    <row r="567" spans="1:72" x14ac:dyDescent="0.15">
      <c r="A567" t="s">
        <v>72</v>
      </c>
      <c r="B567" t="s">
        <v>10969</v>
      </c>
      <c r="C567" t="s">
        <v>74</v>
      </c>
      <c r="D567" t="s">
        <v>74</v>
      </c>
      <c r="E567" t="s">
        <v>74</v>
      </c>
      <c r="F567" t="s">
        <v>10970</v>
      </c>
      <c r="G567" t="s">
        <v>74</v>
      </c>
      <c r="H567" t="s">
        <v>74</v>
      </c>
      <c r="I567" t="s">
        <v>10971</v>
      </c>
      <c r="J567" t="s">
        <v>10938</v>
      </c>
      <c r="K567" t="s">
        <v>74</v>
      </c>
      <c r="L567" t="s">
        <v>74</v>
      </c>
      <c r="M567" t="s">
        <v>78</v>
      </c>
      <c r="N567" t="s">
        <v>99</v>
      </c>
      <c r="O567" t="s">
        <v>74</v>
      </c>
      <c r="P567" t="s">
        <v>74</v>
      </c>
      <c r="Q567" t="s">
        <v>74</v>
      </c>
      <c r="R567" t="s">
        <v>74</v>
      </c>
      <c r="S567" t="s">
        <v>74</v>
      </c>
      <c r="T567" t="s">
        <v>10972</v>
      </c>
      <c r="U567" t="s">
        <v>10973</v>
      </c>
      <c r="V567" t="s">
        <v>10974</v>
      </c>
      <c r="W567" t="s">
        <v>10975</v>
      </c>
      <c r="X567" t="s">
        <v>10976</v>
      </c>
      <c r="Y567" t="s">
        <v>10977</v>
      </c>
      <c r="Z567" t="s">
        <v>5630</v>
      </c>
      <c r="AA567" t="s">
        <v>10978</v>
      </c>
      <c r="AB567" t="s">
        <v>10979</v>
      </c>
      <c r="AC567" t="s">
        <v>74</v>
      </c>
      <c r="AD567" t="s">
        <v>74</v>
      </c>
      <c r="AE567" t="s">
        <v>74</v>
      </c>
      <c r="AF567" t="s">
        <v>74</v>
      </c>
      <c r="AG567">
        <v>65</v>
      </c>
      <c r="AH567">
        <v>10</v>
      </c>
      <c r="AI567">
        <v>13</v>
      </c>
      <c r="AJ567">
        <v>0</v>
      </c>
      <c r="AK567">
        <v>16</v>
      </c>
      <c r="AL567" t="s">
        <v>365</v>
      </c>
      <c r="AM567" t="s">
        <v>342</v>
      </c>
      <c r="AN567" t="s">
        <v>2314</v>
      </c>
      <c r="AO567" t="s">
        <v>10944</v>
      </c>
      <c r="AP567" t="s">
        <v>10945</v>
      </c>
      <c r="AQ567" t="s">
        <v>74</v>
      </c>
      <c r="AR567" t="s">
        <v>10946</v>
      </c>
      <c r="AS567" t="s">
        <v>10947</v>
      </c>
      <c r="AT567" t="s">
        <v>9658</v>
      </c>
      <c r="AU567">
        <v>2014</v>
      </c>
      <c r="AV567">
        <v>26</v>
      </c>
      <c r="AW567">
        <v>6</v>
      </c>
      <c r="AX567" t="s">
        <v>74</v>
      </c>
      <c r="AY567" t="s">
        <v>74</v>
      </c>
      <c r="AZ567" t="s">
        <v>1437</v>
      </c>
      <c r="BA567" t="s">
        <v>74</v>
      </c>
      <c r="BB567">
        <v>661</v>
      </c>
      <c r="BC567">
        <v>673</v>
      </c>
      <c r="BD567" t="s">
        <v>74</v>
      </c>
      <c r="BE567" t="s">
        <v>10980</v>
      </c>
      <c r="BF567" t="str">
        <f>HYPERLINK("http://dx.doi.org/10.1017/S0954102014000376","http://dx.doi.org/10.1017/S0954102014000376")</f>
        <v>http://dx.doi.org/10.1017/S0954102014000376</v>
      </c>
      <c r="BG567" t="s">
        <v>74</v>
      </c>
      <c r="BH567" t="s">
        <v>74</v>
      </c>
      <c r="BI567">
        <v>13</v>
      </c>
      <c r="BJ567" t="s">
        <v>10949</v>
      </c>
      <c r="BK567" t="s">
        <v>91</v>
      </c>
      <c r="BL567" t="s">
        <v>10950</v>
      </c>
      <c r="BM567" t="s">
        <v>10951</v>
      </c>
      <c r="BN567" t="s">
        <v>74</v>
      </c>
      <c r="BO567" t="s">
        <v>2744</v>
      </c>
      <c r="BP567" t="s">
        <v>74</v>
      </c>
      <c r="BQ567" t="s">
        <v>74</v>
      </c>
      <c r="BR567" t="s">
        <v>93</v>
      </c>
      <c r="BS567" t="s">
        <v>10981</v>
      </c>
      <c r="BT567" t="str">
        <f>HYPERLINK("https%3A%2F%2Fwww.webofscience.com%2Fwos%2Fwoscc%2Ffull-record%2FWOS:000344736100008","View Full Record in Web of Science")</f>
        <v>View Full Record in Web of Science</v>
      </c>
    </row>
    <row r="568" spans="1:72" x14ac:dyDescent="0.15">
      <c r="A568" t="s">
        <v>72</v>
      </c>
      <c r="B568" t="s">
        <v>10982</v>
      </c>
      <c r="C568" t="s">
        <v>74</v>
      </c>
      <c r="D568" t="s">
        <v>74</v>
      </c>
      <c r="E568" t="s">
        <v>74</v>
      </c>
      <c r="F568" t="s">
        <v>10983</v>
      </c>
      <c r="G568" t="s">
        <v>74</v>
      </c>
      <c r="H568" t="s">
        <v>74</v>
      </c>
      <c r="I568" t="s">
        <v>10984</v>
      </c>
      <c r="J568" t="s">
        <v>10938</v>
      </c>
      <c r="K568" t="s">
        <v>74</v>
      </c>
      <c r="L568" t="s">
        <v>74</v>
      </c>
      <c r="M568" t="s">
        <v>78</v>
      </c>
      <c r="N568" t="s">
        <v>99</v>
      </c>
      <c r="O568" t="s">
        <v>74</v>
      </c>
      <c r="P568" t="s">
        <v>74</v>
      </c>
      <c r="Q568" t="s">
        <v>74</v>
      </c>
      <c r="R568" t="s">
        <v>74</v>
      </c>
      <c r="S568" t="s">
        <v>74</v>
      </c>
      <c r="T568" t="s">
        <v>10985</v>
      </c>
      <c r="U568" t="s">
        <v>10986</v>
      </c>
      <c r="V568" t="s">
        <v>10987</v>
      </c>
      <c r="W568" t="s">
        <v>10988</v>
      </c>
      <c r="X568" t="s">
        <v>10989</v>
      </c>
      <c r="Y568" t="s">
        <v>10990</v>
      </c>
      <c r="Z568" t="s">
        <v>10991</v>
      </c>
      <c r="AA568" t="s">
        <v>10992</v>
      </c>
      <c r="AB568" t="s">
        <v>10993</v>
      </c>
      <c r="AC568" t="s">
        <v>10994</v>
      </c>
      <c r="AD568" t="s">
        <v>10995</v>
      </c>
      <c r="AE568" t="s">
        <v>10996</v>
      </c>
      <c r="AF568" t="s">
        <v>74</v>
      </c>
      <c r="AG568">
        <v>56</v>
      </c>
      <c r="AH568">
        <v>22</v>
      </c>
      <c r="AI568">
        <v>23</v>
      </c>
      <c r="AJ568">
        <v>0</v>
      </c>
      <c r="AK568">
        <v>22</v>
      </c>
      <c r="AL568" t="s">
        <v>365</v>
      </c>
      <c r="AM568" t="s">
        <v>342</v>
      </c>
      <c r="AN568" t="s">
        <v>2314</v>
      </c>
      <c r="AO568" t="s">
        <v>10944</v>
      </c>
      <c r="AP568" t="s">
        <v>10945</v>
      </c>
      <c r="AQ568" t="s">
        <v>74</v>
      </c>
      <c r="AR568" t="s">
        <v>10946</v>
      </c>
      <c r="AS568" t="s">
        <v>10947</v>
      </c>
      <c r="AT568" t="s">
        <v>9658</v>
      </c>
      <c r="AU568">
        <v>2014</v>
      </c>
      <c r="AV568">
        <v>26</v>
      </c>
      <c r="AW568">
        <v>6</v>
      </c>
      <c r="AX568" t="s">
        <v>74</v>
      </c>
      <c r="AY568" t="s">
        <v>74</v>
      </c>
      <c r="AZ568" t="s">
        <v>1437</v>
      </c>
      <c r="BA568" t="s">
        <v>74</v>
      </c>
      <c r="BB568">
        <v>674</v>
      </c>
      <c r="BC568">
        <v>686</v>
      </c>
      <c r="BD568" t="s">
        <v>74</v>
      </c>
      <c r="BE568" t="s">
        <v>10997</v>
      </c>
      <c r="BF568" t="str">
        <f>HYPERLINK("http://dx.doi.org/10.1017/S0954102014000613","http://dx.doi.org/10.1017/S0954102014000613")</f>
        <v>http://dx.doi.org/10.1017/S0954102014000613</v>
      </c>
      <c r="BG568" t="s">
        <v>74</v>
      </c>
      <c r="BH568" t="s">
        <v>74</v>
      </c>
      <c r="BI568">
        <v>13</v>
      </c>
      <c r="BJ568" t="s">
        <v>10949</v>
      </c>
      <c r="BK568" t="s">
        <v>91</v>
      </c>
      <c r="BL568" t="s">
        <v>10950</v>
      </c>
      <c r="BM568" t="s">
        <v>10951</v>
      </c>
      <c r="BN568" t="s">
        <v>74</v>
      </c>
      <c r="BO568" t="s">
        <v>10998</v>
      </c>
      <c r="BP568" t="s">
        <v>74</v>
      </c>
      <c r="BQ568" t="s">
        <v>74</v>
      </c>
      <c r="BR568" t="s">
        <v>93</v>
      </c>
      <c r="BS568" t="s">
        <v>10999</v>
      </c>
      <c r="BT568" t="str">
        <f>HYPERLINK("https%3A%2F%2Fwww.webofscience.com%2Fwos%2Fwoscc%2Ffull-record%2FWOS:000344736100009","View Full Record in Web of Science")</f>
        <v>View Full Record in Web of Science</v>
      </c>
    </row>
    <row r="569" spans="1:72" x14ac:dyDescent="0.15">
      <c r="A569" t="s">
        <v>72</v>
      </c>
      <c r="B569" t="s">
        <v>11000</v>
      </c>
      <c r="C569" t="s">
        <v>74</v>
      </c>
      <c r="D569" t="s">
        <v>74</v>
      </c>
      <c r="E569" t="s">
        <v>74</v>
      </c>
      <c r="F569" t="s">
        <v>11001</v>
      </c>
      <c r="G569" t="s">
        <v>74</v>
      </c>
      <c r="H569" t="s">
        <v>74</v>
      </c>
      <c r="I569" t="s">
        <v>11002</v>
      </c>
      <c r="J569" t="s">
        <v>10938</v>
      </c>
      <c r="K569" t="s">
        <v>74</v>
      </c>
      <c r="L569" t="s">
        <v>74</v>
      </c>
      <c r="M569" t="s">
        <v>78</v>
      </c>
      <c r="N569" t="s">
        <v>99</v>
      </c>
      <c r="O569" t="s">
        <v>74</v>
      </c>
      <c r="P569" t="s">
        <v>74</v>
      </c>
      <c r="Q569" t="s">
        <v>74</v>
      </c>
      <c r="R569" t="s">
        <v>74</v>
      </c>
      <c r="S569" t="s">
        <v>74</v>
      </c>
      <c r="T569" t="s">
        <v>11003</v>
      </c>
      <c r="U569" t="s">
        <v>11004</v>
      </c>
      <c r="V569" t="s">
        <v>11005</v>
      </c>
      <c r="W569" t="s">
        <v>11006</v>
      </c>
      <c r="X569" t="s">
        <v>11007</v>
      </c>
      <c r="Y569" t="s">
        <v>11008</v>
      </c>
      <c r="Z569" t="s">
        <v>11009</v>
      </c>
      <c r="AA569" t="s">
        <v>74</v>
      </c>
      <c r="AB569" t="s">
        <v>11010</v>
      </c>
      <c r="AC569" t="s">
        <v>11011</v>
      </c>
      <c r="AD569" t="s">
        <v>11012</v>
      </c>
      <c r="AE569" t="s">
        <v>11013</v>
      </c>
      <c r="AF569" t="s">
        <v>74</v>
      </c>
      <c r="AG569">
        <v>42</v>
      </c>
      <c r="AH569">
        <v>26</v>
      </c>
      <c r="AI569">
        <v>29</v>
      </c>
      <c r="AJ569">
        <v>0</v>
      </c>
      <c r="AK569">
        <v>15</v>
      </c>
      <c r="AL569" t="s">
        <v>365</v>
      </c>
      <c r="AM569" t="s">
        <v>342</v>
      </c>
      <c r="AN569" t="s">
        <v>2314</v>
      </c>
      <c r="AO569" t="s">
        <v>10944</v>
      </c>
      <c r="AP569" t="s">
        <v>10945</v>
      </c>
      <c r="AQ569" t="s">
        <v>74</v>
      </c>
      <c r="AR569" t="s">
        <v>10946</v>
      </c>
      <c r="AS569" t="s">
        <v>10947</v>
      </c>
      <c r="AT569" t="s">
        <v>9658</v>
      </c>
      <c r="AU569">
        <v>2014</v>
      </c>
      <c r="AV569">
        <v>26</v>
      </c>
      <c r="AW569">
        <v>6</v>
      </c>
      <c r="AX569" t="s">
        <v>74</v>
      </c>
      <c r="AY569" t="s">
        <v>74</v>
      </c>
      <c r="AZ569" t="s">
        <v>1437</v>
      </c>
      <c r="BA569" t="s">
        <v>74</v>
      </c>
      <c r="BB569">
        <v>687</v>
      </c>
      <c r="BC569">
        <v>697</v>
      </c>
      <c r="BD569" t="s">
        <v>74</v>
      </c>
      <c r="BE569" t="s">
        <v>11014</v>
      </c>
      <c r="BF569" t="str">
        <f>HYPERLINK("http://dx.doi.org/10.1017/S0954102014000315","http://dx.doi.org/10.1017/S0954102014000315")</f>
        <v>http://dx.doi.org/10.1017/S0954102014000315</v>
      </c>
      <c r="BG569" t="s">
        <v>74</v>
      </c>
      <c r="BH569" t="s">
        <v>74</v>
      </c>
      <c r="BI569">
        <v>11</v>
      </c>
      <c r="BJ569" t="s">
        <v>10949</v>
      </c>
      <c r="BK569" t="s">
        <v>91</v>
      </c>
      <c r="BL569" t="s">
        <v>10950</v>
      </c>
      <c r="BM569" t="s">
        <v>10951</v>
      </c>
      <c r="BN569" t="s">
        <v>74</v>
      </c>
      <c r="BO569" t="s">
        <v>134</v>
      </c>
      <c r="BP569" t="s">
        <v>74</v>
      </c>
      <c r="BQ569" t="s">
        <v>74</v>
      </c>
      <c r="BR569" t="s">
        <v>93</v>
      </c>
      <c r="BS569" t="s">
        <v>11015</v>
      </c>
      <c r="BT569" t="str">
        <f>HYPERLINK("https%3A%2F%2Fwww.webofscience.com%2Fwos%2Fwoscc%2Ffull-record%2FWOS:000344736100010","View Full Record in Web of Science")</f>
        <v>View Full Record in Web of Science</v>
      </c>
    </row>
    <row r="570" spans="1:72" x14ac:dyDescent="0.15">
      <c r="A570" t="s">
        <v>72</v>
      </c>
      <c r="B570" t="s">
        <v>11016</v>
      </c>
      <c r="C570" t="s">
        <v>74</v>
      </c>
      <c r="D570" t="s">
        <v>74</v>
      </c>
      <c r="E570" t="s">
        <v>74</v>
      </c>
      <c r="F570" t="s">
        <v>11017</v>
      </c>
      <c r="G570" t="s">
        <v>74</v>
      </c>
      <c r="H570" t="s">
        <v>74</v>
      </c>
      <c r="I570" t="s">
        <v>11018</v>
      </c>
      <c r="J570" t="s">
        <v>10938</v>
      </c>
      <c r="K570" t="s">
        <v>74</v>
      </c>
      <c r="L570" t="s">
        <v>74</v>
      </c>
      <c r="M570" t="s">
        <v>78</v>
      </c>
      <c r="N570" t="s">
        <v>99</v>
      </c>
      <c r="O570" t="s">
        <v>74</v>
      </c>
      <c r="P570" t="s">
        <v>74</v>
      </c>
      <c r="Q570" t="s">
        <v>74</v>
      </c>
      <c r="R570" t="s">
        <v>74</v>
      </c>
      <c r="S570" t="s">
        <v>74</v>
      </c>
      <c r="T570" t="s">
        <v>11019</v>
      </c>
      <c r="U570" t="s">
        <v>11020</v>
      </c>
      <c r="V570" t="s">
        <v>11021</v>
      </c>
      <c r="W570" t="s">
        <v>11022</v>
      </c>
      <c r="X570" t="s">
        <v>11023</v>
      </c>
      <c r="Y570" t="s">
        <v>11024</v>
      </c>
      <c r="Z570" t="s">
        <v>11025</v>
      </c>
      <c r="AA570" t="s">
        <v>74</v>
      </c>
      <c r="AB570" t="s">
        <v>11026</v>
      </c>
      <c r="AC570" t="s">
        <v>11027</v>
      </c>
      <c r="AD570" t="s">
        <v>11028</v>
      </c>
      <c r="AE570" t="s">
        <v>11029</v>
      </c>
      <c r="AF570" t="s">
        <v>74</v>
      </c>
      <c r="AG570">
        <v>61</v>
      </c>
      <c r="AH570">
        <v>14</v>
      </c>
      <c r="AI570">
        <v>14</v>
      </c>
      <c r="AJ570">
        <v>1</v>
      </c>
      <c r="AK570">
        <v>13</v>
      </c>
      <c r="AL570" t="s">
        <v>365</v>
      </c>
      <c r="AM570" t="s">
        <v>342</v>
      </c>
      <c r="AN570" t="s">
        <v>2314</v>
      </c>
      <c r="AO570" t="s">
        <v>10944</v>
      </c>
      <c r="AP570" t="s">
        <v>10945</v>
      </c>
      <c r="AQ570" t="s">
        <v>74</v>
      </c>
      <c r="AR570" t="s">
        <v>10946</v>
      </c>
      <c r="AS570" t="s">
        <v>10947</v>
      </c>
      <c r="AT570" t="s">
        <v>9658</v>
      </c>
      <c r="AU570">
        <v>2014</v>
      </c>
      <c r="AV570">
        <v>26</v>
      </c>
      <c r="AW570">
        <v>6</v>
      </c>
      <c r="AX570" t="s">
        <v>74</v>
      </c>
      <c r="AY570" t="s">
        <v>74</v>
      </c>
      <c r="AZ570" t="s">
        <v>1437</v>
      </c>
      <c r="BA570" t="s">
        <v>74</v>
      </c>
      <c r="BB570">
        <v>698</v>
      </c>
      <c r="BC570">
        <v>707</v>
      </c>
      <c r="BD570" t="s">
        <v>74</v>
      </c>
      <c r="BE570" t="s">
        <v>11030</v>
      </c>
      <c r="BF570" t="str">
        <f>HYPERLINK("http://dx.doi.org/10.1017/S0954102014000340","http://dx.doi.org/10.1017/S0954102014000340")</f>
        <v>http://dx.doi.org/10.1017/S0954102014000340</v>
      </c>
      <c r="BG570" t="s">
        <v>74</v>
      </c>
      <c r="BH570" t="s">
        <v>74</v>
      </c>
      <c r="BI570">
        <v>10</v>
      </c>
      <c r="BJ570" t="s">
        <v>10949</v>
      </c>
      <c r="BK570" t="s">
        <v>91</v>
      </c>
      <c r="BL570" t="s">
        <v>10950</v>
      </c>
      <c r="BM570" t="s">
        <v>10951</v>
      </c>
      <c r="BN570" t="s">
        <v>74</v>
      </c>
      <c r="BO570" t="s">
        <v>134</v>
      </c>
      <c r="BP570" t="s">
        <v>74</v>
      </c>
      <c r="BQ570" t="s">
        <v>74</v>
      </c>
      <c r="BR570" t="s">
        <v>93</v>
      </c>
      <c r="BS570" t="s">
        <v>11031</v>
      </c>
      <c r="BT570" t="str">
        <f>HYPERLINK("https%3A%2F%2Fwww.webofscience.com%2Fwos%2Fwoscc%2Ffull-record%2FWOS:000344736100011","View Full Record in Web of Science")</f>
        <v>View Full Record in Web of Science</v>
      </c>
    </row>
    <row r="571" spans="1:72" x14ac:dyDescent="0.15">
      <c r="A571" t="s">
        <v>72</v>
      </c>
      <c r="B571" t="s">
        <v>11032</v>
      </c>
      <c r="C571" t="s">
        <v>74</v>
      </c>
      <c r="D571" t="s">
        <v>74</v>
      </c>
      <c r="E571" t="s">
        <v>74</v>
      </c>
      <c r="F571" t="s">
        <v>11033</v>
      </c>
      <c r="G571" t="s">
        <v>74</v>
      </c>
      <c r="H571" t="s">
        <v>74</v>
      </c>
      <c r="I571" t="s">
        <v>11034</v>
      </c>
      <c r="J571" t="s">
        <v>10938</v>
      </c>
      <c r="K571" t="s">
        <v>74</v>
      </c>
      <c r="L571" t="s">
        <v>74</v>
      </c>
      <c r="M571" t="s">
        <v>78</v>
      </c>
      <c r="N571" t="s">
        <v>99</v>
      </c>
      <c r="O571" t="s">
        <v>74</v>
      </c>
      <c r="P571" t="s">
        <v>74</v>
      </c>
      <c r="Q571" t="s">
        <v>74</v>
      </c>
      <c r="R571" t="s">
        <v>74</v>
      </c>
      <c r="S571" t="s">
        <v>74</v>
      </c>
      <c r="T571" t="s">
        <v>11035</v>
      </c>
      <c r="U571" t="s">
        <v>11036</v>
      </c>
      <c r="V571" t="s">
        <v>11037</v>
      </c>
      <c r="W571" t="s">
        <v>11038</v>
      </c>
      <c r="X571" t="s">
        <v>11039</v>
      </c>
      <c r="Y571" t="s">
        <v>11040</v>
      </c>
      <c r="Z571" t="s">
        <v>11041</v>
      </c>
      <c r="AA571" t="s">
        <v>74</v>
      </c>
      <c r="AB571" t="s">
        <v>74</v>
      </c>
      <c r="AC571" t="s">
        <v>11042</v>
      </c>
      <c r="AD571" t="s">
        <v>11043</v>
      </c>
      <c r="AE571" t="s">
        <v>11044</v>
      </c>
      <c r="AF571" t="s">
        <v>74</v>
      </c>
      <c r="AG571">
        <v>29</v>
      </c>
      <c r="AH571">
        <v>25</v>
      </c>
      <c r="AI571">
        <v>30</v>
      </c>
      <c r="AJ571">
        <v>2</v>
      </c>
      <c r="AK571">
        <v>26</v>
      </c>
      <c r="AL571" t="s">
        <v>365</v>
      </c>
      <c r="AM571" t="s">
        <v>342</v>
      </c>
      <c r="AN571" t="s">
        <v>2314</v>
      </c>
      <c r="AO571" t="s">
        <v>10944</v>
      </c>
      <c r="AP571" t="s">
        <v>10945</v>
      </c>
      <c r="AQ571" t="s">
        <v>74</v>
      </c>
      <c r="AR571" t="s">
        <v>10946</v>
      </c>
      <c r="AS571" t="s">
        <v>10947</v>
      </c>
      <c r="AT571" t="s">
        <v>9658</v>
      </c>
      <c r="AU571">
        <v>2014</v>
      </c>
      <c r="AV571">
        <v>26</v>
      </c>
      <c r="AW571">
        <v>6</v>
      </c>
      <c r="AX571" t="s">
        <v>74</v>
      </c>
      <c r="AY571" t="s">
        <v>74</v>
      </c>
      <c r="AZ571" t="s">
        <v>1437</v>
      </c>
      <c r="BA571" t="s">
        <v>74</v>
      </c>
      <c r="BB571">
        <v>708</v>
      </c>
      <c r="BC571">
        <v>723</v>
      </c>
      <c r="BD571" t="s">
        <v>74</v>
      </c>
      <c r="BE571" t="s">
        <v>11045</v>
      </c>
      <c r="BF571" t="str">
        <f>HYPERLINK("http://dx.doi.org/10.1017/S0954102014000261","http://dx.doi.org/10.1017/S0954102014000261")</f>
        <v>http://dx.doi.org/10.1017/S0954102014000261</v>
      </c>
      <c r="BG571" t="s">
        <v>74</v>
      </c>
      <c r="BH571" t="s">
        <v>74</v>
      </c>
      <c r="BI571">
        <v>16</v>
      </c>
      <c r="BJ571" t="s">
        <v>10949</v>
      </c>
      <c r="BK571" t="s">
        <v>91</v>
      </c>
      <c r="BL571" t="s">
        <v>10950</v>
      </c>
      <c r="BM571" t="s">
        <v>10951</v>
      </c>
      <c r="BN571" t="s">
        <v>74</v>
      </c>
      <c r="BO571" t="s">
        <v>134</v>
      </c>
      <c r="BP571" t="s">
        <v>74</v>
      </c>
      <c r="BQ571" t="s">
        <v>74</v>
      </c>
      <c r="BR571" t="s">
        <v>93</v>
      </c>
      <c r="BS571" t="s">
        <v>11046</v>
      </c>
      <c r="BT571" t="str">
        <f>HYPERLINK("https%3A%2F%2Fwww.webofscience.com%2Fwos%2Fwoscc%2Ffull-record%2FWOS:000344736100012","View Full Record in Web of Science")</f>
        <v>View Full Record in Web of Science</v>
      </c>
    </row>
    <row r="572" spans="1:72" x14ac:dyDescent="0.15">
      <c r="A572" t="s">
        <v>72</v>
      </c>
      <c r="B572" t="s">
        <v>11047</v>
      </c>
      <c r="C572" t="s">
        <v>74</v>
      </c>
      <c r="D572" t="s">
        <v>74</v>
      </c>
      <c r="E572" t="s">
        <v>74</v>
      </c>
      <c r="F572" t="s">
        <v>11048</v>
      </c>
      <c r="G572" t="s">
        <v>74</v>
      </c>
      <c r="H572" t="s">
        <v>74</v>
      </c>
      <c r="I572" t="s">
        <v>11049</v>
      </c>
      <c r="J572" t="s">
        <v>11050</v>
      </c>
      <c r="K572" t="s">
        <v>74</v>
      </c>
      <c r="L572" t="s">
        <v>74</v>
      </c>
      <c r="M572" t="s">
        <v>78</v>
      </c>
      <c r="N572" t="s">
        <v>99</v>
      </c>
      <c r="O572" t="s">
        <v>74</v>
      </c>
      <c r="P572" t="s">
        <v>74</v>
      </c>
      <c r="Q572" t="s">
        <v>74</v>
      </c>
      <c r="R572" t="s">
        <v>74</v>
      </c>
      <c r="S572" t="s">
        <v>74</v>
      </c>
      <c r="T572" t="s">
        <v>11051</v>
      </c>
      <c r="U572" t="s">
        <v>11052</v>
      </c>
      <c r="V572" t="s">
        <v>11053</v>
      </c>
      <c r="W572" t="s">
        <v>11054</v>
      </c>
      <c r="X572" t="s">
        <v>11055</v>
      </c>
      <c r="Y572" t="s">
        <v>11056</v>
      </c>
      <c r="Z572" t="s">
        <v>11057</v>
      </c>
      <c r="AA572" t="s">
        <v>11058</v>
      </c>
      <c r="AB572" t="s">
        <v>11059</v>
      </c>
      <c r="AC572" t="s">
        <v>11060</v>
      </c>
      <c r="AD572" t="s">
        <v>11061</v>
      </c>
      <c r="AE572" t="s">
        <v>11062</v>
      </c>
      <c r="AF572" t="s">
        <v>74</v>
      </c>
      <c r="AG572">
        <v>43</v>
      </c>
      <c r="AH572">
        <v>13</v>
      </c>
      <c r="AI572">
        <v>13</v>
      </c>
      <c r="AJ572">
        <v>0</v>
      </c>
      <c r="AK572">
        <v>18</v>
      </c>
      <c r="AL572" t="s">
        <v>2666</v>
      </c>
      <c r="AM572" t="s">
        <v>6414</v>
      </c>
      <c r="AN572" t="s">
        <v>6415</v>
      </c>
      <c r="AO572" t="s">
        <v>11063</v>
      </c>
      <c r="AP572" t="s">
        <v>11064</v>
      </c>
      <c r="AQ572" t="s">
        <v>74</v>
      </c>
      <c r="AR572" t="s">
        <v>11065</v>
      </c>
      <c r="AS572" t="s">
        <v>11066</v>
      </c>
      <c r="AT572" t="s">
        <v>9658</v>
      </c>
      <c r="AU572">
        <v>2014</v>
      </c>
      <c r="AV572">
        <v>40</v>
      </c>
      <c r="AW572">
        <v>6</v>
      </c>
      <c r="AX572" t="s">
        <v>74</v>
      </c>
      <c r="AY572" t="s">
        <v>74</v>
      </c>
      <c r="AZ572" t="s">
        <v>74</v>
      </c>
      <c r="BA572" t="s">
        <v>74</v>
      </c>
      <c r="BB572">
        <v>1683</v>
      </c>
      <c r="BC572">
        <v>1691</v>
      </c>
      <c r="BD572" t="s">
        <v>74</v>
      </c>
      <c r="BE572" t="s">
        <v>11067</v>
      </c>
      <c r="BF572" t="str">
        <f>HYPERLINK("http://dx.doi.org/10.1007/s10695-014-9959-y","http://dx.doi.org/10.1007/s10695-014-9959-y")</f>
        <v>http://dx.doi.org/10.1007/s10695-014-9959-y</v>
      </c>
      <c r="BG572" t="s">
        <v>74</v>
      </c>
      <c r="BH572" t="s">
        <v>74</v>
      </c>
      <c r="BI572">
        <v>9</v>
      </c>
      <c r="BJ572" t="s">
        <v>11068</v>
      </c>
      <c r="BK572" t="s">
        <v>91</v>
      </c>
      <c r="BL572" t="s">
        <v>11068</v>
      </c>
      <c r="BM572" t="s">
        <v>11069</v>
      </c>
      <c r="BN572">
        <v>25034336</v>
      </c>
      <c r="BO572" t="s">
        <v>74</v>
      </c>
      <c r="BP572" t="s">
        <v>74</v>
      </c>
      <c r="BQ572" t="s">
        <v>74</v>
      </c>
      <c r="BR572" t="s">
        <v>93</v>
      </c>
      <c r="BS572" t="s">
        <v>11070</v>
      </c>
      <c r="BT572" t="str">
        <f>HYPERLINK("https%3A%2F%2Fwww.webofscience.com%2Fwos%2Fwoscc%2Ffull-record%2FWOS:000344752600005","View Full Record in Web of Science")</f>
        <v>View Full Record in Web of Science</v>
      </c>
    </row>
    <row r="573" spans="1:72" x14ac:dyDescent="0.15">
      <c r="A573" t="s">
        <v>72</v>
      </c>
      <c r="B573" t="s">
        <v>11071</v>
      </c>
      <c r="C573" t="s">
        <v>74</v>
      </c>
      <c r="D573" t="s">
        <v>74</v>
      </c>
      <c r="E573" t="s">
        <v>74</v>
      </c>
      <c r="F573" t="s">
        <v>11072</v>
      </c>
      <c r="G573" t="s">
        <v>74</v>
      </c>
      <c r="H573" t="s">
        <v>74</v>
      </c>
      <c r="I573" t="s">
        <v>11073</v>
      </c>
      <c r="J573" t="s">
        <v>11074</v>
      </c>
      <c r="K573" t="s">
        <v>74</v>
      </c>
      <c r="L573" t="s">
        <v>74</v>
      </c>
      <c r="M573" t="s">
        <v>78</v>
      </c>
      <c r="N573" t="s">
        <v>99</v>
      </c>
      <c r="O573" t="s">
        <v>74</v>
      </c>
      <c r="P573" t="s">
        <v>74</v>
      </c>
      <c r="Q573" t="s">
        <v>74</v>
      </c>
      <c r="R573" t="s">
        <v>74</v>
      </c>
      <c r="S573" t="s">
        <v>74</v>
      </c>
      <c r="T573" t="s">
        <v>74</v>
      </c>
      <c r="U573" t="s">
        <v>11075</v>
      </c>
      <c r="V573" t="s">
        <v>11076</v>
      </c>
      <c r="W573" t="s">
        <v>11077</v>
      </c>
      <c r="X573" t="s">
        <v>11078</v>
      </c>
      <c r="Y573" t="s">
        <v>11079</v>
      </c>
      <c r="Z573" t="s">
        <v>11080</v>
      </c>
      <c r="AA573" t="s">
        <v>11081</v>
      </c>
      <c r="AB573" t="s">
        <v>11082</v>
      </c>
      <c r="AC573" t="s">
        <v>11083</v>
      </c>
      <c r="AD573" t="s">
        <v>11084</v>
      </c>
      <c r="AE573" t="s">
        <v>11085</v>
      </c>
      <c r="AF573" t="s">
        <v>74</v>
      </c>
      <c r="AG573">
        <v>96</v>
      </c>
      <c r="AH573">
        <v>15</v>
      </c>
      <c r="AI573">
        <v>17</v>
      </c>
      <c r="AJ573">
        <v>0</v>
      </c>
      <c r="AK573">
        <v>84</v>
      </c>
      <c r="AL573" t="s">
        <v>2006</v>
      </c>
      <c r="AM573" t="s">
        <v>2007</v>
      </c>
      <c r="AN573" t="s">
        <v>2008</v>
      </c>
      <c r="AO573" t="s">
        <v>11086</v>
      </c>
      <c r="AP573" t="s">
        <v>11087</v>
      </c>
      <c r="AQ573" t="s">
        <v>74</v>
      </c>
      <c r="AR573" t="s">
        <v>11088</v>
      </c>
      <c r="AS573" t="s">
        <v>11089</v>
      </c>
      <c r="AT573" t="s">
        <v>9658</v>
      </c>
      <c r="AU573">
        <v>2014</v>
      </c>
      <c r="AV573">
        <v>321</v>
      </c>
      <c r="AW573">
        <v>10</v>
      </c>
      <c r="AX573" t="s">
        <v>74</v>
      </c>
      <c r="AY573" t="s">
        <v>74</v>
      </c>
      <c r="AZ573" t="s">
        <v>74</v>
      </c>
      <c r="BA573" t="s">
        <v>74</v>
      </c>
      <c r="BB573">
        <v>550</v>
      </c>
      <c r="BC573">
        <v>565</v>
      </c>
      <c r="BD573" t="s">
        <v>74</v>
      </c>
      <c r="BE573" t="s">
        <v>11090</v>
      </c>
      <c r="BF573" t="str">
        <f>HYPERLINK("http://dx.doi.org/10.1002/jez.1889","http://dx.doi.org/10.1002/jez.1889")</f>
        <v>http://dx.doi.org/10.1002/jez.1889</v>
      </c>
      <c r="BG573" t="s">
        <v>74</v>
      </c>
      <c r="BH573" t="s">
        <v>74</v>
      </c>
      <c r="BI573">
        <v>16</v>
      </c>
      <c r="BJ573" t="s">
        <v>423</v>
      </c>
      <c r="BK573" t="s">
        <v>91</v>
      </c>
      <c r="BL573" t="s">
        <v>423</v>
      </c>
      <c r="BM573" t="s">
        <v>11091</v>
      </c>
      <c r="BN573">
        <v>25389079</v>
      </c>
      <c r="BO573" t="s">
        <v>74</v>
      </c>
      <c r="BP573" t="s">
        <v>74</v>
      </c>
      <c r="BQ573" t="s">
        <v>74</v>
      </c>
      <c r="BR573" t="s">
        <v>93</v>
      </c>
      <c r="BS573" t="s">
        <v>11092</v>
      </c>
      <c r="BT573" t="str">
        <f>HYPERLINK("https%3A%2F%2Fwww.webofscience.com%2Fwos%2Fwoscc%2Ffull-record%2FWOS:000344807100002","View Full Record in Web of Science")</f>
        <v>View Full Record in Web of Science</v>
      </c>
    </row>
    <row r="574" spans="1:72" x14ac:dyDescent="0.15">
      <c r="A574" t="s">
        <v>72</v>
      </c>
      <c r="B574" t="s">
        <v>11093</v>
      </c>
      <c r="C574" t="s">
        <v>74</v>
      </c>
      <c r="D574" t="s">
        <v>74</v>
      </c>
      <c r="E574" t="s">
        <v>74</v>
      </c>
      <c r="F574" t="s">
        <v>11094</v>
      </c>
      <c r="G574" t="s">
        <v>74</v>
      </c>
      <c r="H574" t="s">
        <v>11095</v>
      </c>
      <c r="I574" t="s">
        <v>11096</v>
      </c>
      <c r="J574" t="s">
        <v>11097</v>
      </c>
      <c r="K574" t="s">
        <v>74</v>
      </c>
      <c r="L574" t="s">
        <v>74</v>
      </c>
      <c r="M574" t="s">
        <v>78</v>
      </c>
      <c r="N574" t="s">
        <v>1845</v>
      </c>
      <c r="O574" t="s">
        <v>11098</v>
      </c>
      <c r="P574" t="s">
        <v>11099</v>
      </c>
      <c r="Q574" t="s">
        <v>11100</v>
      </c>
      <c r="R574" t="s">
        <v>74</v>
      </c>
      <c r="S574" t="s">
        <v>11101</v>
      </c>
      <c r="T574" t="s">
        <v>11102</v>
      </c>
      <c r="U574" t="s">
        <v>11103</v>
      </c>
      <c r="V574" t="s">
        <v>11104</v>
      </c>
      <c r="W574" t="s">
        <v>11105</v>
      </c>
      <c r="X574" t="s">
        <v>11106</v>
      </c>
      <c r="Y574" t="s">
        <v>11107</v>
      </c>
      <c r="Z574" t="s">
        <v>74</v>
      </c>
      <c r="AA574" t="s">
        <v>11108</v>
      </c>
      <c r="AB574" t="s">
        <v>74</v>
      </c>
      <c r="AC574" t="s">
        <v>74</v>
      </c>
      <c r="AD574" t="s">
        <v>74</v>
      </c>
      <c r="AE574" t="s">
        <v>74</v>
      </c>
      <c r="AF574" t="s">
        <v>74</v>
      </c>
      <c r="AG574">
        <v>27</v>
      </c>
      <c r="AH574">
        <v>1</v>
      </c>
      <c r="AI574">
        <v>1</v>
      </c>
      <c r="AJ574">
        <v>0</v>
      </c>
      <c r="AK574">
        <v>6</v>
      </c>
      <c r="AL574" t="s">
        <v>1175</v>
      </c>
      <c r="AM574" t="s">
        <v>1176</v>
      </c>
      <c r="AN574" t="s">
        <v>2938</v>
      </c>
      <c r="AO574" t="s">
        <v>11109</v>
      </c>
      <c r="AP574" t="s">
        <v>11110</v>
      </c>
      <c r="AQ574" t="s">
        <v>74</v>
      </c>
      <c r="AR574" t="s">
        <v>11111</v>
      </c>
      <c r="AS574" t="s">
        <v>11112</v>
      </c>
      <c r="AT574" t="s">
        <v>9961</v>
      </c>
      <c r="AU574">
        <v>2014</v>
      </c>
      <c r="AV574">
        <v>766</v>
      </c>
      <c r="AW574" t="s">
        <v>74</v>
      </c>
      <c r="AX574" t="s">
        <v>74</v>
      </c>
      <c r="AY574" t="s">
        <v>74</v>
      </c>
      <c r="AZ574" t="s">
        <v>74</v>
      </c>
      <c r="BA574" t="s">
        <v>74</v>
      </c>
      <c r="BB574">
        <v>43</v>
      </c>
      <c r="BC574">
        <v>47</v>
      </c>
      <c r="BD574" t="s">
        <v>74</v>
      </c>
      <c r="BE574" t="s">
        <v>11113</v>
      </c>
      <c r="BF574" t="str">
        <f>HYPERLINK("http://dx.doi.org/10.1016/j.nima.2014.05.015","http://dx.doi.org/10.1016/j.nima.2014.05.015")</f>
        <v>http://dx.doi.org/10.1016/j.nima.2014.05.015</v>
      </c>
      <c r="BG574" t="s">
        <v>74</v>
      </c>
      <c r="BH574" t="s">
        <v>74</v>
      </c>
      <c r="BI574">
        <v>5</v>
      </c>
      <c r="BJ574" t="s">
        <v>11114</v>
      </c>
      <c r="BK574" t="s">
        <v>1862</v>
      </c>
      <c r="BL574" t="s">
        <v>11115</v>
      </c>
      <c r="BM574" t="s">
        <v>11116</v>
      </c>
      <c r="BN574" t="s">
        <v>74</v>
      </c>
      <c r="BO574" t="s">
        <v>74</v>
      </c>
      <c r="BP574" t="s">
        <v>74</v>
      </c>
      <c r="BQ574" t="s">
        <v>74</v>
      </c>
      <c r="BR574" t="s">
        <v>93</v>
      </c>
      <c r="BS574" t="s">
        <v>11117</v>
      </c>
      <c r="BT574" t="str">
        <f>HYPERLINK("https%3A%2F%2Fwww.webofscience.com%2Fwos%2Fwoscc%2Ffull-record%2FWOS:000344622200011","View Full Record in Web of Science")</f>
        <v>View Full Record in Web of Science</v>
      </c>
    </row>
    <row r="575" spans="1:72" x14ac:dyDescent="0.15">
      <c r="A575" t="s">
        <v>72</v>
      </c>
      <c r="B575" t="s">
        <v>11118</v>
      </c>
      <c r="C575" t="s">
        <v>74</v>
      </c>
      <c r="D575" t="s">
        <v>74</v>
      </c>
      <c r="E575" t="s">
        <v>74</v>
      </c>
      <c r="F575" t="s">
        <v>11119</v>
      </c>
      <c r="G575" t="s">
        <v>74</v>
      </c>
      <c r="H575" t="s">
        <v>74</v>
      </c>
      <c r="I575" t="s">
        <v>11120</v>
      </c>
      <c r="J575" t="s">
        <v>11121</v>
      </c>
      <c r="K575" t="s">
        <v>74</v>
      </c>
      <c r="L575" t="s">
        <v>74</v>
      </c>
      <c r="M575" t="s">
        <v>78</v>
      </c>
      <c r="N575" t="s">
        <v>99</v>
      </c>
      <c r="O575" t="s">
        <v>74</v>
      </c>
      <c r="P575" t="s">
        <v>74</v>
      </c>
      <c r="Q575" t="s">
        <v>74</v>
      </c>
      <c r="R575" t="s">
        <v>74</v>
      </c>
      <c r="S575" t="s">
        <v>74</v>
      </c>
      <c r="T575" t="s">
        <v>11122</v>
      </c>
      <c r="U575" t="s">
        <v>11123</v>
      </c>
      <c r="V575" t="s">
        <v>11124</v>
      </c>
      <c r="W575" t="s">
        <v>11125</v>
      </c>
      <c r="X575" t="s">
        <v>11126</v>
      </c>
      <c r="Y575" t="s">
        <v>11127</v>
      </c>
      <c r="Z575" t="s">
        <v>11128</v>
      </c>
      <c r="AA575" t="s">
        <v>11129</v>
      </c>
      <c r="AB575" t="s">
        <v>11130</v>
      </c>
      <c r="AC575" t="s">
        <v>11131</v>
      </c>
      <c r="AD575" t="s">
        <v>11132</v>
      </c>
      <c r="AE575" t="s">
        <v>11133</v>
      </c>
      <c r="AF575" t="s">
        <v>74</v>
      </c>
      <c r="AG575">
        <v>52</v>
      </c>
      <c r="AH575">
        <v>14</v>
      </c>
      <c r="AI575">
        <v>14</v>
      </c>
      <c r="AJ575">
        <v>0</v>
      </c>
      <c r="AK575">
        <v>15</v>
      </c>
      <c r="AL575" t="s">
        <v>2666</v>
      </c>
      <c r="AM575" t="s">
        <v>342</v>
      </c>
      <c r="AN575" t="s">
        <v>2761</v>
      </c>
      <c r="AO575" t="s">
        <v>11134</v>
      </c>
      <c r="AP575" t="s">
        <v>11135</v>
      </c>
      <c r="AQ575" t="s">
        <v>74</v>
      </c>
      <c r="AR575" t="s">
        <v>11136</v>
      </c>
      <c r="AS575" t="s">
        <v>11137</v>
      </c>
      <c r="AT575" t="s">
        <v>9658</v>
      </c>
      <c r="AU575">
        <v>2014</v>
      </c>
      <c r="AV575">
        <v>37</v>
      </c>
      <c r="AW575">
        <v>12</v>
      </c>
      <c r="AX575" t="s">
        <v>74</v>
      </c>
      <c r="AY575" t="s">
        <v>74</v>
      </c>
      <c r="AZ575" t="s">
        <v>74</v>
      </c>
      <c r="BA575" t="s">
        <v>74</v>
      </c>
      <c r="BB575">
        <v>1711</v>
      </c>
      <c r="BC575">
        <v>1731</v>
      </c>
      <c r="BD575" t="s">
        <v>74</v>
      </c>
      <c r="BE575" t="s">
        <v>11138</v>
      </c>
      <c r="BF575" t="str">
        <f>HYPERLINK("http://dx.doi.org/10.1007/s00300-014-1556-0","http://dx.doi.org/10.1007/s00300-014-1556-0")</f>
        <v>http://dx.doi.org/10.1007/s00300-014-1556-0</v>
      </c>
      <c r="BG575" t="s">
        <v>74</v>
      </c>
      <c r="BH575" t="s">
        <v>74</v>
      </c>
      <c r="BI575">
        <v>21</v>
      </c>
      <c r="BJ575" t="s">
        <v>3475</v>
      </c>
      <c r="BK575" t="s">
        <v>91</v>
      </c>
      <c r="BL575" t="s">
        <v>3476</v>
      </c>
      <c r="BM575" t="s">
        <v>11139</v>
      </c>
      <c r="BN575" t="s">
        <v>74</v>
      </c>
      <c r="BO575" t="s">
        <v>74</v>
      </c>
      <c r="BP575" t="s">
        <v>74</v>
      </c>
      <c r="BQ575" t="s">
        <v>74</v>
      </c>
      <c r="BR575" t="s">
        <v>93</v>
      </c>
      <c r="BS575" t="s">
        <v>11140</v>
      </c>
      <c r="BT575" t="str">
        <f>HYPERLINK("https%3A%2F%2Fwww.webofscience.com%2Fwos%2Fwoscc%2Ffull-record%2FWOS:000344728400001","View Full Record in Web of Science")</f>
        <v>View Full Record in Web of Science</v>
      </c>
    </row>
    <row r="576" spans="1:72" x14ac:dyDescent="0.15">
      <c r="A576" t="s">
        <v>72</v>
      </c>
      <c r="B576" t="s">
        <v>11141</v>
      </c>
      <c r="C576" t="s">
        <v>74</v>
      </c>
      <c r="D576" t="s">
        <v>74</v>
      </c>
      <c r="E576" t="s">
        <v>74</v>
      </c>
      <c r="F576" t="s">
        <v>11142</v>
      </c>
      <c r="G576" t="s">
        <v>74</v>
      </c>
      <c r="H576" t="s">
        <v>74</v>
      </c>
      <c r="I576" t="s">
        <v>11143</v>
      </c>
      <c r="J576" t="s">
        <v>11121</v>
      </c>
      <c r="K576" t="s">
        <v>74</v>
      </c>
      <c r="L576" t="s">
        <v>74</v>
      </c>
      <c r="M576" t="s">
        <v>78</v>
      </c>
      <c r="N576" t="s">
        <v>99</v>
      </c>
      <c r="O576" t="s">
        <v>74</v>
      </c>
      <c r="P576" t="s">
        <v>74</v>
      </c>
      <c r="Q576" t="s">
        <v>74</v>
      </c>
      <c r="R576" t="s">
        <v>74</v>
      </c>
      <c r="S576" t="s">
        <v>74</v>
      </c>
      <c r="T576" t="s">
        <v>11144</v>
      </c>
      <c r="U576" t="s">
        <v>11145</v>
      </c>
      <c r="V576" t="s">
        <v>11146</v>
      </c>
      <c r="W576" t="s">
        <v>11147</v>
      </c>
      <c r="X576" t="s">
        <v>11148</v>
      </c>
      <c r="Y576" t="s">
        <v>11149</v>
      </c>
      <c r="Z576" t="s">
        <v>11150</v>
      </c>
      <c r="AA576" t="s">
        <v>11151</v>
      </c>
      <c r="AB576" t="s">
        <v>11152</v>
      </c>
      <c r="AC576" t="s">
        <v>11153</v>
      </c>
      <c r="AD576" t="s">
        <v>11154</v>
      </c>
      <c r="AE576" t="s">
        <v>11155</v>
      </c>
      <c r="AF576" t="s">
        <v>74</v>
      </c>
      <c r="AG576">
        <v>59</v>
      </c>
      <c r="AH576">
        <v>7</v>
      </c>
      <c r="AI576">
        <v>7</v>
      </c>
      <c r="AJ576">
        <v>0</v>
      </c>
      <c r="AK576">
        <v>19</v>
      </c>
      <c r="AL576" t="s">
        <v>2666</v>
      </c>
      <c r="AM576" t="s">
        <v>342</v>
      </c>
      <c r="AN576" t="s">
        <v>2667</v>
      </c>
      <c r="AO576" t="s">
        <v>11134</v>
      </c>
      <c r="AP576" t="s">
        <v>11135</v>
      </c>
      <c r="AQ576" t="s">
        <v>74</v>
      </c>
      <c r="AR576" t="s">
        <v>11136</v>
      </c>
      <c r="AS576" t="s">
        <v>11137</v>
      </c>
      <c r="AT576" t="s">
        <v>9658</v>
      </c>
      <c r="AU576">
        <v>2014</v>
      </c>
      <c r="AV576">
        <v>37</v>
      </c>
      <c r="AW576">
        <v>12</v>
      </c>
      <c r="AX576" t="s">
        <v>74</v>
      </c>
      <c r="AY576" t="s">
        <v>74</v>
      </c>
      <c r="AZ576" t="s">
        <v>74</v>
      </c>
      <c r="BA576" t="s">
        <v>74</v>
      </c>
      <c r="BB576">
        <v>1733</v>
      </c>
      <c r="BC576">
        <v>1740</v>
      </c>
      <c r="BD576" t="s">
        <v>74</v>
      </c>
      <c r="BE576" t="s">
        <v>11156</v>
      </c>
      <c r="BF576" t="str">
        <f>HYPERLINK("http://dx.doi.org/10.1007/s00300-014-1557-z","http://dx.doi.org/10.1007/s00300-014-1557-z")</f>
        <v>http://dx.doi.org/10.1007/s00300-014-1557-z</v>
      </c>
      <c r="BG576" t="s">
        <v>74</v>
      </c>
      <c r="BH576" t="s">
        <v>74</v>
      </c>
      <c r="BI576">
        <v>8</v>
      </c>
      <c r="BJ576" t="s">
        <v>3475</v>
      </c>
      <c r="BK576" t="s">
        <v>91</v>
      </c>
      <c r="BL576" t="s">
        <v>3476</v>
      </c>
      <c r="BM576" t="s">
        <v>11139</v>
      </c>
      <c r="BN576" t="s">
        <v>74</v>
      </c>
      <c r="BO576" t="s">
        <v>74</v>
      </c>
      <c r="BP576" t="s">
        <v>74</v>
      </c>
      <c r="BQ576" t="s">
        <v>74</v>
      </c>
      <c r="BR576" t="s">
        <v>93</v>
      </c>
      <c r="BS576" t="s">
        <v>11157</v>
      </c>
      <c r="BT576" t="str">
        <f>HYPERLINK("https%3A%2F%2Fwww.webofscience.com%2Fwos%2Fwoscc%2Ffull-record%2FWOS:000344728400002","View Full Record in Web of Science")</f>
        <v>View Full Record in Web of Science</v>
      </c>
    </row>
    <row r="577" spans="1:72" x14ac:dyDescent="0.15">
      <c r="A577" t="s">
        <v>72</v>
      </c>
      <c r="B577" t="s">
        <v>11158</v>
      </c>
      <c r="C577" t="s">
        <v>74</v>
      </c>
      <c r="D577" t="s">
        <v>74</v>
      </c>
      <c r="E577" t="s">
        <v>74</v>
      </c>
      <c r="F577" t="s">
        <v>11159</v>
      </c>
      <c r="G577" t="s">
        <v>74</v>
      </c>
      <c r="H577" t="s">
        <v>74</v>
      </c>
      <c r="I577" t="s">
        <v>11160</v>
      </c>
      <c r="J577" t="s">
        <v>11121</v>
      </c>
      <c r="K577" t="s">
        <v>74</v>
      </c>
      <c r="L577" t="s">
        <v>74</v>
      </c>
      <c r="M577" t="s">
        <v>78</v>
      </c>
      <c r="N577" t="s">
        <v>99</v>
      </c>
      <c r="O577" t="s">
        <v>74</v>
      </c>
      <c r="P577" t="s">
        <v>74</v>
      </c>
      <c r="Q577" t="s">
        <v>74</v>
      </c>
      <c r="R577" t="s">
        <v>74</v>
      </c>
      <c r="S577" t="s">
        <v>74</v>
      </c>
      <c r="T577" t="s">
        <v>11161</v>
      </c>
      <c r="U577" t="s">
        <v>11162</v>
      </c>
      <c r="V577" t="s">
        <v>11163</v>
      </c>
      <c r="W577" t="s">
        <v>11164</v>
      </c>
      <c r="X577" t="s">
        <v>11165</v>
      </c>
      <c r="Y577" t="s">
        <v>11166</v>
      </c>
      <c r="Z577" t="s">
        <v>11167</v>
      </c>
      <c r="AA577" t="s">
        <v>11168</v>
      </c>
      <c r="AB577" t="s">
        <v>11169</v>
      </c>
      <c r="AC577" t="s">
        <v>11170</v>
      </c>
      <c r="AD577" t="s">
        <v>11171</v>
      </c>
      <c r="AE577" t="s">
        <v>11172</v>
      </c>
      <c r="AF577" t="s">
        <v>74</v>
      </c>
      <c r="AG577">
        <v>67</v>
      </c>
      <c r="AH577">
        <v>23</v>
      </c>
      <c r="AI577">
        <v>26</v>
      </c>
      <c r="AJ577">
        <v>0</v>
      </c>
      <c r="AK577">
        <v>151</v>
      </c>
      <c r="AL577" t="s">
        <v>2666</v>
      </c>
      <c r="AM577" t="s">
        <v>342</v>
      </c>
      <c r="AN577" t="s">
        <v>2667</v>
      </c>
      <c r="AO577" t="s">
        <v>11134</v>
      </c>
      <c r="AP577" t="s">
        <v>11135</v>
      </c>
      <c r="AQ577" t="s">
        <v>74</v>
      </c>
      <c r="AR577" t="s">
        <v>11136</v>
      </c>
      <c r="AS577" t="s">
        <v>11137</v>
      </c>
      <c r="AT577" t="s">
        <v>9658</v>
      </c>
      <c r="AU577">
        <v>2014</v>
      </c>
      <c r="AV577">
        <v>37</v>
      </c>
      <c r="AW577">
        <v>12</v>
      </c>
      <c r="AX577" t="s">
        <v>74</v>
      </c>
      <c r="AY577" t="s">
        <v>74</v>
      </c>
      <c r="AZ577" t="s">
        <v>74</v>
      </c>
      <c r="BA577" t="s">
        <v>74</v>
      </c>
      <c r="BB577">
        <v>1797</v>
      </c>
      <c r="BC577">
        <v>1809</v>
      </c>
      <c r="BD577" t="s">
        <v>74</v>
      </c>
      <c r="BE577" t="s">
        <v>11173</v>
      </c>
      <c r="BF577" t="str">
        <f>HYPERLINK("http://dx.doi.org/10.1007/s00300-014-1562-2","http://dx.doi.org/10.1007/s00300-014-1562-2")</f>
        <v>http://dx.doi.org/10.1007/s00300-014-1562-2</v>
      </c>
      <c r="BG577" t="s">
        <v>74</v>
      </c>
      <c r="BH577" t="s">
        <v>74</v>
      </c>
      <c r="BI577">
        <v>13</v>
      </c>
      <c r="BJ577" t="s">
        <v>3475</v>
      </c>
      <c r="BK577" t="s">
        <v>91</v>
      </c>
      <c r="BL577" t="s">
        <v>3476</v>
      </c>
      <c r="BM577" t="s">
        <v>11139</v>
      </c>
      <c r="BN577" t="s">
        <v>74</v>
      </c>
      <c r="BO577" t="s">
        <v>134</v>
      </c>
      <c r="BP577" t="s">
        <v>74</v>
      </c>
      <c r="BQ577" t="s">
        <v>74</v>
      </c>
      <c r="BR577" t="s">
        <v>93</v>
      </c>
      <c r="BS577" t="s">
        <v>11174</v>
      </c>
      <c r="BT577" t="str">
        <f>HYPERLINK("https%3A%2F%2Fwww.webofscience.com%2Fwos%2Fwoscc%2Ffull-record%2FWOS:000344728400007","View Full Record in Web of Science")</f>
        <v>View Full Record in Web of Science</v>
      </c>
    </row>
    <row r="578" spans="1:72" x14ac:dyDescent="0.15">
      <c r="A578" t="s">
        <v>72</v>
      </c>
      <c r="B578" t="s">
        <v>11175</v>
      </c>
      <c r="C578" t="s">
        <v>74</v>
      </c>
      <c r="D578" t="s">
        <v>74</v>
      </c>
      <c r="E578" t="s">
        <v>74</v>
      </c>
      <c r="F578" t="s">
        <v>11176</v>
      </c>
      <c r="G578" t="s">
        <v>74</v>
      </c>
      <c r="H578" t="s">
        <v>74</v>
      </c>
      <c r="I578" t="s">
        <v>11177</v>
      </c>
      <c r="J578" t="s">
        <v>11121</v>
      </c>
      <c r="K578" t="s">
        <v>74</v>
      </c>
      <c r="L578" t="s">
        <v>74</v>
      </c>
      <c r="M578" t="s">
        <v>78</v>
      </c>
      <c r="N578" t="s">
        <v>99</v>
      </c>
      <c r="O578" t="s">
        <v>74</v>
      </c>
      <c r="P578" t="s">
        <v>74</v>
      </c>
      <c r="Q578" t="s">
        <v>74</v>
      </c>
      <c r="R578" t="s">
        <v>74</v>
      </c>
      <c r="S578" t="s">
        <v>74</v>
      </c>
      <c r="T578" t="s">
        <v>11178</v>
      </c>
      <c r="U578" t="s">
        <v>11179</v>
      </c>
      <c r="V578" t="s">
        <v>11180</v>
      </c>
      <c r="W578" t="s">
        <v>11181</v>
      </c>
      <c r="X578" t="s">
        <v>11182</v>
      </c>
      <c r="Y578" t="s">
        <v>11183</v>
      </c>
      <c r="Z578" t="s">
        <v>11184</v>
      </c>
      <c r="AA578" t="s">
        <v>11185</v>
      </c>
      <c r="AB578" t="s">
        <v>11186</v>
      </c>
      <c r="AC578" t="s">
        <v>11187</v>
      </c>
      <c r="AD578" t="s">
        <v>11188</v>
      </c>
      <c r="AE578" t="s">
        <v>11189</v>
      </c>
      <c r="AF578" t="s">
        <v>74</v>
      </c>
      <c r="AG578">
        <v>82</v>
      </c>
      <c r="AH578">
        <v>11</v>
      </c>
      <c r="AI578">
        <v>12</v>
      </c>
      <c r="AJ578">
        <v>2</v>
      </c>
      <c r="AK578">
        <v>27</v>
      </c>
      <c r="AL578" t="s">
        <v>2666</v>
      </c>
      <c r="AM578" t="s">
        <v>342</v>
      </c>
      <c r="AN578" t="s">
        <v>2667</v>
      </c>
      <c r="AO578" t="s">
        <v>11134</v>
      </c>
      <c r="AP578" t="s">
        <v>11135</v>
      </c>
      <c r="AQ578" t="s">
        <v>74</v>
      </c>
      <c r="AR578" t="s">
        <v>11136</v>
      </c>
      <c r="AS578" t="s">
        <v>11137</v>
      </c>
      <c r="AT578" t="s">
        <v>9658</v>
      </c>
      <c r="AU578">
        <v>2014</v>
      </c>
      <c r="AV578">
        <v>37</v>
      </c>
      <c r="AW578">
        <v>12</v>
      </c>
      <c r="AX578" t="s">
        <v>74</v>
      </c>
      <c r="AY578" t="s">
        <v>74</v>
      </c>
      <c r="AZ578" t="s">
        <v>74</v>
      </c>
      <c r="BA578" t="s">
        <v>74</v>
      </c>
      <c r="BB578">
        <v>1835</v>
      </c>
      <c r="BC578">
        <v>1848</v>
      </c>
      <c r="BD578" t="s">
        <v>74</v>
      </c>
      <c r="BE578" t="s">
        <v>11190</v>
      </c>
      <c r="BF578" t="str">
        <f>HYPERLINK("http://dx.doi.org/10.1007/s00300-014-1565-z","http://dx.doi.org/10.1007/s00300-014-1565-z")</f>
        <v>http://dx.doi.org/10.1007/s00300-014-1565-z</v>
      </c>
      <c r="BG578" t="s">
        <v>74</v>
      </c>
      <c r="BH578" t="s">
        <v>74</v>
      </c>
      <c r="BI578">
        <v>14</v>
      </c>
      <c r="BJ578" t="s">
        <v>3475</v>
      </c>
      <c r="BK578" t="s">
        <v>91</v>
      </c>
      <c r="BL578" t="s">
        <v>3476</v>
      </c>
      <c r="BM578" t="s">
        <v>11139</v>
      </c>
      <c r="BN578" t="s">
        <v>74</v>
      </c>
      <c r="BO578" t="s">
        <v>74</v>
      </c>
      <c r="BP578" t="s">
        <v>74</v>
      </c>
      <c r="BQ578" t="s">
        <v>74</v>
      </c>
      <c r="BR578" t="s">
        <v>93</v>
      </c>
      <c r="BS578" t="s">
        <v>11191</v>
      </c>
      <c r="BT578" t="str">
        <f>HYPERLINK("https%3A%2F%2Fwww.webofscience.com%2Fwos%2Fwoscc%2Ffull-record%2FWOS:000344728400010","View Full Record in Web of Science")</f>
        <v>View Full Record in Web of Science</v>
      </c>
    </row>
    <row r="579" spans="1:72" x14ac:dyDescent="0.15">
      <c r="A579" t="s">
        <v>72</v>
      </c>
      <c r="B579" t="s">
        <v>11192</v>
      </c>
      <c r="C579" t="s">
        <v>74</v>
      </c>
      <c r="D579" t="s">
        <v>74</v>
      </c>
      <c r="E579" t="s">
        <v>74</v>
      </c>
      <c r="F579" t="s">
        <v>11193</v>
      </c>
      <c r="G579" t="s">
        <v>74</v>
      </c>
      <c r="H579" t="s">
        <v>74</v>
      </c>
      <c r="I579" t="s">
        <v>11194</v>
      </c>
      <c r="J579" t="s">
        <v>11195</v>
      </c>
      <c r="K579" t="s">
        <v>74</v>
      </c>
      <c r="L579" t="s">
        <v>74</v>
      </c>
      <c r="M579" t="s">
        <v>78</v>
      </c>
      <c r="N579" t="s">
        <v>99</v>
      </c>
      <c r="O579" t="s">
        <v>74</v>
      </c>
      <c r="P579" t="s">
        <v>74</v>
      </c>
      <c r="Q579" t="s">
        <v>74</v>
      </c>
      <c r="R579" t="s">
        <v>74</v>
      </c>
      <c r="S579" t="s">
        <v>74</v>
      </c>
      <c r="T579" t="s">
        <v>11196</v>
      </c>
      <c r="U579" t="s">
        <v>11197</v>
      </c>
      <c r="V579" t="s">
        <v>11198</v>
      </c>
      <c r="W579" t="s">
        <v>11199</v>
      </c>
      <c r="X579" t="s">
        <v>11200</v>
      </c>
      <c r="Y579" t="s">
        <v>11201</v>
      </c>
      <c r="Z579" t="s">
        <v>11202</v>
      </c>
      <c r="AA579" t="s">
        <v>11203</v>
      </c>
      <c r="AB579" t="s">
        <v>11204</v>
      </c>
      <c r="AC579" t="s">
        <v>74</v>
      </c>
      <c r="AD579" t="s">
        <v>74</v>
      </c>
      <c r="AE579" t="s">
        <v>74</v>
      </c>
      <c r="AF579" t="s">
        <v>74</v>
      </c>
      <c r="AG579">
        <v>20</v>
      </c>
      <c r="AH579">
        <v>3</v>
      </c>
      <c r="AI579">
        <v>3</v>
      </c>
      <c r="AJ579">
        <v>1</v>
      </c>
      <c r="AK579">
        <v>30</v>
      </c>
      <c r="AL579" t="s">
        <v>2666</v>
      </c>
      <c r="AM579" t="s">
        <v>6414</v>
      </c>
      <c r="AN579" t="s">
        <v>6415</v>
      </c>
      <c r="AO579" t="s">
        <v>11205</v>
      </c>
      <c r="AP579" t="s">
        <v>11206</v>
      </c>
      <c r="AQ579" t="s">
        <v>74</v>
      </c>
      <c r="AR579" t="s">
        <v>11207</v>
      </c>
      <c r="AS579" t="s">
        <v>11208</v>
      </c>
      <c r="AT579" t="s">
        <v>9658</v>
      </c>
      <c r="AU579">
        <v>2014</v>
      </c>
      <c r="AV579">
        <v>13</v>
      </c>
      <c r="AW579">
        <v>4</v>
      </c>
      <c r="AX579" t="s">
        <v>74</v>
      </c>
      <c r="AY579" t="s">
        <v>74</v>
      </c>
      <c r="AZ579" t="s">
        <v>74</v>
      </c>
      <c r="BA579" t="s">
        <v>74</v>
      </c>
      <c r="BB579">
        <v>369</v>
      </c>
      <c r="BC579">
        <v>375</v>
      </c>
      <c r="BD579" t="s">
        <v>74</v>
      </c>
      <c r="BE579" t="s">
        <v>11209</v>
      </c>
      <c r="BF579" t="str">
        <f>HYPERLINK("http://dx.doi.org/10.1007/s11157-014-9346-2","http://dx.doi.org/10.1007/s11157-014-9346-2")</f>
        <v>http://dx.doi.org/10.1007/s11157-014-9346-2</v>
      </c>
      <c r="BG579" t="s">
        <v>74</v>
      </c>
      <c r="BH579" t="s">
        <v>74</v>
      </c>
      <c r="BI579">
        <v>7</v>
      </c>
      <c r="BJ579" t="s">
        <v>11210</v>
      </c>
      <c r="BK579" t="s">
        <v>91</v>
      </c>
      <c r="BL579" t="s">
        <v>11211</v>
      </c>
      <c r="BM579" t="s">
        <v>11212</v>
      </c>
      <c r="BN579" t="s">
        <v>74</v>
      </c>
      <c r="BO579" t="s">
        <v>74</v>
      </c>
      <c r="BP579" t="s">
        <v>74</v>
      </c>
      <c r="BQ579" t="s">
        <v>74</v>
      </c>
      <c r="BR579" t="s">
        <v>93</v>
      </c>
      <c r="BS579" t="s">
        <v>11213</v>
      </c>
      <c r="BT579" t="str">
        <f>HYPERLINK("https%3A%2F%2Fwww.webofscience.com%2Fwos%2Fwoscc%2Ffull-record%2FWOS:000344609800001","View Full Record in Web of Science")</f>
        <v>View Full Record in Web of Science</v>
      </c>
    </row>
    <row r="580" spans="1:72" x14ac:dyDescent="0.15">
      <c r="A580" t="s">
        <v>72</v>
      </c>
      <c r="B580" t="s">
        <v>11214</v>
      </c>
      <c r="C580" t="s">
        <v>74</v>
      </c>
      <c r="D580" t="s">
        <v>74</v>
      </c>
      <c r="E580" t="s">
        <v>74</v>
      </c>
      <c r="F580" t="s">
        <v>11215</v>
      </c>
      <c r="G580" t="s">
        <v>74</v>
      </c>
      <c r="H580" t="s">
        <v>74</v>
      </c>
      <c r="I580" t="s">
        <v>11216</v>
      </c>
      <c r="J580" t="s">
        <v>11217</v>
      </c>
      <c r="K580" t="s">
        <v>74</v>
      </c>
      <c r="L580" t="s">
        <v>74</v>
      </c>
      <c r="M580" t="s">
        <v>78</v>
      </c>
      <c r="N580" t="s">
        <v>99</v>
      </c>
      <c r="O580" t="s">
        <v>74</v>
      </c>
      <c r="P580" t="s">
        <v>74</v>
      </c>
      <c r="Q580" t="s">
        <v>74</v>
      </c>
      <c r="R580" t="s">
        <v>74</v>
      </c>
      <c r="S580" t="s">
        <v>74</v>
      </c>
      <c r="T580" t="s">
        <v>11218</v>
      </c>
      <c r="U580" t="s">
        <v>11219</v>
      </c>
      <c r="V580" t="s">
        <v>11220</v>
      </c>
      <c r="W580" t="s">
        <v>11221</v>
      </c>
      <c r="X580" t="s">
        <v>10261</v>
      </c>
      <c r="Y580" t="s">
        <v>11222</v>
      </c>
      <c r="Z580" t="s">
        <v>11223</v>
      </c>
      <c r="AA580" t="s">
        <v>10264</v>
      </c>
      <c r="AB580" t="s">
        <v>11224</v>
      </c>
      <c r="AC580" t="s">
        <v>10266</v>
      </c>
      <c r="AD580" t="s">
        <v>10267</v>
      </c>
      <c r="AE580" t="s">
        <v>11225</v>
      </c>
      <c r="AF580" t="s">
        <v>74</v>
      </c>
      <c r="AG580">
        <v>81</v>
      </c>
      <c r="AH580">
        <v>4</v>
      </c>
      <c r="AI580">
        <v>6</v>
      </c>
      <c r="AJ580">
        <v>2</v>
      </c>
      <c r="AK580">
        <v>20</v>
      </c>
      <c r="AL580" t="s">
        <v>2666</v>
      </c>
      <c r="AM580" t="s">
        <v>6414</v>
      </c>
      <c r="AN580" t="s">
        <v>6415</v>
      </c>
      <c r="AO580" t="s">
        <v>11226</v>
      </c>
      <c r="AP580" t="s">
        <v>11227</v>
      </c>
      <c r="AQ580" t="s">
        <v>74</v>
      </c>
      <c r="AR580" t="s">
        <v>11228</v>
      </c>
      <c r="AS580" t="s">
        <v>11229</v>
      </c>
      <c r="AT580" t="s">
        <v>9658</v>
      </c>
      <c r="AU580">
        <v>2014</v>
      </c>
      <c r="AV580">
        <v>186</v>
      </c>
      <c r="AW580">
        <v>12</v>
      </c>
      <c r="AX580" t="s">
        <v>74</v>
      </c>
      <c r="AY580" t="s">
        <v>74</v>
      </c>
      <c r="AZ580" t="s">
        <v>74</v>
      </c>
      <c r="BA580" t="s">
        <v>74</v>
      </c>
      <c r="BB580">
        <v>8109</v>
      </c>
      <c r="BC580">
        <v>8124</v>
      </c>
      <c r="BD580" t="s">
        <v>74</v>
      </c>
      <c r="BE580" t="s">
        <v>11230</v>
      </c>
      <c r="BF580" t="str">
        <f>HYPERLINK("http://dx.doi.org/10.1007/s10661-014-3990-4","http://dx.doi.org/10.1007/s10661-014-3990-4")</f>
        <v>http://dx.doi.org/10.1007/s10661-014-3990-4</v>
      </c>
      <c r="BG580" t="s">
        <v>74</v>
      </c>
      <c r="BH580" t="s">
        <v>74</v>
      </c>
      <c r="BI580">
        <v>16</v>
      </c>
      <c r="BJ580" t="s">
        <v>1611</v>
      </c>
      <c r="BK580" t="s">
        <v>91</v>
      </c>
      <c r="BL580" t="s">
        <v>395</v>
      </c>
      <c r="BM580" t="s">
        <v>11231</v>
      </c>
      <c r="BN580">
        <v>25112842</v>
      </c>
      <c r="BO580" t="s">
        <v>74</v>
      </c>
      <c r="BP580" t="s">
        <v>74</v>
      </c>
      <c r="BQ580" t="s">
        <v>74</v>
      </c>
      <c r="BR580" t="s">
        <v>93</v>
      </c>
      <c r="BS580" t="s">
        <v>11232</v>
      </c>
      <c r="BT580" t="str">
        <f>HYPERLINK("https%3A%2F%2Fwww.webofscience.com%2Fwos%2Fwoscc%2Ffull-record%2FWOS:000344349200005","View Full Record in Web of Science")</f>
        <v>View Full Record in Web of Science</v>
      </c>
    </row>
    <row r="581" spans="1:72" x14ac:dyDescent="0.15">
      <c r="A581" t="s">
        <v>72</v>
      </c>
      <c r="B581" t="s">
        <v>11233</v>
      </c>
      <c r="C581" t="s">
        <v>74</v>
      </c>
      <c r="D581" t="s">
        <v>74</v>
      </c>
      <c r="E581" t="s">
        <v>74</v>
      </c>
      <c r="F581" t="s">
        <v>11234</v>
      </c>
      <c r="G581" t="s">
        <v>74</v>
      </c>
      <c r="H581" t="s">
        <v>74</v>
      </c>
      <c r="I581" t="s">
        <v>11235</v>
      </c>
      <c r="J581" t="s">
        <v>11217</v>
      </c>
      <c r="K581" t="s">
        <v>74</v>
      </c>
      <c r="L581" t="s">
        <v>74</v>
      </c>
      <c r="M581" t="s">
        <v>78</v>
      </c>
      <c r="N581" t="s">
        <v>99</v>
      </c>
      <c r="O581" t="s">
        <v>74</v>
      </c>
      <c r="P581" t="s">
        <v>74</v>
      </c>
      <c r="Q581" t="s">
        <v>74</v>
      </c>
      <c r="R581" t="s">
        <v>74</v>
      </c>
      <c r="S581" t="s">
        <v>74</v>
      </c>
      <c r="T581" t="s">
        <v>11236</v>
      </c>
      <c r="U581" t="s">
        <v>11237</v>
      </c>
      <c r="V581" t="s">
        <v>11238</v>
      </c>
      <c r="W581" t="s">
        <v>11239</v>
      </c>
      <c r="X581" t="s">
        <v>11240</v>
      </c>
      <c r="Y581" t="s">
        <v>11241</v>
      </c>
      <c r="Z581" t="s">
        <v>11242</v>
      </c>
      <c r="AA581" t="s">
        <v>11243</v>
      </c>
      <c r="AB581" t="s">
        <v>11244</v>
      </c>
      <c r="AC581" t="s">
        <v>11245</v>
      </c>
      <c r="AD581" t="s">
        <v>11246</v>
      </c>
      <c r="AE581" t="s">
        <v>11247</v>
      </c>
      <c r="AF581" t="s">
        <v>74</v>
      </c>
      <c r="AG581">
        <v>75</v>
      </c>
      <c r="AH581">
        <v>36</v>
      </c>
      <c r="AI581">
        <v>39</v>
      </c>
      <c r="AJ581">
        <v>2</v>
      </c>
      <c r="AK581">
        <v>73</v>
      </c>
      <c r="AL581" t="s">
        <v>2666</v>
      </c>
      <c r="AM581" t="s">
        <v>6414</v>
      </c>
      <c r="AN581" t="s">
        <v>6415</v>
      </c>
      <c r="AO581" t="s">
        <v>11226</v>
      </c>
      <c r="AP581" t="s">
        <v>11227</v>
      </c>
      <c r="AQ581" t="s">
        <v>74</v>
      </c>
      <c r="AR581" t="s">
        <v>11228</v>
      </c>
      <c r="AS581" t="s">
        <v>11229</v>
      </c>
      <c r="AT581" t="s">
        <v>9658</v>
      </c>
      <c r="AU581">
        <v>2014</v>
      </c>
      <c r="AV581">
        <v>186</v>
      </c>
      <c r="AW581">
        <v>12</v>
      </c>
      <c r="AX581" t="s">
        <v>74</v>
      </c>
      <c r="AY581" t="s">
        <v>74</v>
      </c>
      <c r="AZ581" t="s">
        <v>74</v>
      </c>
      <c r="BA581" t="s">
        <v>74</v>
      </c>
      <c r="BB581">
        <v>9089</v>
      </c>
      <c r="BC581">
        <v>9100</v>
      </c>
      <c r="BD581" t="s">
        <v>74</v>
      </c>
      <c r="BE581" t="s">
        <v>11248</v>
      </c>
      <c r="BF581" t="str">
        <f>HYPERLINK("http://dx.doi.org/10.1007/s10661-014-4068-z","http://dx.doi.org/10.1007/s10661-014-4068-z")</f>
        <v>http://dx.doi.org/10.1007/s10661-014-4068-z</v>
      </c>
      <c r="BG581" t="s">
        <v>74</v>
      </c>
      <c r="BH581" t="s">
        <v>74</v>
      </c>
      <c r="BI581">
        <v>12</v>
      </c>
      <c r="BJ581" t="s">
        <v>1611</v>
      </c>
      <c r="BK581" t="s">
        <v>91</v>
      </c>
      <c r="BL581" t="s">
        <v>395</v>
      </c>
      <c r="BM581" t="s">
        <v>11231</v>
      </c>
      <c r="BN581">
        <v>25261983</v>
      </c>
      <c r="BO581" t="s">
        <v>74</v>
      </c>
      <c r="BP581" t="s">
        <v>74</v>
      </c>
      <c r="BQ581" t="s">
        <v>74</v>
      </c>
      <c r="BR581" t="s">
        <v>93</v>
      </c>
      <c r="BS581" t="s">
        <v>11249</v>
      </c>
      <c r="BT581" t="str">
        <f>HYPERLINK("https%3A%2F%2Fwww.webofscience.com%2Fwos%2Fwoscc%2Ffull-record%2FWOS:000344349200076","View Full Record in Web of Science")</f>
        <v>View Full Record in Web of Science</v>
      </c>
    </row>
    <row r="582" spans="1:72" x14ac:dyDescent="0.15">
      <c r="A582" t="s">
        <v>72</v>
      </c>
      <c r="B582" t="s">
        <v>11250</v>
      </c>
      <c r="C582" t="s">
        <v>74</v>
      </c>
      <c r="D582" t="s">
        <v>74</v>
      </c>
      <c r="E582" t="s">
        <v>74</v>
      </c>
      <c r="F582" t="s">
        <v>11251</v>
      </c>
      <c r="G582" t="s">
        <v>74</v>
      </c>
      <c r="H582" t="s">
        <v>74</v>
      </c>
      <c r="I582" t="s">
        <v>11252</v>
      </c>
      <c r="J582" t="s">
        <v>11253</v>
      </c>
      <c r="K582" t="s">
        <v>74</v>
      </c>
      <c r="L582" t="s">
        <v>74</v>
      </c>
      <c r="M582" t="s">
        <v>78</v>
      </c>
      <c r="N582" t="s">
        <v>99</v>
      </c>
      <c r="O582" t="s">
        <v>74</v>
      </c>
      <c r="P582" t="s">
        <v>74</v>
      </c>
      <c r="Q582" t="s">
        <v>74</v>
      </c>
      <c r="R582" t="s">
        <v>74</v>
      </c>
      <c r="S582" t="s">
        <v>74</v>
      </c>
      <c r="T582" t="s">
        <v>11254</v>
      </c>
      <c r="U582" t="s">
        <v>11255</v>
      </c>
      <c r="V582" t="s">
        <v>11256</v>
      </c>
      <c r="W582" t="s">
        <v>11257</v>
      </c>
      <c r="X582" t="s">
        <v>11258</v>
      </c>
      <c r="Y582" t="s">
        <v>11259</v>
      </c>
      <c r="Z582" t="s">
        <v>11260</v>
      </c>
      <c r="AA582" t="s">
        <v>11261</v>
      </c>
      <c r="AB582" t="s">
        <v>74</v>
      </c>
      <c r="AC582" t="s">
        <v>11262</v>
      </c>
      <c r="AD582" t="s">
        <v>11263</v>
      </c>
      <c r="AE582" t="s">
        <v>11264</v>
      </c>
      <c r="AF582" t="s">
        <v>74</v>
      </c>
      <c r="AG582">
        <v>40</v>
      </c>
      <c r="AH582">
        <v>4</v>
      </c>
      <c r="AI582">
        <v>7</v>
      </c>
      <c r="AJ582">
        <v>1</v>
      </c>
      <c r="AK582">
        <v>30</v>
      </c>
      <c r="AL582" t="s">
        <v>2666</v>
      </c>
      <c r="AM582" t="s">
        <v>6414</v>
      </c>
      <c r="AN582" t="s">
        <v>6415</v>
      </c>
      <c r="AO582" t="s">
        <v>11265</v>
      </c>
      <c r="AP582" t="s">
        <v>11266</v>
      </c>
      <c r="AQ582" t="s">
        <v>74</v>
      </c>
      <c r="AR582" t="s">
        <v>11267</v>
      </c>
      <c r="AS582" t="s">
        <v>11268</v>
      </c>
      <c r="AT582" t="s">
        <v>9658</v>
      </c>
      <c r="AU582">
        <v>2014</v>
      </c>
      <c r="AV582">
        <v>20</v>
      </c>
      <c r="AW582">
        <v>4</v>
      </c>
      <c r="AX582" t="s">
        <v>74</v>
      </c>
      <c r="AY582" t="s">
        <v>74</v>
      </c>
      <c r="AZ582" t="s">
        <v>74</v>
      </c>
      <c r="BA582" t="s">
        <v>74</v>
      </c>
      <c r="BB582">
        <v>531</v>
      </c>
      <c r="BC582">
        <v>543</v>
      </c>
      <c r="BD582" t="s">
        <v>74</v>
      </c>
      <c r="BE582" t="s">
        <v>11269</v>
      </c>
      <c r="BF582" t="str">
        <f>HYPERLINK("http://dx.doi.org/10.1007/s10989-014-9415-y","http://dx.doi.org/10.1007/s10989-014-9415-y")</f>
        <v>http://dx.doi.org/10.1007/s10989-014-9415-y</v>
      </c>
      <c r="BG582" t="s">
        <v>74</v>
      </c>
      <c r="BH582" t="s">
        <v>74</v>
      </c>
      <c r="BI582">
        <v>13</v>
      </c>
      <c r="BJ582" t="s">
        <v>6507</v>
      </c>
      <c r="BK582" t="s">
        <v>91</v>
      </c>
      <c r="BL582" t="s">
        <v>6507</v>
      </c>
      <c r="BM582" t="s">
        <v>11270</v>
      </c>
      <c r="BN582" t="s">
        <v>74</v>
      </c>
      <c r="BO582" t="s">
        <v>74</v>
      </c>
      <c r="BP582" t="s">
        <v>74</v>
      </c>
      <c r="BQ582" t="s">
        <v>74</v>
      </c>
      <c r="BR582" t="s">
        <v>93</v>
      </c>
      <c r="BS582" t="s">
        <v>11271</v>
      </c>
      <c r="BT582" t="str">
        <f>HYPERLINK("https%3A%2F%2Fwww.webofscience.com%2Fwos%2Fwoscc%2Ffull-record%2FWOS:000344349900016","View Full Record in Web of Science")</f>
        <v>View Full Record in Web of Science</v>
      </c>
    </row>
    <row r="583" spans="1:72" x14ac:dyDescent="0.15">
      <c r="A583" t="s">
        <v>72</v>
      </c>
      <c r="B583" t="s">
        <v>11272</v>
      </c>
      <c r="C583" t="s">
        <v>74</v>
      </c>
      <c r="D583" t="s">
        <v>74</v>
      </c>
      <c r="E583" t="s">
        <v>74</v>
      </c>
      <c r="F583" t="s">
        <v>11273</v>
      </c>
      <c r="G583" t="s">
        <v>74</v>
      </c>
      <c r="H583" t="s">
        <v>74</v>
      </c>
      <c r="I583" t="s">
        <v>11274</v>
      </c>
      <c r="J583" t="s">
        <v>11275</v>
      </c>
      <c r="K583" t="s">
        <v>74</v>
      </c>
      <c r="L583" t="s">
        <v>74</v>
      </c>
      <c r="M583" t="s">
        <v>78</v>
      </c>
      <c r="N583" t="s">
        <v>99</v>
      </c>
      <c r="O583" t="s">
        <v>74</v>
      </c>
      <c r="P583" t="s">
        <v>74</v>
      </c>
      <c r="Q583" t="s">
        <v>74</v>
      </c>
      <c r="R583" t="s">
        <v>74</v>
      </c>
      <c r="S583" t="s">
        <v>74</v>
      </c>
      <c r="T583" t="s">
        <v>11276</v>
      </c>
      <c r="U583" t="s">
        <v>11277</v>
      </c>
      <c r="V583" t="s">
        <v>11278</v>
      </c>
      <c r="W583" t="s">
        <v>11279</v>
      </c>
      <c r="X583" t="s">
        <v>11280</v>
      </c>
      <c r="Y583" t="s">
        <v>11281</v>
      </c>
      <c r="Z583" t="s">
        <v>11282</v>
      </c>
      <c r="AA583" t="s">
        <v>74</v>
      </c>
      <c r="AB583" t="s">
        <v>74</v>
      </c>
      <c r="AC583" t="s">
        <v>11283</v>
      </c>
      <c r="AD583" t="s">
        <v>11283</v>
      </c>
      <c r="AE583" t="s">
        <v>11284</v>
      </c>
      <c r="AF583" t="s">
        <v>74</v>
      </c>
      <c r="AG583">
        <v>18</v>
      </c>
      <c r="AH583">
        <v>3</v>
      </c>
      <c r="AI583">
        <v>3</v>
      </c>
      <c r="AJ583">
        <v>1</v>
      </c>
      <c r="AK583">
        <v>31</v>
      </c>
      <c r="AL583" t="s">
        <v>11285</v>
      </c>
      <c r="AM583" t="s">
        <v>11286</v>
      </c>
      <c r="AN583" t="s">
        <v>11287</v>
      </c>
      <c r="AO583" t="s">
        <v>11288</v>
      </c>
      <c r="AP583" t="s">
        <v>11289</v>
      </c>
      <c r="AQ583" t="s">
        <v>74</v>
      </c>
      <c r="AR583" t="s">
        <v>11290</v>
      </c>
      <c r="AS583" t="s">
        <v>11291</v>
      </c>
      <c r="AT583" t="s">
        <v>9658</v>
      </c>
      <c r="AU583">
        <v>2014</v>
      </c>
      <c r="AV583">
        <v>25</v>
      </c>
      <c r="AW583">
        <v>4</v>
      </c>
      <c r="AX583" t="s">
        <v>74</v>
      </c>
      <c r="AY583" t="s">
        <v>74</v>
      </c>
      <c r="AZ583" t="s">
        <v>74</v>
      </c>
      <c r="BA583" t="s">
        <v>74</v>
      </c>
      <c r="BB583">
        <v>897</v>
      </c>
      <c r="BC583">
        <v>901</v>
      </c>
      <c r="BD583" t="s">
        <v>74</v>
      </c>
      <c r="BE583" t="s">
        <v>11292</v>
      </c>
      <c r="BF583" t="str">
        <f>HYPERLINK("http://dx.doi.org/10.1007/s11676-014-0536-0","http://dx.doi.org/10.1007/s11676-014-0536-0")</f>
        <v>http://dx.doi.org/10.1007/s11676-014-0536-0</v>
      </c>
      <c r="BG583" t="s">
        <v>74</v>
      </c>
      <c r="BH583" t="s">
        <v>74</v>
      </c>
      <c r="BI583">
        <v>5</v>
      </c>
      <c r="BJ583" t="s">
        <v>11293</v>
      </c>
      <c r="BK583" t="s">
        <v>91</v>
      </c>
      <c r="BL583" t="s">
        <v>11293</v>
      </c>
      <c r="BM583" t="s">
        <v>11294</v>
      </c>
      <c r="BN583" t="s">
        <v>74</v>
      </c>
      <c r="BO583" t="s">
        <v>74</v>
      </c>
      <c r="BP583" t="s">
        <v>74</v>
      </c>
      <c r="BQ583" t="s">
        <v>74</v>
      </c>
      <c r="BR583" t="s">
        <v>93</v>
      </c>
      <c r="BS583" t="s">
        <v>11295</v>
      </c>
      <c r="BT583" t="str">
        <f>HYPERLINK("https%3A%2F%2Fwww.webofscience.com%2Fwos%2Fwoscc%2Ffull-record%2FWOS:000344447900020","View Full Record in Web of Science")</f>
        <v>View Full Record in Web of Science</v>
      </c>
    </row>
    <row r="584" spans="1:72" x14ac:dyDescent="0.15">
      <c r="A584" t="s">
        <v>72</v>
      </c>
      <c r="B584" t="s">
        <v>11296</v>
      </c>
      <c r="C584" t="s">
        <v>74</v>
      </c>
      <c r="D584" t="s">
        <v>74</v>
      </c>
      <c r="E584" t="s">
        <v>74</v>
      </c>
      <c r="F584" t="s">
        <v>11297</v>
      </c>
      <c r="G584" t="s">
        <v>74</v>
      </c>
      <c r="H584" t="s">
        <v>74</v>
      </c>
      <c r="I584" t="s">
        <v>11298</v>
      </c>
      <c r="J584" t="s">
        <v>11299</v>
      </c>
      <c r="K584" t="s">
        <v>74</v>
      </c>
      <c r="L584" t="s">
        <v>74</v>
      </c>
      <c r="M584" t="s">
        <v>78</v>
      </c>
      <c r="N584" t="s">
        <v>99</v>
      </c>
      <c r="O584" t="s">
        <v>74</v>
      </c>
      <c r="P584" t="s">
        <v>74</v>
      </c>
      <c r="Q584" t="s">
        <v>74</v>
      </c>
      <c r="R584" t="s">
        <v>74</v>
      </c>
      <c r="S584" t="s">
        <v>74</v>
      </c>
      <c r="T584" t="s">
        <v>11300</v>
      </c>
      <c r="U584" t="s">
        <v>11301</v>
      </c>
      <c r="V584" t="s">
        <v>11302</v>
      </c>
      <c r="W584" t="s">
        <v>11303</v>
      </c>
      <c r="X584" t="s">
        <v>11304</v>
      </c>
      <c r="Y584" t="s">
        <v>11305</v>
      </c>
      <c r="Z584" t="s">
        <v>11306</v>
      </c>
      <c r="AA584" t="s">
        <v>11307</v>
      </c>
      <c r="AB584" t="s">
        <v>11308</v>
      </c>
      <c r="AC584" t="s">
        <v>11309</v>
      </c>
      <c r="AD584" t="s">
        <v>11310</v>
      </c>
      <c r="AE584" t="s">
        <v>11311</v>
      </c>
      <c r="AF584" t="s">
        <v>74</v>
      </c>
      <c r="AG584">
        <v>105</v>
      </c>
      <c r="AH584">
        <v>83</v>
      </c>
      <c r="AI584">
        <v>87</v>
      </c>
      <c r="AJ584">
        <v>4</v>
      </c>
      <c r="AK584">
        <v>80</v>
      </c>
      <c r="AL584" t="s">
        <v>2006</v>
      </c>
      <c r="AM584" t="s">
        <v>2007</v>
      </c>
      <c r="AN584" t="s">
        <v>2008</v>
      </c>
      <c r="AO584" t="s">
        <v>11312</v>
      </c>
      <c r="AP584" t="s">
        <v>11313</v>
      </c>
      <c r="AQ584" t="s">
        <v>74</v>
      </c>
      <c r="AR584" t="s">
        <v>11314</v>
      </c>
      <c r="AS584" t="s">
        <v>11315</v>
      </c>
      <c r="AT584" t="s">
        <v>9658</v>
      </c>
      <c r="AU584">
        <v>2014</v>
      </c>
      <c r="AV584">
        <v>101</v>
      </c>
      <c r="AW584">
        <v>12</v>
      </c>
      <c r="AX584" t="s">
        <v>74</v>
      </c>
      <c r="AY584" t="s">
        <v>74</v>
      </c>
      <c r="AZ584" t="s">
        <v>74</v>
      </c>
      <c r="BA584" t="s">
        <v>74</v>
      </c>
      <c r="BB584">
        <v>2121</v>
      </c>
      <c r="BC584">
        <v>2135</v>
      </c>
      <c r="BD584" t="s">
        <v>74</v>
      </c>
      <c r="BE584" t="s">
        <v>11316</v>
      </c>
      <c r="BF584" t="str">
        <f>HYPERLINK("http://dx.doi.org/10.3732/ajb.1400340","http://dx.doi.org/10.3732/ajb.1400340")</f>
        <v>http://dx.doi.org/10.3732/ajb.1400340</v>
      </c>
      <c r="BG584" t="s">
        <v>74</v>
      </c>
      <c r="BH584" t="s">
        <v>74</v>
      </c>
      <c r="BI584">
        <v>15</v>
      </c>
      <c r="BJ584" t="s">
        <v>1015</v>
      </c>
      <c r="BK584" t="s">
        <v>91</v>
      </c>
      <c r="BL584" t="s">
        <v>1015</v>
      </c>
      <c r="BM584" t="s">
        <v>11317</v>
      </c>
      <c r="BN584">
        <v>25480709</v>
      </c>
      <c r="BO584" t="s">
        <v>3478</v>
      </c>
      <c r="BP584" t="s">
        <v>74</v>
      </c>
      <c r="BQ584" t="s">
        <v>74</v>
      </c>
      <c r="BR584" t="s">
        <v>93</v>
      </c>
      <c r="BS584" t="s">
        <v>11318</v>
      </c>
      <c r="BT584" t="str">
        <f>HYPERLINK("https%3A%2F%2Fwww.webofscience.com%2Fwos%2Fwoscc%2Ffull-record%2FWOS:000346072000012","View Full Record in Web of Science")</f>
        <v>View Full Record in Web of Science</v>
      </c>
    </row>
    <row r="585" spans="1:72" x14ac:dyDescent="0.15">
      <c r="A585" t="s">
        <v>72</v>
      </c>
      <c r="B585" t="s">
        <v>11319</v>
      </c>
      <c r="C585" t="s">
        <v>74</v>
      </c>
      <c r="D585" t="s">
        <v>74</v>
      </c>
      <c r="E585" t="s">
        <v>74</v>
      </c>
      <c r="F585" t="s">
        <v>11320</v>
      </c>
      <c r="G585" t="s">
        <v>74</v>
      </c>
      <c r="H585" t="s">
        <v>74</v>
      </c>
      <c r="I585" t="s">
        <v>11321</v>
      </c>
      <c r="J585" t="s">
        <v>11322</v>
      </c>
      <c r="K585" t="s">
        <v>74</v>
      </c>
      <c r="L585" t="s">
        <v>74</v>
      </c>
      <c r="M585" t="s">
        <v>78</v>
      </c>
      <c r="N585" t="s">
        <v>99</v>
      </c>
      <c r="O585" t="s">
        <v>74</v>
      </c>
      <c r="P585" t="s">
        <v>74</v>
      </c>
      <c r="Q585" t="s">
        <v>74</v>
      </c>
      <c r="R585" t="s">
        <v>74</v>
      </c>
      <c r="S585" t="s">
        <v>74</v>
      </c>
      <c r="T585" t="s">
        <v>11323</v>
      </c>
      <c r="U585" t="s">
        <v>11324</v>
      </c>
      <c r="V585" t="s">
        <v>11325</v>
      </c>
      <c r="W585" t="s">
        <v>11326</v>
      </c>
      <c r="X585" t="s">
        <v>11327</v>
      </c>
      <c r="Y585" t="s">
        <v>11328</v>
      </c>
      <c r="Z585" t="s">
        <v>11329</v>
      </c>
      <c r="AA585" t="s">
        <v>11330</v>
      </c>
      <c r="AB585" t="s">
        <v>11331</v>
      </c>
      <c r="AC585" t="s">
        <v>11332</v>
      </c>
      <c r="AD585" t="s">
        <v>11333</v>
      </c>
      <c r="AE585" t="s">
        <v>11334</v>
      </c>
      <c r="AF585" t="s">
        <v>74</v>
      </c>
      <c r="AG585">
        <v>106</v>
      </c>
      <c r="AH585">
        <v>33</v>
      </c>
      <c r="AI585">
        <v>33</v>
      </c>
      <c r="AJ585">
        <v>1</v>
      </c>
      <c r="AK585">
        <v>17</v>
      </c>
      <c r="AL585" t="s">
        <v>11335</v>
      </c>
      <c r="AM585" t="s">
        <v>11336</v>
      </c>
      <c r="AN585" t="s">
        <v>11337</v>
      </c>
      <c r="AO585" t="s">
        <v>11338</v>
      </c>
      <c r="AP585" t="s">
        <v>11339</v>
      </c>
      <c r="AQ585" t="s">
        <v>74</v>
      </c>
      <c r="AR585" t="s">
        <v>11340</v>
      </c>
      <c r="AS585" t="s">
        <v>11341</v>
      </c>
      <c r="AT585" t="s">
        <v>9658</v>
      </c>
      <c r="AU585">
        <v>2014</v>
      </c>
      <c r="AV585">
        <v>86</v>
      </c>
      <c r="AW585">
        <v>4</v>
      </c>
      <c r="AX585" t="s">
        <v>74</v>
      </c>
      <c r="AY585" t="s">
        <v>74</v>
      </c>
      <c r="AZ585" t="s">
        <v>74</v>
      </c>
      <c r="BA585" t="s">
        <v>74</v>
      </c>
      <c r="BB585">
        <v>1573</v>
      </c>
      <c r="BC585">
        <v>1595</v>
      </c>
      <c r="BD585" t="s">
        <v>74</v>
      </c>
      <c r="BE585" t="s">
        <v>11342</v>
      </c>
      <c r="BF585" t="str">
        <f>HYPERLINK("http://dx.doi.org/10.1590/0001-3765201420130274","http://dx.doi.org/10.1590/0001-3765201420130274")</f>
        <v>http://dx.doi.org/10.1590/0001-3765201420130274</v>
      </c>
      <c r="BG585" t="s">
        <v>74</v>
      </c>
      <c r="BH585" t="s">
        <v>74</v>
      </c>
      <c r="BI585">
        <v>23</v>
      </c>
      <c r="BJ585" t="s">
        <v>201</v>
      </c>
      <c r="BK585" t="s">
        <v>91</v>
      </c>
      <c r="BL585" t="s">
        <v>203</v>
      </c>
      <c r="BM585" t="s">
        <v>11343</v>
      </c>
      <c r="BN585">
        <v>25590701</v>
      </c>
      <c r="BO585" t="s">
        <v>720</v>
      </c>
      <c r="BP585" t="s">
        <v>74</v>
      </c>
      <c r="BQ585" t="s">
        <v>74</v>
      </c>
      <c r="BR585" t="s">
        <v>93</v>
      </c>
      <c r="BS585" t="s">
        <v>11344</v>
      </c>
      <c r="BT585" t="str">
        <f>HYPERLINK("https%3A%2F%2Fwww.webofscience.com%2Fwos%2Fwoscc%2Ffull-record%2FWOS:000347526200004","View Full Record in Web of Science")</f>
        <v>View Full Record in Web of Science</v>
      </c>
    </row>
    <row r="586" spans="1:72" x14ac:dyDescent="0.15">
      <c r="A586" t="s">
        <v>72</v>
      </c>
      <c r="B586" t="s">
        <v>11345</v>
      </c>
      <c r="C586" t="s">
        <v>74</v>
      </c>
      <c r="D586" t="s">
        <v>74</v>
      </c>
      <c r="E586" t="s">
        <v>74</v>
      </c>
      <c r="F586" t="s">
        <v>11346</v>
      </c>
      <c r="G586" t="s">
        <v>74</v>
      </c>
      <c r="H586" t="s">
        <v>74</v>
      </c>
      <c r="I586" t="s">
        <v>11347</v>
      </c>
      <c r="J586" t="s">
        <v>10938</v>
      </c>
      <c r="K586" t="s">
        <v>74</v>
      </c>
      <c r="L586" t="s">
        <v>74</v>
      </c>
      <c r="M586" t="s">
        <v>78</v>
      </c>
      <c r="N586" t="s">
        <v>5947</v>
      </c>
      <c r="O586" t="s">
        <v>74</v>
      </c>
      <c r="P586" t="s">
        <v>74</v>
      </c>
      <c r="Q586" t="s">
        <v>74</v>
      </c>
      <c r="R586" t="s">
        <v>74</v>
      </c>
      <c r="S586" t="s">
        <v>74</v>
      </c>
      <c r="T586" t="s">
        <v>74</v>
      </c>
      <c r="U586" t="s">
        <v>74</v>
      </c>
      <c r="V586" t="s">
        <v>74</v>
      </c>
      <c r="W586" t="s">
        <v>74</v>
      </c>
      <c r="X586" t="s">
        <v>74</v>
      </c>
      <c r="Y586" t="s">
        <v>74</v>
      </c>
      <c r="Z586" t="s">
        <v>74</v>
      </c>
      <c r="AA586" t="s">
        <v>11348</v>
      </c>
      <c r="AB586" t="s">
        <v>11349</v>
      </c>
      <c r="AC586" t="s">
        <v>74</v>
      </c>
      <c r="AD586" t="s">
        <v>74</v>
      </c>
      <c r="AE586" t="s">
        <v>74</v>
      </c>
      <c r="AF586" t="s">
        <v>74</v>
      </c>
      <c r="AG586">
        <v>0</v>
      </c>
      <c r="AH586">
        <v>0</v>
      </c>
      <c r="AI586">
        <v>0</v>
      </c>
      <c r="AJ586">
        <v>0</v>
      </c>
      <c r="AK586">
        <v>5</v>
      </c>
      <c r="AL586" t="s">
        <v>365</v>
      </c>
      <c r="AM586" t="s">
        <v>342</v>
      </c>
      <c r="AN586" t="s">
        <v>2314</v>
      </c>
      <c r="AO586" t="s">
        <v>10944</v>
      </c>
      <c r="AP586" t="s">
        <v>10945</v>
      </c>
      <c r="AQ586" t="s">
        <v>74</v>
      </c>
      <c r="AR586" t="s">
        <v>10946</v>
      </c>
      <c r="AS586" t="s">
        <v>10947</v>
      </c>
      <c r="AT586" t="s">
        <v>9658</v>
      </c>
      <c r="AU586">
        <v>2014</v>
      </c>
      <c r="AV586">
        <v>26</v>
      </c>
      <c r="AW586">
        <v>6</v>
      </c>
      <c r="AX586" t="s">
        <v>74</v>
      </c>
      <c r="AY586" t="s">
        <v>74</v>
      </c>
      <c r="AZ586" t="s">
        <v>1437</v>
      </c>
      <c r="BA586" t="s">
        <v>74</v>
      </c>
      <c r="BB586">
        <v>601</v>
      </c>
      <c r="BC586">
        <v>602</v>
      </c>
      <c r="BD586" t="s">
        <v>74</v>
      </c>
      <c r="BE586" t="s">
        <v>11350</v>
      </c>
      <c r="BF586" t="str">
        <f>HYPERLINK("http://dx.doi.org/10.1017/S095410201400073X","http://dx.doi.org/10.1017/S095410201400073X")</f>
        <v>http://dx.doi.org/10.1017/S095410201400073X</v>
      </c>
      <c r="BG586" t="s">
        <v>74</v>
      </c>
      <c r="BH586" t="s">
        <v>74</v>
      </c>
      <c r="BI586">
        <v>2</v>
      </c>
      <c r="BJ586" t="s">
        <v>10949</v>
      </c>
      <c r="BK586" t="s">
        <v>91</v>
      </c>
      <c r="BL586" t="s">
        <v>10950</v>
      </c>
      <c r="BM586" t="s">
        <v>10951</v>
      </c>
      <c r="BN586" t="s">
        <v>74</v>
      </c>
      <c r="BO586" t="s">
        <v>375</v>
      </c>
      <c r="BP586" t="s">
        <v>74</v>
      </c>
      <c r="BQ586" t="s">
        <v>74</v>
      </c>
      <c r="BR586" t="s">
        <v>93</v>
      </c>
      <c r="BS586" t="s">
        <v>11351</v>
      </c>
      <c r="BT586" t="str">
        <f>HYPERLINK("https%3A%2F%2Fwww.webofscience.com%2Fwos%2Fwoscc%2Ffull-record%2FWOS:000344736100001","View Full Record in Web of Science")</f>
        <v>View Full Record in Web of Science</v>
      </c>
    </row>
    <row r="587" spans="1:72" x14ac:dyDescent="0.15">
      <c r="A587" t="s">
        <v>72</v>
      </c>
      <c r="B587" t="s">
        <v>11352</v>
      </c>
      <c r="C587" t="s">
        <v>74</v>
      </c>
      <c r="D587" t="s">
        <v>74</v>
      </c>
      <c r="E587" t="s">
        <v>74</v>
      </c>
      <c r="F587" t="s">
        <v>11353</v>
      </c>
      <c r="G587" t="s">
        <v>74</v>
      </c>
      <c r="H587" t="s">
        <v>74</v>
      </c>
      <c r="I587" t="s">
        <v>11354</v>
      </c>
      <c r="J587" t="s">
        <v>10938</v>
      </c>
      <c r="K587" t="s">
        <v>74</v>
      </c>
      <c r="L587" t="s">
        <v>74</v>
      </c>
      <c r="M587" t="s">
        <v>78</v>
      </c>
      <c r="N587" t="s">
        <v>99</v>
      </c>
      <c r="O587" t="s">
        <v>74</v>
      </c>
      <c r="P587" t="s">
        <v>74</v>
      </c>
      <c r="Q587" t="s">
        <v>74</v>
      </c>
      <c r="R587" t="s">
        <v>74</v>
      </c>
      <c r="S587" t="s">
        <v>74</v>
      </c>
      <c r="T587" t="s">
        <v>11355</v>
      </c>
      <c r="U587" t="s">
        <v>74</v>
      </c>
      <c r="V587" t="s">
        <v>11356</v>
      </c>
      <c r="W587" t="s">
        <v>11357</v>
      </c>
      <c r="X587" t="s">
        <v>11358</v>
      </c>
      <c r="Y587" t="s">
        <v>11359</v>
      </c>
      <c r="Z587" t="s">
        <v>11360</v>
      </c>
      <c r="AA587" t="s">
        <v>74</v>
      </c>
      <c r="AB587" t="s">
        <v>74</v>
      </c>
      <c r="AC587" t="s">
        <v>11361</v>
      </c>
      <c r="AD587" t="s">
        <v>11362</v>
      </c>
      <c r="AE587" t="s">
        <v>11363</v>
      </c>
      <c r="AF587" t="s">
        <v>74</v>
      </c>
      <c r="AG587">
        <v>32</v>
      </c>
      <c r="AH587">
        <v>11</v>
      </c>
      <c r="AI587">
        <v>12</v>
      </c>
      <c r="AJ587">
        <v>0</v>
      </c>
      <c r="AK587">
        <v>7</v>
      </c>
      <c r="AL587" t="s">
        <v>365</v>
      </c>
      <c r="AM587" t="s">
        <v>342</v>
      </c>
      <c r="AN587" t="s">
        <v>2314</v>
      </c>
      <c r="AO587" t="s">
        <v>10944</v>
      </c>
      <c r="AP587" t="s">
        <v>10945</v>
      </c>
      <c r="AQ587" t="s">
        <v>74</v>
      </c>
      <c r="AR587" t="s">
        <v>10946</v>
      </c>
      <c r="AS587" t="s">
        <v>10947</v>
      </c>
      <c r="AT587" t="s">
        <v>9658</v>
      </c>
      <c r="AU587">
        <v>2014</v>
      </c>
      <c r="AV587">
        <v>26</v>
      </c>
      <c r="AW587">
        <v>6</v>
      </c>
      <c r="AX587" t="s">
        <v>74</v>
      </c>
      <c r="AY587" t="s">
        <v>74</v>
      </c>
      <c r="AZ587" t="s">
        <v>1437</v>
      </c>
      <c r="BA587" t="s">
        <v>74</v>
      </c>
      <c r="BB587">
        <v>604</v>
      </c>
      <c r="BC587">
        <v>613</v>
      </c>
      <c r="BD587" t="s">
        <v>74</v>
      </c>
      <c r="BE587" t="s">
        <v>11364</v>
      </c>
      <c r="BF587" t="str">
        <f>HYPERLINK("http://dx.doi.org/10.1017/S095410201400008X","http://dx.doi.org/10.1017/S095410201400008X")</f>
        <v>http://dx.doi.org/10.1017/S095410201400008X</v>
      </c>
      <c r="BG587" t="s">
        <v>74</v>
      </c>
      <c r="BH587" t="s">
        <v>74</v>
      </c>
      <c r="BI587">
        <v>10</v>
      </c>
      <c r="BJ587" t="s">
        <v>10949</v>
      </c>
      <c r="BK587" t="s">
        <v>91</v>
      </c>
      <c r="BL587" t="s">
        <v>10950</v>
      </c>
      <c r="BM587" t="s">
        <v>10951</v>
      </c>
      <c r="BN587" t="s">
        <v>74</v>
      </c>
      <c r="BO587" t="s">
        <v>2744</v>
      </c>
      <c r="BP587" t="s">
        <v>74</v>
      </c>
      <c r="BQ587" t="s">
        <v>74</v>
      </c>
      <c r="BR587" t="s">
        <v>93</v>
      </c>
      <c r="BS587" t="s">
        <v>11365</v>
      </c>
      <c r="BT587" t="str">
        <f>HYPERLINK("https%3A%2F%2Fwww.webofscience.com%2Fwos%2Fwoscc%2Ffull-record%2FWOS:000344736100003","View Full Record in Web of Science")</f>
        <v>View Full Record in Web of Science</v>
      </c>
    </row>
    <row r="588" spans="1:72" x14ac:dyDescent="0.15">
      <c r="A588" t="s">
        <v>72</v>
      </c>
      <c r="B588" t="s">
        <v>11366</v>
      </c>
      <c r="C588" t="s">
        <v>74</v>
      </c>
      <c r="D588" t="s">
        <v>74</v>
      </c>
      <c r="E588" t="s">
        <v>74</v>
      </c>
      <c r="F588" t="s">
        <v>11367</v>
      </c>
      <c r="G588" t="s">
        <v>74</v>
      </c>
      <c r="H588" t="s">
        <v>74</v>
      </c>
      <c r="I588" t="s">
        <v>11368</v>
      </c>
      <c r="J588" t="s">
        <v>10938</v>
      </c>
      <c r="K588" t="s">
        <v>74</v>
      </c>
      <c r="L588" t="s">
        <v>74</v>
      </c>
      <c r="M588" t="s">
        <v>78</v>
      </c>
      <c r="N588" t="s">
        <v>99</v>
      </c>
      <c r="O588" t="s">
        <v>74</v>
      </c>
      <c r="P588" t="s">
        <v>74</v>
      </c>
      <c r="Q588" t="s">
        <v>74</v>
      </c>
      <c r="R588" t="s">
        <v>74</v>
      </c>
      <c r="S588" t="s">
        <v>74</v>
      </c>
      <c r="T588" t="s">
        <v>11369</v>
      </c>
      <c r="U588" t="s">
        <v>11370</v>
      </c>
      <c r="V588" t="s">
        <v>11371</v>
      </c>
      <c r="W588" t="s">
        <v>11372</v>
      </c>
      <c r="X588" t="s">
        <v>11373</v>
      </c>
      <c r="Y588" t="s">
        <v>11374</v>
      </c>
      <c r="Z588" t="s">
        <v>11375</v>
      </c>
      <c r="AA588" t="s">
        <v>11376</v>
      </c>
      <c r="AB588" t="s">
        <v>11377</v>
      </c>
      <c r="AC588" t="s">
        <v>11378</v>
      </c>
      <c r="AD588" t="s">
        <v>11379</v>
      </c>
      <c r="AE588" t="s">
        <v>11380</v>
      </c>
      <c r="AF588" t="s">
        <v>74</v>
      </c>
      <c r="AG588">
        <v>37</v>
      </c>
      <c r="AH588">
        <v>68</v>
      </c>
      <c r="AI588">
        <v>74</v>
      </c>
      <c r="AJ588">
        <v>0</v>
      </c>
      <c r="AK588">
        <v>36</v>
      </c>
      <c r="AL588" t="s">
        <v>365</v>
      </c>
      <c r="AM588" t="s">
        <v>342</v>
      </c>
      <c r="AN588" t="s">
        <v>2314</v>
      </c>
      <c r="AO588" t="s">
        <v>10944</v>
      </c>
      <c r="AP588" t="s">
        <v>10945</v>
      </c>
      <c r="AQ588" t="s">
        <v>74</v>
      </c>
      <c r="AR588" t="s">
        <v>10946</v>
      </c>
      <c r="AS588" t="s">
        <v>10947</v>
      </c>
      <c r="AT588" t="s">
        <v>9658</v>
      </c>
      <c r="AU588">
        <v>2014</v>
      </c>
      <c r="AV588">
        <v>26</v>
      </c>
      <c r="AW588">
        <v>6</v>
      </c>
      <c r="AX588" t="s">
        <v>74</v>
      </c>
      <c r="AY588" t="s">
        <v>74</v>
      </c>
      <c r="AZ588" t="s">
        <v>1437</v>
      </c>
      <c r="BA588" t="s">
        <v>74</v>
      </c>
      <c r="BB588">
        <v>614</v>
      </c>
      <c r="BC588">
        <v>624</v>
      </c>
      <c r="BD588" t="s">
        <v>74</v>
      </c>
      <c r="BE588" t="s">
        <v>11381</v>
      </c>
      <c r="BF588" t="str">
        <f>HYPERLINK("http://dx.doi.org/10.1017/S0954102014000200","http://dx.doi.org/10.1017/S0954102014000200")</f>
        <v>http://dx.doi.org/10.1017/S0954102014000200</v>
      </c>
      <c r="BG588" t="s">
        <v>74</v>
      </c>
      <c r="BH588" t="s">
        <v>74</v>
      </c>
      <c r="BI588">
        <v>11</v>
      </c>
      <c r="BJ588" t="s">
        <v>10949</v>
      </c>
      <c r="BK588" t="s">
        <v>91</v>
      </c>
      <c r="BL588" t="s">
        <v>10950</v>
      </c>
      <c r="BM588" t="s">
        <v>10951</v>
      </c>
      <c r="BN588" t="s">
        <v>74</v>
      </c>
      <c r="BO588" t="s">
        <v>10998</v>
      </c>
      <c r="BP588" t="s">
        <v>74</v>
      </c>
      <c r="BQ588" t="s">
        <v>74</v>
      </c>
      <c r="BR588" t="s">
        <v>93</v>
      </c>
      <c r="BS588" t="s">
        <v>11382</v>
      </c>
      <c r="BT588" t="str">
        <f>HYPERLINK("https%3A%2F%2Fwww.webofscience.com%2Fwos%2Fwoscc%2Ffull-record%2FWOS:000344736100004","View Full Record in Web of Science")</f>
        <v>View Full Record in Web of Science</v>
      </c>
    </row>
    <row r="589" spans="1:72" x14ac:dyDescent="0.15">
      <c r="A589" t="s">
        <v>72</v>
      </c>
      <c r="B589" t="s">
        <v>11383</v>
      </c>
      <c r="C589" t="s">
        <v>74</v>
      </c>
      <c r="D589" t="s">
        <v>74</v>
      </c>
      <c r="E589" t="s">
        <v>74</v>
      </c>
      <c r="F589" t="s">
        <v>11384</v>
      </c>
      <c r="G589" t="s">
        <v>74</v>
      </c>
      <c r="H589" t="s">
        <v>74</v>
      </c>
      <c r="I589" t="s">
        <v>11385</v>
      </c>
      <c r="J589" t="s">
        <v>10938</v>
      </c>
      <c r="K589" t="s">
        <v>74</v>
      </c>
      <c r="L589" t="s">
        <v>74</v>
      </c>
      <c r="M589" t="s">
        <v>78</v>
      </c>
      <c r="N589" t="s">
        <v>99</v>
      </c>
      <c r="O589" t="s">
        <v>74</v>
      </c>
      <c r="P589" t="s">
        <v>74</v>
      </c>
      <c r="Q589" t="s">
        <v>74</v>
      </c>
      <c r="R589" t="s">
        <v>74</v>
      </c>
      <c r="S589" t="s">
        <v>74</v>
      </c>
      <c r="T589" t="s">
        <v>11386</v>
      </c>
      <c r="U589" t="s">
        <v>11387</v>
      </c>
      <c r="V589" t="s">
        <v>11388</v>
      </c>
      <c r="W589" t="s">
        <v>11389</v>
      </c>
      <c r="X589" t="s">
        <v>11390</v>
      </c>
      <c r="Y589" t="s">
        <v>11391</v>
      </c>
      <c r="Z589" t="s">
        <v>11392</v>
      </c>
      <c r="AA589" t="s">
        <v>11393</v>
      </c>
      <c r="AB589" t="s">
        <v>11394</v>
      </c>
      <c r="AC589" t="s">
        <v>11395</v>
      </c>
      <c r="AD589" t="s">
        <v>11396</v>
      </c>
      <c r="AE589" t="s">
        <v>11397</v>
      </c>
      <c r="AF589" t="s">
        <v>74</v>
      </c>
      <c r="AG589">
        <v>58</v>
      </c>
      <c r="AH589">
        <v>83</v>
      </c>
      <c r="AI589">
        <v>93</v>
      </c>
      <c r="AJ589">
        <v>3</v>
      </c>
      <c r="AK589">
        <v>42</v>
      </c>
      <c r="AL589" t="s">
        <v>365</v>
      </c>
      <c r="AM589" t="s">
        <v>342</v>
      </c>
      <c r="AN589" t="s">
        <v>2314</v>
      </c>
      <c r="AO589" t="s">
        <v>10944</v>
      </c>
      <c r="AP589" t="s">
        <v>10945</v>
      </c>
      <c r="AQ589" t="s">
        <v>74</v>
      </c>
      <c r="AR589" t="s">
        <v>10946</v>
      </c>
      <c r="AS589" t="s">
        <v>10947</v>
      </c>
      <c r="AT589" t="s">
        <v>9658</v>
      </c>
      <c r="AU589">
        <v>2014</v>
      </c>
      <c r="AV589">
        <v>26</v>
      </c>
      <c r="AW589">
        <v>6</v>
      </c>
      <c r="AX589" t="s">
        <v>74</v>
      </c>
      <c r="AY589" t="s">
        <v>74</v>
      </c>
      <c r="AZ589" t="s">
        <v>1437</v>
      </c>
      <c r="BA589" t="s">
        <v>74</v>
      </c>
      <c r="BB589">
        <v>625</v>
      </c>
      <c r="BC589">
        <v>635</v>
      </c>
      <c r="BD589" t="s">
        <v>74</v>
      </c>
      <c r="BE589" t="s">
        <v>11398</v>
      </c>
      <c r="BF589" t="str">
        <f>HYPERLINK("http://dx.doi.org/10.1017/S0954102014000339","http://dx.doi.org/10.1017/S0954102014000339")</f>
        <v>http://dx.doi.org/10.1017/S0954102014000339</v>
      </c>
      <c r="BG589" t="s">
        <v>74</v>
      </c>
      <c r="BH589" t="s">
        <v>74</v>
      </c>
      <c r="BI589">
        <v>11</v>
      </c>
      <c r="BJ589" t="s">
        <v>10949</v>
      </c>
      <c r="BK589" t="s">
        <v>91</v>
      </c>
      <c r="BL589" t="s">
        <v>10950</v>
      </c>
      <c r="BM589" t="s">
        <v>10951</v>
      </c>
      <c r="BN589" t="s">
        <v>74</v>
      </c>
      <c r="BO589" t="s">
        <v>10998</v>
      </c>
      <c r="BP589" t="s">
        <v>74</v>
      </c>
      <c r="BQ589" t="s">
        <v>74</v>
      </c>
      <c r="BR589" t="s">
        <v>93</v>
      </c>
      <c r="BS589" t="s">
        <v>11399</v>
      </c>
      <c r="BT589" t="str">
        <f>HYPERLINK("https%3A%2F%2Fwww.webofscience.com%2Fwos%2Fwoscc%2Ffull-record%2FWOS:000344736100005","View Full Record in Web of Science")</f>
        <v>View Full Record in Web of Science</v>
      </c>
    </row>
    <row r="590" spans="1:72" x14ac:dyDescent="0.15">
      <c r="A590" t="s">
        <v>72</v>
      </c>
      <c r="B590" t="s">
        <v>11400</v>
      </c>
      <c r="C590" t="s">
        <v>74</v>
      </c>
      <c r="D590" t="s">
        <v>74</v>
      </c>
      <c r="E590" t="s">
        <v>74</v>
      </c>
      <c r="F590" t="s">
        <v>11401</v>
      </c>
      <c r="G590" t="s">
        <v>74</v>
      </c>
      <c r="H590" t="s">
        <v>74</v>
      </c>
      <c r="I590" t="s">
        <v>11402</v>
      </c>
      <c r="J590" t="s">
        <v>10938</v>
      </c>
      <c r="K590" t="s">
        <v>74</v>
      </c>
      <c r="L590" t="s">
        <v>74</v>
      </c>
      <c r="M590" t="s">
        <v>78</v>
      </c>
      <c r="N590" t="s">
        <v>99</v>
      </c>
      <c r="O590" t="s">
        <v>74</v>
      </c>
      <c r="P590" t="s">
        <v>74</v>
      </c>
      <c r="Q590" t="s">
        <v>74</v>
      </c>
      <c r="R590" t="s">
        <v>74</v>
      </c>
      <c r="S590" t="s">
        <v>74</v>
      </c>
      <c r="T590" t="s">
        <v>11403</v>
      </c>
      <c r="U590" t="s">
        <v>11404</v>
      </c>
      <c r="V590" t="s">
        <v>11405</v>
      </c>
      <c r="W590" t="s">
        <v>11406</v>
      </c>
      <c r="X590" t="s">
        <v>11407</v>
      </c>
      <c r="Y590" t="s">
        <v>11408</v>
      </c>
      <c r="Z590" t="s">
        <v>11409</v>
      </c>
      <c r="AA590" t="s">
        <v>11410</v>
      </c>
      <c r="AB590" t="s">
        <v>11411</v>
      </c>
      <c r="AC590" t="s">
        <v>11412</v>
      </c>
      <c r="AD590" t="s">
        <v>11413</v>
      </c>
      <c r="AE590" t="s">
        <v>11414</v>
      </c>
      <c r="AF590" t="s">
        <v>74</v>
      </c>
      <c r="AG590">
        <v>54</v>
      </c>
      <c r="AH590">
        <v>5</v>
      </c>
      <c r="AI590">
        <v>6</v>
      </c>
      <c r="AJ590">
        <v>0</v>
      </c>
      <c r="AK590">
        <v>21</v>
      </c>
      <c r="AL590" t="s">
        <v>365</v>
      </c>
      <c r="AM590" t="s">
        <v>342</v>
      </c>
      <c r="AN590" t="s">
        <v>2314</v>
      </c>
      <c r="AO590" t="s">
        <v>10944</v>
      </c>
      <c r="AP590" t="s">
        <v>10945</v>
      </c>
      <c r="AQ590" t="s">
        <v>74</v>
      </c>
      <c r="AR590" t="s">
        <v>10946</v>
      </c>
      <c r="AS590" t="s">
        <v>10947</v>
      </c>
      <c r="AT590" t="s">
        <v>9658</v>
      </c>
      <c r="AU590">
        <v>2014</v>
      </c>
      <c r="AV590">
        <v>26</v>
      </c>
      <c r="AW590">
        <v>6</v>
      </c>
      <c r="AX590" t="s">
        <v>74</v>
      </c>
      <c r="AY590" t="s">
        <v>74</v>
      </c>
      <c r="AZ590" t="s">
        <v>1437</v>
      </c>
      <c r="BA590" t="s">
        <v>74</v>
      </c>
      <c r="BB590">
        <v>646</v>
      </c>
      <c r="BC590">
        <v>660</v>
      </c>
      <c r="BD590" t="s">
        <v>74</v>
      </c>
      <c r="BE590" t="s">
        <v>11415</v>
      </c>
      <c r="BF590" t="str">
        <f>HYPERLINK("http://dx.doi.org/10.1017/S095410201400039X","http://dx.doi.org/10.1017/S095410201400039X")</f>
        <v>http://dx.doi.org/10.1017/S095410201400039X</v>
      </c>
      <c r="BG590" t="s">
        <v>74</v>
      </c>
      <c r="BH590" t="s">
        <v>74</v>
      </c>
      <c r="BI590">
        <v>15</v>
      </c>
      <c r="BJ590" t="s">
        <v>10949</v>
      </c>
      <c r="BK590" t="s">
        <v>91</v>
      </c>
      <c r="BL590" t="s">
        <v>10950</v>
      </c>
      <c r="BM590" t="s">
        <v>10951</v>
      </c>
      <c r="BN590" t="s">
        <v>74</v>
      </c>
      <c r="BO590" t="s">
        <v>10998</v>
      </c>
      <c r="BP590" t="s">
        <v>74</v>
      </c>
      <c r="BQ590" t="s">
        <v>74</v>
      </c>
      <c r="BR590" t="s">
        <v>93</v>
      </c>
      <c r="BS590" t="s">
        <v>11416</v>
      </c>
      <c r="BT590" t="str">
        <f>HYPERLINK("https%3A%2F%2Fwww.webofscience.com%2Fwos%2Fwoscc%2Ffull-record%2FWOS:000344736100007","View Full Record in Web of Science")</f>
        <v>View Full Record in Web of Science</v>
      </c>
    </row>
    <row r="591" spans="1:72" x14ac:dyDescent="0.15">
      <c r="A591" t="s">
        <v>72</v>
      </c>
      <c r="B591" t="s">
        <v>11417</v>
      </c>
      <c r="C591" t="s">
        <v>74</v>
      </c>
      <c r="D591" t="s">
        <v>74</v>
      </c>
      <c r="E591" t="s">
        <v>74</v>
      </c>
      <c r="F591" t="s">
        <v>11418</v>
      </c>
      <c r="G591" t="s">
        <v>74</v>
      </c>
      <c r="H591" t="s">
        <v>74</v>
      </c>
      <c r="I591" t="s">
        <v>11419</v>
      </c>
      <c r="J591" t="s">
        <v>10938</v>
      </c>
      <c r="K591" t="s">
        <v>74</v>
      </c>
      <c r="L591" t="s">
        <v>74</v>
      </c>
      <c r="M591" t="s">
        <v>78</v>
      </c>
      <c r="N591" t="s">
        <v>99</v>
      </c>
      <c r="O591" t="s">
        <v>74</v>
      </c>
      <c r="P591" t="s">
        <v>74</v>
      </c>
      <c r="Q591" t="s">
        <v>74</v>
      </c>
      <c r="R591" t="s">
        <v>74</v>
      </c>
      <c r="S591" t="s">
        <v>74</v>
      </c>
      <c r="T591" t="s">
        <v>11420</v>
      </c>
      <c r="U591" t="s">
        <v>11421</v>
      </c>
      <c r="V591" t="s">
        <v>11422</v>
      </c>
      <c r="W591" t="s">
        <v>11423</v>
      </c>
      <c r="X591" t="s">
        <v>11424</v>
      </c>
      <c r="Y591" t="s">
        <v>11425</v>
      </c>
      <c r="Z591" t="s">
        <v>11426</v>
      </c>
      <c r="AA591" t="s">
        <v>11427</v>
      </c>
      <c r="AB591" t="s">
        <v>11428</v>
      </c>
      <c r="AC591" t="s">
        <v>11429</v>
      </c>
      <c r="AD591" t="s">
        <v>11430</v>
      </c>
      <c r="AE591" t="s">
        <v>11431</v>
      </c>
      <c r="AF591" t="s">
        <v>74</v>
      </c>
      <c r="AG591">
        <v>79</v>
      </c>
      <c r="AH591">
        <v>37</v>
      </c>
      <c r="AI591">
        <v>38</v>
      </c>
      <c r="AJ591">
        <v>0</v>
      </c>
      <c r="AK591">
        <v>35</v>
      </c>
      <c r="AL591" t="s">
        <v>365</v>
      </c>
      <c r="AM591" t="s">
        <v>342</v>
      </c>
      <c r="AN591" t="s">
        <v>2314</v>
      </c>
      <c r="AO591" t="s">
        <v>10944</v>
      </c>
      <c r="AP591" t="s">
        <v>10945</v>
      </c>
      <c r="AQ591" t="s">
        <v>74</v>
      </c>
      <c r="AR591" t="s">
        <v>10946</v>
      </c>
      <c r="AS591" t="s">
        <v>10947</v>
      </c>
      <c r="AT591" t="s">
        <v>9658</v>
      </c>
      <c r="AU591">
        <v>2014</v>
      </c>
      <c r="AV591">
        <v>26</v>
      </c>
      <c r="AW591">
        <v>6</v>
      </c>
      <c r="AX591" t="s">
        <v>74</v>
      </c>
      <c r="AY591" t="s">
        <v>74</v>
      </c>
      <c r="AZ591" t="s">
        <v>1437</v>
      </c>
      <c r="BA591" t="s">
        <v>74</v>
      </c>
      <c r="BB591">
        <v>724</v>
      </c>
      <c r="BC591">
        <v>741</v>
      </c>
      <c r="BD591" t="s">
        <v>74</v>
      </c>
      <c r="BE591" t="s">
        <v>11432</v>
      </c>
      <c r="BF591" t="str">
        <f>HYPERLINK("http://dx.doi.org/10.1017/S0954102014000212","http://dx.doi.org/10.1017/S0954102014000212")</f>
        <v>http://dx.doi.org/10.1017/S0954102014000212</v>
      </c>
      <c r="BG591" t="s">
        <v>74</v>
      </c>
      <c r="BH591" t="s">
        <v>74</v>
      </c>
      <c r="BI591">
        <v>18</v>
      </c>
      <c r="BJ591" t="s">
        <v>10949</v>
      </c>
      <c r="BK591" t="s">
        <v>91</v>
      </c>
      <c r="BL591" t="s">
        <v>10950</v>
      </c>
      <c r="BM591" t="s">
        <v>10951</v>
      </c>
      <c r="BN591" t="s">
        <v>74</v>
      </c>
      <c r="BO591" t="s">
        <v>11433</v>
      </c>
      <c r="BP591" t="s">
        <v>74</v>
      </c>
      <c r="BQ591" t="s">
        <v>74</v>
      </c>
      <c r="BR591" t="s">
        <v>93</v>
      </c>
      <c r="BS591" t="s">
        <v>11434</v>
      </c>
      <c r="BT591" t="str">
        <f>HYPERLINK("https%3A%2F%2Fwww.webofscience.com%2Fwos%2Fwoscc%2Ffull-record%2FWOS:000344736100013","View Full Record in Web of Science")</f>
        <v>View Full Record in Web of Science</v>
      </c>
    </row>
    <row r="592" spans="1:72" x14ac:dyDescent="0.15">
      <c r="A592" t="s">
        <v>72</v>
      </c>
      <c r="B592" t="s">
        <v>11435</v>
      </c>
      <c r="C592" t="s">
        <v>74</v>
      </c>
      <c r="D592" t="s">
        <v>74</v>
      </c>
      <c r="E592" t="s">
        <v>74</v>
      </c>
      <c r="F592" t="s">
        <v>11436</v>
      </c>
      <c r="G592" t="s">
        <v>74</v>
      </c>
      <c r="H592" t="s">
        <v>74</v>
      </c>
      <c r="I592" t="s">
        <v>11437</v>
      </c>
      <c r="J592" t="s">
        <v>10938</v>
      </c>
      <c r="K592" t="s">
        <v>74</v>
      </c>
      <c r="L592" t="s">
        <v>74</v>
      </c>
      <c r="M592" t="s">
        <v>78</v>
      </c>
      <c r="N592" t="s">
        <v>99</v>
      </c>
      <c r="O592" t="s">
        <v>74</v>
      </c>
      <c r="P592" t="s">
        <v>74</v>
      </c>
      <c r="Q592" t="s">
        <v>74</v>
      </c>
      <c r="R592" t="s">
        <v>74</v>
      </c>
      <c r="S592" t="s">
        <v>74</v>
      </c>
      <c r="T592" t="s">
        <v>11438</v>
      </c>
      <c r="U592" t="s">
        <v>11439</v>
      </c>
      <c r="V592" t="s">
        <v>11440</v>
      </c>
      <c r="W592" t="s">
        <v>11441</v>
      </c>
      <c r="X592" t="s">
        <v>4616</v>
      </c>
      <c r="Y592" t="s">
        <v>11442</v>
      </c>
      <c r="Z592" t="s">
        <v>11443</v>
      </c>
      <c r="AA592" t="s">
        <v>11444</v>
      </c>
      <c r="AB592" t="s">
        <v>74</v>
      </c>
      <c r="AC592" t="s">
        <v>11445</v>
      </c>
      <c r="AD592" t="s">
        <v>4756</v>
      </c>
      <c r="AE592" t="s">
        <v>74</v>
      </c>
      <c r="AF592" t="s">
        <v>74</v>
      </c>
      <c r="AG592">
        <v>34</v>
      </c>
      <c r="AH592">
        <v>15</v>
      </c>
      <c r="AI592">
        <v>17</v>
      </c>
      <c r="AJ592">
        <v>0</v>
      </c>
      <c r="AK592">
        <v>13</v>
      </c>
      <c r="AL592" t="s">
        <v>365</v>
      </c>
      <c r="AM592" t="s">
        <v>342</v>
      </c>
      <c r="AN592" t="s">
        <v>2314</v>
      </c>
      <c r="AO592" t="s">
        <v>10944</v>
      </c>
      <c r="AP592" t="s">
        <v>10945</v>
      </c>
      <c r="AQ592" t="s">
        <v>74</v>
      </c>
      <c r="AR592" t="s">
        <v>10946</v>
      </c>
      <c r="AS592" t="s">
        <v>10947</v>
      </c>
      <c r="AT592" t="s">
        <v>9658</v>
      </c>
      <c r="AU592">
        <v>2014</v>
      </c>
      <c r="AV592">
        <v>26</v>
      </c>
      <c r="AW592">
        <v>6</v>
      </c>
      <c r="AX592" t="s">
        <v>74</v>
      </c>
      <c r="AY592" t="s">
        <v>74</v>
      </c>
      <c r="AZ592" t="s">
        <v>1437</v>
      </c>
      <c r="BA592" t="s">
        <v>74</v>
      </c>
      <c r="BB592">
        <v>742</v>
      </c>
      <c r="BC592">
        <v>757</v>
      </c>
      <c r="BD592" t="s">
        <v>74</v>
      </c>
      <c r="BE592" t="s">
        <v>11446</v>
      </c>
      <c r="BF592" t="str">
        <f>HYPERLINK("http://dx.doi.org/10.1017/S095410201400025X","http://dx.doi.org/10.1017/S095410201400025X")</f>
        <v>http://dx.doi.org/10.1017/S095410201400025X</v>
      </c>
      <c r="BG592" t="s">
        <v>74</v>
      </c>
      <c r="BH592" t="s">
        <v>74</v>
      </c>
      <c r="BI592">
        <v>16</v>
      </c>
      <c r="BJ592" t="s">
        <v>10949</v>
      </c>
      <c r="BK592" t="s">
        <v>91</v>
      </c>
      <c r="BL592" t="s">
        <v>10950</v>
      </c>
      <c r="BM592" t="s">
        <v>10951</v>
      </c>
      <c r="BN592" t="s">
        <v>74</v>
      </c>
      <c r="BO592" t="s">
        <v>134</v>
      </c>
      <c r="BP592" t="s">
        <v>74</v>
      </c>
      <c r="BQ592" t="s">
        <v>74</v>
      </c>
      <c r="BR592" t="s">
        <v>93</v>
      </c>
      <c r="BS592" t="s">
        <v>11447</v>
      </c>
      <c r="BT592" t="str">
        <f>HYPERLINK("https%3A%2F%2Fwww.webofscience.com%2Fwos%2Fwoscc%2Ffull-record%2FWOS:000344736100014","View Full Record in Web of Science")</f>
        <v>View Full Record in Web of Science</v>
      </c>
    </row>
    <row r="593" spans="1:72" x14ac:dyDescent="0.15">
      <c r="A593" t="s">
        <v>72</v>
      </c>
      <c r="B593" t="s">
        <v>11448</v>
      </c>
      <c r="C593" t="s">
        <v>74</v>
      </c>
      <c r="D593" t="s">
        <v>74</v>
      </c>
      <c r="E593" t="s">
        <v>74</v>
      </c>
      <c r="F593" t="s">
        <v>11449</v>
      </c>
      <c r="G593" t="s">
        <v>74</v>
      </c>
      <c r="H593" t="s">
        <v>74</v>
      </c>
      <c r="I593" t="s">
        <v>11450</v>
      </c>
      <c r="J593" t="s">
        <v>10938</v>
      </c>
      <c r="K593" t="s">
        <v>74</v>
      </c>
      <c r="L593" t="s">
        <v>74</v>
      </c>
      <c r="M593" t="s">
        <v>78</v>
      </c>
      <c r="N593" t="s">
        <v>99</v>
      </c>
      <c r="O593" t="s">
        <v>74</v>
      </c>
      <c r="P593" t="s">
        <v>74</v>
      </c>
      <c r="Q593" t="s">
        <v>74</v>
      </c>
      <c r="R593" t="s">
        <v>74</v>
      </c>
      <c r="S593" t="s">
        <v>74</v>
      </c>
      <c r="T593" t="s">
        <v>11451</v>
      </c>
      <c r="U593" t="s">
        <v>11452</v>
      </c>
      <c r="V593" t="s">
        <v>11453</v>
      </c>
      <c r="W593" t="s">
        <v>11454</v>
      </c>
      <c r="X593" t="s">
        <v>11455</v>
      </c>
      <c r="Y593" t="s">
        <v>11456</v>
      </c>
      <c r="Z593" t="s">
        <v>11457</v>
      </c>
      <c r="AA593" t="s">
        <v>11458</v>
      </c>
      <c r="AB593" t="s">
        <v>11459</v>
      </c>
      <c r="AC593" t="s">
        <v>11460</v>
      </c>
      <c r="AD593" t="s">
        <v>11460</v>
      </c>
      <c r="AE593" t="s">
        <v>11461</v>
      </c>
      <c r="AF593" t="s">
        <v>74</v>
      </c>
      <c r="AG593">
        <v>149</v>
      </c>
      <c r="AH593">
        <v>31</v>
      </c>
      <c r="AI593">
        <v>38</v>
      </c>
      <c r="AJ593">
        <v>3</v>
      </c>
      <c r="AK593">
        <v>83</v>
      </c>
      <c r="AL593" t="s">
        <v>365</v>
      </c>
      <c r="AM593" t="s">
        <v>342</v>
      </c>
      <c r="AN593" t="s">
        <v>2314</v>
      </c>
      <c r="AO593" t="s">
        <v>10944</v>
      </c>
      <c r="AP593" t="s">
        <v>10945</v>
      </c>
      <c r="AQ593" t="s">
        <v>74</v>
      </c>
      <c r="AR593" t="s">
        <v>10946</v>
      </c>
      <c r="AS593" t="s">
        <v>10947</v>
      </c>
      <c r="AT593" t="s">
        <v>9658</v>
      </c>
      <c r="AU593">
        <v>2014</v>
      </c>
      <c r="AV593">
        <v>26</v>
      </c>
      <c r="AW593">
        <v>6</v>
      </c>
      <c r="AX593" t="s">
        <v>74</v>
      </c>
      <c r="AY593" t="s">
        <v>74</v>
      </c>
      <c r="AZ593" t="s">
        <v>1437</v>
      </c>
      <c r="BA593" t="s">
        <v>74</v>
      </c>
      <c r="BB593">
        <v>758</v>
      </c>
      <c r="BC593">
        <v>773</v>
      </c>
      <c r="BD593" t="s">
        <v>74</v>
      </c>
      <c r="BE593" t="s">
        <v>11462</v>
      </c>
      <c r="BF593" t="str">
        <f>HYPERLINK("http://dx.doi.org/10.1017/S0954102014000546","http://dx.doi.org/10.1017/S0954102014000546")</f>
        <v>http://dx.doi.org/10.1017/S0954102014000546</v>
      </c>
      <c r="BG593" t="s">
        <v>74</v>
      </c>
      <c r="BH593" t="s">
        <v>74</v>
      </c>
      <c r="BI593">
        <v>16</v>
      </c>
      <c r="BJ593" t="s">
        <v>10949</v>
      </c>
      <c r="BK593" t="s">
        <v>91</v>
      </c>
      <c r="BL593" t="s">
        <v>10950</v>
      </c>
      <c r="BM593" t="s">
        <v>10951</v>
      </c>
      <c r="BN593" t="s">
        <v>74</v>
      </c>
      <c r="BO593" t="s">
        <v>2744</v>
      </c>
      <c r="BP593" t="s">
        <v>74</v>
      </c>
      <c r="BQ593" t="s">
        <v>74</v>
      </c>
      <c r="BR593" t="s">
        <v>93</v>
      </c>
      <c r="BS593" t="s">
        <v>11463</v>
      </c>
      <c r="BT593" t="str">
        <f>HYPERLINK("https%3A%2F%2Fwww.webofscience.com%2Fwos%2Fwoscc%2Ffull-record%2FWOS:000344736100015","View Full Record in Web of Science")</f>
        <v>View Full Record in Web of Science</v>
      </c>
    </row>
    <row r="594" spans="1:72" x14ac:dyDescent="0.15">
      <c r="A594" t="s">
        <v>72</v>
      </c>
      <c r="B594" t="s">
        <v>11464</v>
      </c>
      <c r="C594" t="s">
        <v>74</v>
      </c>
      <c r="D594" t="s">
        <v>74</v>
      </c>
      <c r="E594" t="s">
        <v>74</v>
      </c>
      <c r="F594" t="s">
        <v>11465</v>
      </c>
      <c r="G594" t="s">
        <v>74</v>
      </c>
      <c r="H594" t="s">
        <v>74</v>
      </c>
      <c r="I594" t="s">
        <v>11466</v>
      </c>
      <c r="J594" t="s">
        <v>10938</v>
      </c>
      <c r="K594" t="s">
        <v>74</v>
      </c>
      <c r="L594" t="s">
        <v>74</v>
      </c>
      <c r="M594" t="s">
        <v>78</v>
      </c>
      <c r="N594" t="s">
        <v>99</v>
      </c>
      <c r="O594" t="s">
        <v>74</v>
      </c>
      <c r="P594" t="s">
        <v>74</v>
      </c>
      <c r="Q594" t="s">
        <v>74</v>
      </c>
      <c r="R594" t="s">
        <v>74</v>
      </c>
      <c r="S594" t="s">
        <v>74</v>
      </c>
      <c r="T594" t="s">
        <v>11467</v>
      </c>
      <c r="U594" t="s">
        <v>11468</v>
      </c>
      <c r="V594" t="s">
        <v>11469</v>
      </c>
      <c r="W594" t="s">
        <v>11470</v>
      </c>
      <c r="X594" t="s">
        <v>11471</v>
      </c>
      <c r="Y594" t="s">
        <v>11472</v>
      </c>
      <c r="Z594" t="s">
        <v>11473</v>
      </c>
      <c r="AA594" t="s">
        <v>74</v>
      </c>
      <c r="AB594" t="s">
        <v>74</v>
      </c>
      <c r="AC594" t="s">
        <v>11474</v>
      </c>
      <c r="AD594" t="s">
        <v>11475</v>
      </c>
      <c r="AE594" t="s">
        <v>11476</v>
      </c>
      <c r="AF594" t="s">
        <v>74</v>
      </c>
      <c r="AG594">
        <v>100</v>
      </c>
      <c r="AH594">
        <v>75</v>
      </c>
      <c r="AI594">
        <v>80</v>
      </c>
      <c r="AJ594">
        <v>0</v>
      </c>
      <c r="AK594">
        <v>46</v>
      </c>
      <c r="AL594" t="s">
        <v>365</v>
      </c>
      <c r="AM594" t="s">
        <v>342</v>
      </c>
      <c r="AN594" t="s">
        <v>2314</v>
      </c>
      <c r="AO594" t="s">
        <v>10944</v>
      </c>
      <c r="AP594" t="s">
        <v>10945</v>
      </c>
      <c r="AQ594" t="s">
        <v>74</v>
      </c>
      <c r="AR594" t="s">
        <v>10946</v>
      </c>
      <c r="AS594" t="s">
        <v>10947</v>
      </c>
      <c r="AT594" t="s">
        <v>9658</v>
      </c>
      <c r="AU594">
        <v>2014</v>
      </c>
      <c r="AV594">
        <v>26</v>
      </c>
      <c r="AW594">
        <v>6</v>
      </c>
      <c r="AX594" t="s">
        <v>74</v>
      </c>
      <c r="AY594" t="s">
        <v>74</v>
      </c>
      <c r="AZ594" t="s">
        <v>1437</v>
      </c>
      <c r="BA594" t="s">
        <v>74</v>
      </c>
      <c r="BB594">
        <v>774</v>
      </c>
      <c r="BC594">
        <v>800</v>
      </c>
      <c r="BD594" t="s">
        <v>74</v>
      </c>
      <c r="BE594" t="s">
        <v>11477</v>
      </c>
      <c r="BF594" t="str">
        <f>HYPERLINK("http://dx.doi.org/10.1017/S0954102014000686","http://dx.doi.org/10.1017/S0954102014000686")</f>
        <v>http://dx.doi.org/10.1017/S0954102014000686</v>
      </c>
      <c r="BG594" t="s">
        <v>74</v>
      </c>
      <c r="BH594" t="s">
        <v>74</v>
      </c>
      <c r="BI594">
        <v>27</v>
      </c>
      <c r="BJ594" t="s">
        <v>10949</v>
      </c>
      <c r="BK594" t="s">
        <v>91</v>
      </c>
      <c r="BL594" t="s">
        <v>10950</v>
      </c>
      <c r="BM594" t="s">
        <v>10951</v>
      </c>
      <c r="BN594" t="s">
        <v>74</v>
      </c>
      <c r="BO594" t="s">
        <v>134</v>
      </c>
      <c r="BP594" t="s">
        <v>74</v>
      </c>
      <c r="BQ594" t="s">
        <v>74</v>
      </c>
      <c r="BR594" t="s">
        <v>93</v>
      </c>
      <c r="BS594" t="s">
        <v>11478</v>
      </c>
      <c r="BT594" t="str">
        <f>HYPERLINK("https%3A%2F%2Fwww.webofscience.com%2Fwos%2Fwoscc%2Ffull-record%2FWOS:000344736100016","View Full Record in Web of Science")</f>
        <v>View Full Record in Web of Science</v>
      </c>
    </row>
    <row r="595" spans="1:72" x14ac:dyDescent="0.15">
      <c r="A595" t="s">
        <v>72</v>
      </c>
      <c r="B595" t="s">
        <v>11479</v>
      </c>
      <c r="C595" t="s">
        <v>74</v>
      </c>
      <c r="D595" t="s">
        <v>74</v>
      </c>
      <c r="E595" t="s">
        <v>74</v>
      </c>
      <c r="F595" t="s">
        <v>11480</v>
      </c>
      <c r="G595" t="s">
        <v>74</v>
      </c>
      <c r="H595" t="s">
        <v>74</v>
      </c>
      <c r="I595" t="s">
        <v>11481</v>
      </c>
      <c r="J595" t="s">
        <v>11482</v>
      </c>
      <c r="K595" t="s">
        <v>74</v>
      </c>
      <c r="L595" t="s">
        <v>74</v>
      </c>
      <c r="M595" t="s">
        <v>11483</v>
      </c>
      <c r="N595" t="s">
        <v>99</v>
      </c>
      <c r="O595" t="s">
        <v>74</v>
      </c>
      <c r="P595" t="s">
        <v>74</v>
      </c>
      <c r="Q595" t="s">
        <v>74</v>
      </c>
      <c r="R595" t="s">
        <v>74</v>
      </c>
      <c r="S595" t="s">
        <v>74</v>
      </c>
      <c r="T595" t="s">
        <v>11484</v>
      </c>
      <c r="U595" t="s">
        <v>74</v>
      </c>
      <c r="V595" t="s">
        <v>11485</v>
      </c>
      <c r="W595" t="s">
        <v>11486</v>
      </c>
      <c r="X595" t="s">
        <v>11487</v>
      </c>
      <c r="Y595" t="s">
        <v>11488</v>
      </c>
      <c r="Z595" t="s">
        <v>11489</v>
      </c>
      <c r="AA595" t="s">
        <v>74</v>
      </c>
      <c r="AB595" t="s">
        <v>74</v>
      </c>
      <c r="AC595" t="s">
        <v>74</v>
      </c>
      <c r="AD595" t="s">
        <v>74</v>
      </c>
      <c r="AE595" t="s">
        <v>74</v>
      </c>
      <c r="AF595" t="s">
        <v>74</v>
      </c>
      <c r="AG595">
        <v>23</v>
      </c>
      <c r="AH595">
        <v>1</v>
      </c>
      <c r="AI595">
        <v>1</v>
      </c>
      <c r="AJ595">
        <v>0</v>
      </c>
      <c r="AK595">
        <v>0</v>
      </c>
      <c r="AL595" t="s">
        <v>11490</v>
      </c>
      <c r="AM595" t="s">
        <v>10877</v>
      </c>
      <c r="AN595" t="s">
        <v>11491</v>
      </c>
      <c r="AO595" t="s">
        <v>11492</v>
      </c>
      <c r="AP595" t="s">
        <v>11493</v>
      </c>
      <c r="AQ595" t="s">
        <v>74</v>
      </c>
      <c r="AR595" t="s">
        <v>11494</v>
      </c>
      <c r="AS595" t="s">
        <v>11495</v>
      </c>
      <c r="AT595" t="s">
        <v>9658</v>
      </c>
      <c r="AU595">
        <v>2014</v>
      </c>
      <c r="AV595">
        <v>24</v>
      </c>
      <c r="AW595">
        <v>4</v>
      </c>
      <c r="AX595" t="s">
        <v>74</v>
      </c>
      <c r="AY595" t="s">
        <v>74</v>
      </c>
      <c r="AZ595" t="s">
        <v>74</v>
      </c>
      <c r="BA595" t="s">
        <v>74</v>
      </c>
      <c r="BB595">
        <v>555</v>
      </c>
      <c r="BC595">
        <v>563</v>
      </c>
      <c r="BD595" t="s">
        <v>74</v>
      </c>
      <c r="BE595" t="s">
        <v>11496</v>
      </c>
      <c r="BF595" t="str">
        <f>HYPERLINK("http://dx.doi.org/10.14191/Atmos.2014.24.4.555","http://dx.doi.org/10.14191/Atmos.2014.24.4.555")</f>
        <v>http://dx.doi.org/10.14191/Atmos.2014.24.4.555</v>
      </c>
      <c r="BG595" t="s">
        <v>74</v>
      </c>
      <c r="BH595" t="s">
        <v>74</v>
      </c>
      <c r="BI595">
        <v>9</v>
      </c>
      <c r="BJ595" t="s">
        <v>226</v>
      </c>
      <c r="BK595" t="s">
        <v>202</v>
      </c>
      <c r="BL595" t="s">
        <v>226</v>
      </c>
      <c r="BM595" t="s">
        <v>11497</v>
      </c>
      <c r="BN595" t="s">
        <v>74</v>
      </c>
      <c r="BO595" t="s">
        <v>375</v>
      </c>
      <c r="BP595" t="s">
        <v>74</v>
      </c>
      <c r="BQ595" t="s">
        <v>74</v>
      </c>
      <c r="BR595" t="s">
        <v>93</v>
      </c>
      <c r="BS595" t="s">
        <v>11498</v>
      </c>
      <c r="BT595" t="str">
        <f>HYPERLINK("https%3A%2F%2Fwww.webofscience.com%2Fwos%2Fwoscc%2Ffull-record%2FWOS:000422578900010","View Full Record in Web of Science")</f>
        <v>View Full Record in Web of Science</v>
      </c>
    </row>
    <row r="596" spans="1:72" x14ac:dyDescent="0.15">
      <c r="A596" t="s">
        <v>72</v>
      </c>
      <c r="B596" t="s">
        <v>11499</v>
      </c>
      <c r="C596" t="s">
        <v>74</v>
      </c>
      <c r="D596" t="s">
        <v>74</v>
      </c>
      <c r="E596" t="s">
        <v>74</v>
      </c>
      <c r="F596" t="s">
        <v>11500</v>
      </c>
      <c r="G596" t="s">
        <v>74</v>
      </c>
      <c r="H596" t="s">
        <v>74</v>
      </c>
      <c r="I596" t="s">
        <v>11501</v>
      </c>
      <c r="J596" t="s">
        <v>11502</v>
      </c>
      <c r="K596" t="s">
        <v>74</v>
      </c>
      <c r="L596" t="s">
        <v>74</v>
      </c>
      <c r="M596" t="s">
        <v>78</v>
      </c>
      <c r="N596" t="s">
        <v>99</v>
      </c>
      <c r="O596" t="s">
        <v>74</v>
      </c>
      <c r="P596" t="s">
        <v>74</v>
      </c>
      <c r="Q596" t="s">
        <v>74</v>
      </c>
      <c r="R596" t="s">
        <v>74</v>
      </c>
      <c r="S596" t="s">
        <v>74</v>
      </c>
      <c r="T596" t="s">
        <v>11503</v>
      </c>
      <c r="U596" t="s">
        <v>11504</v>
      </c>
      <c r="V596" t="s">
        <v>11505</v>
      </c>
      <c r="W596" t="s">
        <v>11506</v>
      </c>
      <c r="X596" t="s">
        <v>11507</v>
      </c>
      <c r="Y596" t="s">
        <v>7803</v>
      </c>
      <c r="Z596" t="s">
        <v>7804</v>
      </c>
      <c r="AA596" t="s">
        <v>11508</v>
      </c>
      <c r="AB596" t="s">
        <v>11509</v>
      </c>
      <c r="AC596" t="s">
        <v>11510</v>
      </c>
      <c r="AD596" t="s">
        <v>11511</v>
      </c>
      <c r="AE596" t="s">
        <v>11512</v>
      </c>
      <c r="AF596" t="s">
        <v>74</v>
      </c>
      <c r="AG596">
        <v>28</v>
      </c>
      <c r="AH596">
        <v>35</v>
      </c>
      <c r="AI596">
        <v>39</v>
      </c>
      <c r="AJ596">
        <v>0</v>
      </c>
      <c r="AK596">
        <v>44</v>
      </c>
      <c r="AL596" t="s">
        <v>2666</v>
      </c>
      <c r="AM596" t="s">
        <v>342</v>
      </c>
      <c r="AN596" t="s">
        <v>2761</v>
      </c>
      <c r="AO596" t="s">
        <v>11513</v>
      </c>
      <c r="AP596" t="s">
        <v>11514</v>
      </c>
      <c r="AQ596" t="s">
        <v>74</v>
      </c>
      <c r="AR596" t="s">
        <v>11515</v>
      </c>
      <c r="AS596" t="s">
        <v>11516</v>
      </c>
      <c r="AT596" t="s">
        <v>9658</v>
      </c>
      <c r="AU596">
        <v>2014</v>
      </c>
      <c r="AV596">
        <v>37</v>
      </c>
      <c r="AW596">
        <v>12</v>
      </c>
      <c r="AX596" t="s">
        <v>74</v>
      </c>
      <c r="AY596" t="s">
        <v>74</v>
      </c>
      <c r="AZ596" t="s">
        <v>74</v>
      </c>
      <c r="BA596" t="s">
        <v>74</v>
      </c>
      <c r="BB596">
        <v>2437</v>
      </c>
      <c r="BC596">
        <v>2444</v>
      </c>
      <c r="BD596" t="s">
        <v>74</v>
      </c>
      <c r="BE596" t="s">
        <v>11517</v>
      </c>
      <c r="BF596" t="str">
        <f>HYPERLINK("http://dx.doi.org/10.1007/s00449-014-1220-7","http://dx.doi.org/10.1007/s00449-014-1220-7")</f>
        <v>http://dx.doi.org/10.1007/s00449-014-1220-7</v>
      </c>
      <c r="BG596" t="s">
        <v>74</v>
      </c>
      <c r="BH596" t="s">
        <v>74</v>
      </c>
      <c r="BI596">
        <v>8</v>
      </c>
      <c r="BJ596" t="s">
        <v>11518</v>
      </c>
      <c r="BK596" t="s">
        <v>91</v>
      </c>
      <c r="BL596" t="s">
        <v>11519</v>
      </c>
      <c r="BM596" t="s">
        <v>11520</v>
      </c>
      <c r="BN596">
        <v>24871276</v>
      </c>
      <c r="BO596" t="s">
        <v>74</v>
      </c>
      <c r="BP596" t="s">
        <v>74</v>
      </c>
      <c r="BQ596" t="s">
        <v>74</v>
      </c>
      <c r="BR596" t="s">
        <v>93</v>
      </c>
      <c r="BS596" t="s">
        <v>11521</v>
      </c>
      <c r="BT596" t="str">
        <f>HYPERLINK("https%3A%2F%2Fwww.webofscience.com%2Fwos%2Fwoscc%2Ffull-record%2FWOS:000344772200006","View Full Record in Web of Science")</f>
        <v>View Full Record in Web of Science</v>
      </c>
    </row>
    <row r="597" spans="1:72" x14ac:dyDescent="0.15">
      <c r="A597" t="s">
        <v>72</v>
      </c>
      <c r="B597" t="s">
        <v>11522</v>
      </c>
      <c r="C597" t="s">
        <v>74</v>
      </c>
      <c r="D597" t="s">
        <v>74</v>
      </c>
      <c r="E597" t="s">
        <v>74</v>
      </c>
      <c r="F597" t="s">
        <v>11523</v>
      </c>
      <c r="G597" t="s">
        <v>74</v>
      </c>
      <c r="H597" t="s">
        <v>74</v>
      </c>
      <c r="I597" t="s">
        <v>11524</v>
      </c>
      <c r="J597" t="s">
        <v>11525</v>
      </c>
      <c r="K597" t="s">
        <v>74</v>
      </c>
      <c r="L597" t="s">
        <v>74</v>
      </c>
      <c r="M597" t="s">
        <v>78</v>
      </c>
      <c r="N597" t="s">
        <v>99</v>
      </c>
      <c r="O597" t="s">
        <v>74</v>
      </c>
      <c r="P597" t="s">
        <v>74</v>
      </c>
      <c r="Q597" t="s">
        <v>74</v>
      </c>
      <c r="R597" t="s">
        <v>74</v>
      </c>
      <c r="S597" t="s">
        <v>74</v>
      </c>
      <c r="T597" t="s">
        <v>11526</v>
      </c>
      <c r="U597" t="s">
        <v>11527</v>
      </c>
      <c r="V597" t="s">
        <v>11528</v>
      </c>
      <c r="W597" t="s">
        <v>11529</v>
      </c>
      <c r="X597" t="s">
        <v>11530</v>
      </c>
      <c r="Y597" t="s">
        <v>11531</v>
      </c>
      <c r="Z597" t="s">
        <v>11532</v>
      </c>
      <c r="AA597" t="s">
        <v>11533</v>
      </c>
      <c r="AB597" t="s">
        <v>11534</v>
      </c>
      <c r="AC597" t="s">
        <v>11535</v>
      </c>
      <c r="AD597" t="s">
        <v>11536</v>
      </c>
      <c r="AE597" t="s">
        <v>11537</v>
      </c>
      <c r="AF597" t="s">
        <v>74</v>
      </c>
      <c r="AG597">
        <v>14</v>
      </c>
      <c r="AH597">
        <v>14</v>
      </c>
      <c r="AI597">
        <v>17</v>
      </c>
      <c r="AJ597">
        <v>0</v>
      </c>
      <c r="AK597">
        <v>15</v>
      </c>
      <c r="AL597" t="s">
        <v>4624</v>
      </c>
      <c r="AM597" t="s">
        <v>2007</v>
      </c>
      <c r="AN597" t="s">
        <v>2008</v>
      </c>
      <c r="AO597" t="s">
        <v>11538</v>
      </c>
      <c r="AP597" t="s">
        <v>11539</v>
      </c>
      <c r="AQ597" t="s">
        <v>74</v>
      </c>
      <c r="AR597" t="s">
        <v>11540</v>
      </c>
      <c r="AS597" t="s">
        <v>11541</v>
      </c>
      <c r="AT597" t="s">
        <v>9658</v>
      </c>
      <c r="AU597">
        <v>2014</v>
      </c>
      <c r="AV597">
        <v>42</v>
      </c>
      <c r="AW597">
        <v>4</v>
      </c>
      <c r="AX597" t="s">
        <v>74</v>
      </c>
      <c r="AY597" t="s">
        <v>74</v>
      </c>
      <c r="AZ597" t="s">
        <v>74</v>
      </c>
      <c r="BA597" t="s">
        <v>74</v>
      </c>
      <c r="BB597">
        <v>597</v>
      </c>
      <c r="BC597">
        <v>609</v>
      </c>
      <c r="BD597" t="s">
        <v>74</v>
      </c>
      <c r="BE597" t="s">
        <v>11542</v>
      </c>
      <c r="BF597" t="str">
        <f>HYPERLINK("http://dx.doi.org/10.1002/cjs.11231","http://dx.doi.org/10.1002/cjs.11231")</f>
        <v>http://dx.doi.org/10.1002/cjs.11231</v>
      </c>
      <c r="BG597" t="s">
        <v>74</v>
      </c>
      <c r="BH597" t="s">
        <v>74</v>
      </c>
      <c r="BI597">
        <v>13</v>
      </c>
      <c r="BJ597" t="s">
        <v>11543</v>
      </c>
      <c r="BK597" t="s">
        <v>91</v>
      </c>
      <c r="BL597" t="s">
        <v>8368</v>
      </c>
      <c r="BM597" t="s">
        <v>11544</v>
      </c>
      <c r="BN597" t="s">
        <v>74</v>
      </c>
      <c r="BO597" t="s">
        <v>2056</v>
      </c>
      <c r="BP597" t="s">
        <v>74</v>
      </c>
      <c r="BQ597" t="s">
        <v>74</v>
      </c>
      <c r="BR597" t="s">
        <v>93</v>
      </c>
      <c r="BS597" t="s">
        <v>11545</v>
      </c>
      <c r="BT597" t="str">
        <f>HYPERLINK("https%3A%2F%2Fwww.webofscience.com%2Fwos%2Fwoscc%2Ffull-record%2FWOS:000344804400006","View Full Record in Web of Science")</f>
        <v>View Full Record in Web of Science</v>
      </c>
    </row>
    <row r="598" spans="1:72" x14ac:dyDescent="0.15">
      <c r="A598" t="s">
        <v>72</v>
      </c>
      <c r="B598" t="s">
        <v>11546</v>
      </c>
      <c r="C598" t="s">
        <v>74</v>
      </c>
      <c r="D598" t="s">
        <v>74</v>
      </c>
      <c r="E598" t="s">
        <v>74</v>
      </c>
      <c r="F598" t="s">
        <v>11547</v>
      </c>
      <c r="G598" t="s">
        <v>74</v>
      </c>
      <c r="H598" t="s">
        <v>74</v>
      </c>
      <c r="I598" t="s">
        <v>11548</v>
      </c>
      <c r="J598" t="s">
        <v>11549</v>
      </c>
      <c r="K598" t="s">
        <v>74</v>
      </c>
      <c r="L598" t="s">
        <v>74</v>
      </c>
      <c r="M598" t="s">
        <v>78</v>
      </c>
      <c r="N598" t="s">
        <v>99</v>
      </c>
      <c r="O598" t="s">
        <v>74</v>
      </c>
      <c r="P598" t="s">
        <v>74</v>
      </c>
      <c r="Q598" t="s">
        <v>74</v>
      </c>
      <c r="R598" t="s">
        <v>74</v>
      </c>
      <c r="S598" t="s">
        <v>74</v>
      </c>
      <c r="T598" t="s">
        <v>11550</v>
      </c>
      <c r="U598" t="s">
        <v>11551</v>
      </c>
      <c r="V598" t="s">
        <v>11552</v>
      </c>
      <c r="W598" t="s">
        <v>11553</v>
      </c>
      <c r="X598" t="s">
        <v>11554</v>
      </c>
      <c r="Y598" t="s">
        <v>11555</v>
      </c>
      <c r="Z598" t="s">
        <v>11556</v>
      </c>
      <c r="AA598" t="s">
        <v>11557</v>
      </c>
      <c r="AB598" t="s">
        <v>11558</v>
      </c>
      <c r="AC598" t="s">
        <v>74</v>
      </c>
      <c r="AD598" t="s">
        <v>74</v>
      </c>
      <c r="AE598" t="s">
        <v>74</v>
      </c>
      <c r="AF598" t="s">
        <v>74</v>
      </c>
      <c r="AG598">
        <v>35</v>
      </c>
      <c r="AH598">
        <v>9</v>
      </c>
      <c r="AI598">
        <v>9</v>
      </c>
      <c r="AJ598">
        <v>2</v>
      </c>
      <c r="AK598">
        <v>2</v>
      </c>
      <c r="AL598" t="s">
        <v>11559</v>
      </c>
      <c r="AM598" t="s">
        <v>11560</v>
      </c>
      <c r="AN598" t="s">
        <v>11561</v>
      </c>
      <c r="AO598" t="s">
        <v>11562</v>
      </c>
      <c r="AP598" t="s">
        <v>11563</v>
      </c>
      <c r="AQ598" t="s">
        <v>74</v>
      </c>
      <c r="AR598" t="s">
        <v>11564</v>
      </c>
      <c r="AS598" t="s">
        <v>11565</v>
      </c>
      <c r="AT598" t="s">
        <v>9658</v>
      </c>
      <c r="AU598">
        <v>2014</v>
      </c>
      <c r="AV598">
        <v>19</v>
      </c>
      <c r="AW598" t="s">
        <v>2766</v>
      </c>
      <c r="AX598" t="s">
        <v>74</v>
      </c>
      <c r="AY598" t="s">
        <v>74</v>
      </c>
      <c r="AZ598" t="s">
        <v>74</v>
      </c>
      <c r="BA598" t="s">
        <v>74</v>
      </c>
      <c r="BB598">
        <v>9</v>
      </c>
      <c r="BC598">
        <v>28</v>
      </c>
      <c r="BD598" t="s">
        <v>74</v>
      </c>
      <c r="BE598" t="s">
        <v>11566</v>
      </c>
      <c r="BF598" t="str">
        <f>HYPERLINK("http://dx.doi.org/10.1515/cdem-2014-0001","http://dx.doi.org/10.1515/cdem-2014-0001")</f>
        <v>http://dx.doi.org/10.1515/cdem-2014-0001</v>
      </c>
      <c r="BG598" t="s">
        <v>74</v>
      </c>
      <c r="BH598" t="s">
        <v>74</v>
      </c>
      <c r="BI598">
        <v>20</v>
      </c>
      <c r="BJ598" t="s">
        <v>201</v>
      </c>
      <c r="BK598" t="s">
        <v>202</v>
      </c>
      <c r="BL598" t="s">
        <v>203</v>
      </c>
      <c r="BM598" t="s">
        <v>11567</v>
      </c>
      <c r="BN598" t="s">
        <v>74</v>
      </c>
      <c r="BO598" t="s">
        <v>1393</v>
      </c>
      <c r="BP598" t="s">
        <v>74</v>
      </c>
      <c r="BQ598" t="s">
        <v>74</v>
      </c>
      <c r="BR598" t="s">
        <v>93</v>
      </c>
      <c r="BS598" t="s">
        <v>11568</v>
      </c>
      <c r="BT598" t="str">
        <f>HYPERLINK("https%3A%2F%2Fwww.webofscience.com%2Fwos%2Fwoscc%2Ffull-record%2FWOS:000441777500001","View Full Record in Web of Science")</f>
        <v>View Full Record in Web of Science</v>
      </c>
    </row>
    <row r="599" spans="1:72" x14ac:dyDescent="0.15">
      <c r="A599" t="s">
        <v>72</v>
      </c>
      <c r="B599" t="s">
        <v>11569</v>
      </c>
      <c r="C599" t="s">
        <v>74</v>
      </c>
      <c r="D599" t="s">
        <v>74</v>
      </c>
      <c r="E599" t="s">
        <v>74</v>
      </c>
      <c r="F599" t="s">
        <v>11570</v>
      </c>
      <c r="G599" t="s">
        <v>74</v>
      </c>
      <c r="H599" t="s">
        <v>74</v>
      </c>
      <c r="I599" t="s">
        <v>11571</v>
      </c>
      <c r="J599" t="s">
        <v>11572</v>
      </c>
      <c r="K599" t="s">
        <v>74</v>
      </c>
      <c r="L599" t="s">
        <v>74</v>
      </c>
      <c r="M599" t="s">
        <v>78</v>
      </c>
      <c r="N599" t="s">
        <v>99</v>
      </c>
      <c r="O599" t="s">
        <v>74</v>
      </c>
      <c r="P599" t="s">
        <v>74</v>
      </c>
      <c r="Q599" t="s">
        <v>74</v>
      </c>
      <c r="R599" t="s">
        <v>74</v>
      </c>
      <c r="S599" t="s">
        <v>74</v>
      </c>
      <c r="T599" t="s">
        <v>74</v>
      </c>
      <c r="U599" t="s">
        <v>11573</v>
      </c>
      <c r="V599" t="s">
        <v>11574</v>
      </c>
      <c r="W599" t="s">
        <v>11575</v>
      </c>
      <c r="X599" t="s">
        <v>11576</v>
      </c>
      <c r="Y599" t="s">
        <v>11577</v>
      </c>
      <c r="Z599" t="s">
        <v>11578</v>
      </c>
      <c r="AA599" t="s">
        <v>11579</v>
      </c>
      <c r="AB599" t="s">
        <v>11580</v>
      </c>
      <c r="AC599" t="s">
        <v>11581</v>
      </c>
      <c r="AD599" t="s">
        <v>11582</v>
      </c>
      <c r="AE599" t="s">
        <v>11583</v>
      </c>
      <c r="AF599" t="s">
        <v>74</v>
      </c>
      <c r="AG599">
        <v>39</v>
      </c>
      <c r="AH599">
        <v>83</v>
      </c>
      <c r="AI599">
        <v>88</v>
      </c>
      <c r="AJ599">
        <v>2</v>
      </c>
      <c r="AK599">
        <v>96</v>
      </c>
      <c r="AL599" t="s">
        <v>2666</v>
      </c>
      <c r="AM599" t="s">
        <v>6414</v>
      </c>
      <c r="AN599" t="s">
        <v>6415</v>
      </c>
      <c r="AO599" t="s">
        <v>11584</v>
      </c>
      <c r="AP599" t="s">
        <v>11585</v>
      </c>
      <c r="AQ599" t="s">
        <v>74</v>
      </c>
      <c r="AR599" t="s">
        <v>11572</v>
      </c>
      <c r="AS599" t="s">
        <v>11586</v>
      </c>
      <c r="AT599" t="s">
        <v>9658</v>
      </c>
      <c r="AU599">
        <v>2014</v>
      </c>
      <c r="AV599">
        <v>127</v>
      </c>
      <c r="AW599" t="s">
        <v>11587</v>
      </c>
      <c r="AX599" t="s">
        <v>74</v>
      </c>
      <c r="AY599" t="s">
        <v>74</v>
      </c>
      <c r="AZ599" t="s">
        <v>74</v>
      </c>
      <c r="BA599" t="s">
        <v>74</v>
      </c>
      <c r="BB599">
        <v>505</v>
      </c>
      <c r="BC599">
        <v>520</v>
      </c>
      <c r="BD599" t="s">
        <v>74</v>
      </c>
      <c r="BE599" t="s">
        <v>11588</v>
      </c>
      <c r="BF599" t="str">
        <f>HYPERLINK("http://dx.doi.org/10.1007/s10584-014-1284-z","http://dx.doi.org/10.1007/s10584-014-1284-z")</f>
        <v>http://dx.doi.org/10.1007/s10584-014-1284-z</v>
      </c>
      <c r="BG599" t="s">
        <v>74</v>
      </c>
      <c r="BH599" t="s">
        <v>74</v>
      </c>
      <c r="BI599">
        <v>16</v>
      </c>
      <c r="BJ599" t="s">
        <v>497</v>
      </c>
      <c r="BK599" t="s">
        <v>91</v>
      </c>
      <c r="BL599" t="s">
        <v>498</v>
      </c>
      <c r="BM599" t="s">
        <v>11589</v>
      </c>
      <c r="BN599" t="s">
        <v>74</v>
      </c>
      <c r="BO599" t="s">
        <v>574</v>
      </c>
      <c r="BP599" t="s">
        <v>74</v>
      </c>
      <c r="BQ599" t="s">
        <v>74</v>
      </c>
      <c r="BR599" t="s">
        <v>93</v>
      </c>
      <c r="BS599" t="s">
        <v>11590</v>
      </c>
      <c r="BT599" t="str">
        <f>HYPERLINK("https%3A%2F%2Fwww.webofscience.com%2Fwos%2Fwoscc%2Ffull-record%2FWOS:000345372000010","View Full Record in Web of Science")</f>
        <v>View Full Record in Web of Science</v>
      </c>
    </row>
    <row r="600" spans="1:72" x14ac:dyDescent="0.15">
      <c r="A600" t="s">
        <v>72</v>
      </c>
      <c r="B600" t="s">
        <v>11591</v>
      </c>
      <c r="C600" t="s">
        <v>74</v>
      </c>
      <c r="D600" t="s">
        <v>74</v>
      </c>
      <c r="E600" t="s">
        <v>74</v>
      </c>
      <c r="F600" t="s">
        <v>11592</v>
      </c>
      <c r="G600" t="s">
        <v>74</v>
      </c>
      <c r="H600" t="s">
        <v>74</v>
      </c>
      <c r="I600" t="s">
        <v>11593</v>
      </c>
      <c r="J600" t="s">
        <v>11594</v>
      </c>
      <c r="K600" t="s">
        <v>74</v>
      </c>
      <c r="L600" t="s">
        <v>74</v>
      </c>
      <c r="M600" t="s">
        <v>78</v>
      </c>
      <c r="N600" t="s">
        <v>99</v>
      </c>
      <c r="O600" t="s">
        <v>74</v>
      </c>
      <c r="P600" t="s">
        <v>74</v>
      </c>
      <c r="Q600" t="s">
        <v>74</v>
      </c>
      <c r="R600" t="s">
        <v>74</v>
      </c>
      <c r="S600" t="s">
        <v>74</v>
      </c>
      <c r="T600" t="s">
        <v>11595</v>
      </c>
      <c r="U600" t="s">
        <v>11596</v>
      </c>
      <c r="V600" t="s">
        <v>11597</v>
      </c>
      <c r="W600" t="s">
        <v>11598</v>
      </c>
      <c r="X600" t="s">
        <v>11599</v>
      </c>
      <c r="Y600" t="s">
        <v>11600</v>
      </c>
      <c r="Z600" t="s">
        <v>11601</v>
      </c>
      <c r="AA600" t="s">
        <v>74</v>
      </c>
      <c r="AB600" t="s">
        <v>11602</v>
      </c>
      <c r="AC600" t="s">
        <v>74</v>
      </c>
      <c r="AD600" t="s">
        <v>74</v>
      </c>
      <c r="AE600" t="s">
        <v>74</v>
      </c>
      <c r="AF600" t="s">
        <v>74</v>
      </c>
      <c r="AG600">
        <v>37</v>
      </c>
      <c r="AH600">
        <v>15</v>
      </c>
      <c r="AI600">
        <v>17</v>
      </c>
      <c r="AJ600">
        <v>1</v>
      </c>
      <c r="AK600">
        <v>52</v>
      </c>
      <c r="AL600" t="s">
        <v>4624</v>
      </c>
      <c r="AM600" t="s">
        <v>2007</v>
      </c>
      <c r="AN600" t="s">
        <v>2008</v>
      </c>
      <c r="AO600" t="s">
        <v>11603</v>
      </c>
      <c r="AP600" t="s">
        <v>11604</v>
      </c>
      <c r="AQ600" t="s">
        <v>74</v>
      </c>
      <c r="AR600" t="s">
        <v>11605</v>
      </c>
      <c r="AS600" t="s">
        <v>11606</v>
      </c>
      <c r="AT600" t="s">
        <v>9658</v>
      </c>
      <c r="AU600">
        <v>2014</v>
      </c>
      <c r="AV600">
        <v>28</v>
      </c>
      <c r="AW600">
        <v>6</v>
      </c>
      <c r="AX600" t="s">
        <v>74</v>
      </c>
      <c r="AY600" t="s">
        <v>74</v>
      </c>
      <c r="AZ600" t="s">
        <v>74</v>
      </c>
      <c r="BA600" t="s">
        <v>74</v>
      </c>
      <c r="BB600">
        <v>1731</v>
      </c>
      <c r="BC600">
        <v>1735</v>
      </c>
      <c r="BD600" t="s">
        <v>74</v>
      </c>
      <c r="BE600" t="s">
        <v>11607</v>
      </c>
      <c r="BF600" t="str">
        <f>HYPERLINK("http://dx.doi.org/10.1111/cobi.12367","http://dx.doi.org/10.1111/cobi.12367")</f>
        <v>http://dx.doi.org/10.1111/cobi.12367</v>
      </c>
      <c r="BG600" t="s">
        <v>74</v>
      </c>
      <c r="BH600" t="s">
        <v>74</v>
      </c>
      <c r="BI600">
        <v>5</v>
      </c>
      <c r="BJ600" t="s">
        <v>11608</v>
      </c>
      <c r="BK600" t="s">
        <v>91</v>
      </c>
      <c r="BL600" t="s">
        <v>3476</v>
      </c>
      <c r="BM600" t="s">
        <v>11609</v>
      </c>
      <c r="BN600">
        <v>25103277</v>
      </c>
      <c r="BO600" t="s">
        <v>74</v>
      </c>
      <c r="BP600" t="s">
        <v>74</v>
      </c>
      <c r="BQ600" t="s">
        <v>74</v>
      </c>
      <c r="BR600" t="s">
        <v>93</v>
      </c>
      <c r="BS600" t="s">
        <v>11610</v>
      </c>
      <c r="BT600" t="str">
        <f>HYPERLINK("https%3A%2F%2Fwww.webofscience.com%2Fwos%2Fwoscc%2Ffull-record%2FWOS:000344794200030","View Full Record in Web of Science")</f>
        <v>View Full Record in Web of Science</v>
      </c>
    </row>
    <row r="601" spans="1:72" x14ac:dyDescent="0.15">
      <c r="A601" t="s">
        <v>72</v>
      </c>
      <c r="B601" t="s">
        <v>11611</v>
      </c>
      <c r="C601" t="s">
        <v>74</v>
      </c>
      <c r="D601" t="s">
        <v>74</v>
      </c>
      <c r="E601" t="s">
        <v>74</v>
      </c>
      <c r="F601" t="s">
        <v>11612</v>
      </c>
      <c r="G601" t="s">
        <v>74</v>
      </c>
      <c r="H601" t="s">
        <v>74</v>
      </c>
      <c r="I601" t="s">
        <v>11613</v>
      </c>
      <c r="J601" t="s">
        <v>11614</v>
      </c>
      <c r="K601" t="s">
        <v>74</v>
      </c>
      <c r="L601" t="s">
        <v>74</v>
      </c>
      <c r="M601" t="s">
        <v>78</v>
      </c>
      <c r="N601" t="s">
        <v>99</v>
      </c>
      <c r="O601" t="s">
        <v>74</v>
      </c>
      <c r="P601" t="s">
        <v>74</v>
      </c>
      <c r="Q601" t="s">
        <v>74</v>
      </c>
      <c r="R601" t="s">
        <v>74</v>
      </c>
      <c r="S601" t="s">
        <v>74</v>
      </c>
      <c r="T601" t="s">
        <v>74</v>
      </c>
      <c r="U601" t="s">
        <v>11615</v>
      </c>
      <c r="V601" t="s">
        <v>11616</v>
      </c>
      <c r="W601" t="s">
        <v>11617</v>
      </c>
      <c r="X601" t="s">
        <v>11618</v>
      </c>
      <c r="Y601" t="s">
        <v>11619</v>
      </c>
      <c r="Z601" t="s">
        <v>11620</v>
      </c>
      <c r="AA601" t="s">
        <v>11621</v>
      </c>
      <c r="AB601" t="s">
        <v>11622</v>
      </c>
      <c r="AC601" t="s">
        <v>11623</v>
      </c>
      <c r="AD601" t="s">
        <v>11624</v>
      </c>
      <c r="AE601" t="s">
        <v>11625</v>
      </c>
      <c r="AF601" t="s">
        <v>74</v>
      </c>
      <c r="AG601">
        <v>44</v>
      </c>
      <c r="AH601">
        <v>100</v>
      </c>
      <c r="AI601">
        <v>108</v>
      </c>
      <c r="AJ601">
        <v>1</v>
      </c>
      <c r="AK601">
        <v>73</v>
      </c>
      <c r="AL601" t="s">
        <v>8514</v>
      </c>
      <c r="AM601" t="s">
        <v>112</v>
      </c>
      <c r="AN601" t="s">
        <v>8515</v>
      </c>
      <c r="AO601" t="s">
        <v>11626</v>
      </c>
      <c r="AP601" t="s">
        <v>11627</v>
      </c>
      <c r="AQ601" t="s">
        <v>74</v>
      </c>
      <c r="AR601" t="s">
        <v>11628</v>
      </c>
      <c r="AS601" t="s">
        <v>11629</v>
      </c>
      <c r="AT601" t="s">
        <v>9961</v>
      </c>
      <c r="AU601">
        <v>2014</v>
      </c>
      <c r="AV601">
        <v>24</v>
      </c>
      <c r="AW601">
        <v>23</v>
      </c>
      <c r="AX601" t="s">
        <v>74</v>
      </c>
      <c r="AY601" t="s">
        <v>74</v>
      </c>
      <c r="AZ601" t="s">
        <v>74</v>
      </c>
      <c r="BA601" t="s">
        <v>74</v>
      </c>
      <c r="BB601">
        <v>2827</v>
      </c>
      <c r="BC601">
        <v>2832</v>
      </c>
      <c r="BD601" t="s">
        <v>74</v>
      </c>
      <c r="BE601" t="s">
        <v>11630</v>
      </c>
      <c r="BF601" t="str">
        <f>HYPERLINK("http://dx.doi.org/10.1016/j.cub.2014.10.016","http://dx.doi.org/10.1016/j.cub.2014.10.016")</f>
        <v>http://dx.doi.org/10.1016/j.cub.2014.10.016</v>
      </c>
      <c r="BG601" t="s">
        <v>74</v>
      </c>
      <c r="BH601" t="s">
        <v>74</v>
      </c>
      <c r="BI601">
        <v>6</v>
      </c>
      <c r="BJ601" t="s">
        <v>11631</v>
      </c>
      <c r="BK601" t="s">
        <v>91</v>
      </c>
      <c r="BL601" t="s">
        <v>11632</v>
      </c>
      <c r="BM601" t="s">
        <v>11633</v>
      </c>
      <c r="BN601">
        <v>25454590</v>
      </c>
      <c r="BO601" t="s">
        <v>134</v>
      </c>
      <c r="BP601" t="s">
        <v>74</v>
      </c>
      <c r="BQ601" t="s">
        <v>74</v>
      </c>
      <c r="BR601" t="s">
        <v>93</v>
      </c>
      <c r="BS601" t="s">
        <v>11634</v>
      </c>
      <c r="BT601" t="str">
        <f>HYPERLINK("https%3A%2F%2Fwww.webofscience.com%2Fwos%2Fwoscc%2Ffull-record%2FWOS:000345808700026","View Full Record in Web of Science")</f>
        <v>View Full Record in Web of Science</v>
      </c>
    </row>
    <row r="602" spans="1:72" x14ac:dyDescent="0.15">
      <c r="A602" t="s">
        <v>72</v>
      </c>
      <c r="B602" t="s">
        <v>11635</v>
      </c>
      <c r="C602" t="s">
        <v>74</v>
      </c>
      <c r="D602" t="s">
        <v>74</v>
      </c>
      <c r="E602" t="s">
        <v>74</v>
      </c>
      <c r="F602" t="s">
        <v>11636</v>
      </c>
      <c r="G602" t="s">
        <v>74</v>
      </c>
      <c r="H602" t="s">
        <v>74</v>
      </c>
      <c r="I602" t="s">
        <v>11637</v>
      </c>
      <c r="J602" t="s">
        <v>2773</v>
      </c>
      <c r="K602" t="s">
        <v>74</v>
      </c>
      <c r="L602" t="s">
        <v>74</v>
      </c>
      <c r="M602" t="s">
        <v>78</v>
      </c>
      <c r="N602" t="s">
        <v>99</v>
      </c>
      <c r="O602" t="s">
        <v>74</v>
      </c>
      <c r="P602" t="s">
        <v>74</v>
      </c>
      <c r="Q602" t="s">
        <v>74</v>
      </c>
      <c r="R602" t="s">
        <v>74</v>
      </c>
      <c r="S602" t="s">
        <v>74</v>
      </c>
      <c r="T602" t="s">
        <v>11638</v>
      </c>
      <c r="U602" t="s">
        <v>11639</v>
      </c>
      <c r="V602" t="s">
        <v>11640</v>
      </c>
      <c r="W602" t="s">
        <v>11641</v>
      </c>
      <c r="X602" t="s">
        <v>11642</v>
      </c>
      <c r="Y602" t="s">
        <v>2883</v>
      </c>
      <c r="Z602" t="s">
        <v>11643</v>
      </c>
      <c r="AA602" t="s">
        <v>11644</v>
      </c>
      <c r="AB602" t="s">
        <v>11645</v>
      </c>
      <c r="AC602" t="s">
        <v>11646</v>
      </c>
      <c r="AD602" t="s">
        <v>11647</v>
      </c>
      <c r="AE602" t="s">
        <v>11648</v>
      </c>
      <c r="AF602" t="s">
        <v>74</v>
      </c>
      <c r="AG602">
        <v>95</v>
      </c>
      <c r="AH602">
        <v>51</v>
      </c>
      <c r="AI602">
        <v>56</v>
      </c>
      <c r="AJ602">
        <v>0</v>
      </c>
      <c r="AK602">
        <v>23</v>
      </c>
      <c r="AL602" t="s">
        <v>1175</v>
      </c>
      <c r="AM602" t="s">
        <v>1176</v>
      </c>
      <c r="AN602" t="s">
        <v>2938</v>
      </c>
      <c r="AO602" t="s">
        <v>2786</v>
      </c>
      <c r="AP602" t="s">
        <v>2787</v>
      </c>
      <c r="AQ602" t="s">
        <v>74</v>
      </c>
      <c r="AR602" t="s">
        <v>2788</v>
      </c>
      <c r="AS602" t="s">
        <v>2789</v>
      </c>
      <c r="AT602" t="s">
        <v>9961</v>
      </c>
      <c r="AU602">
        <v>2014</v>
      </c>
      <c r="AV602">
        <v>407</v>
      </c>
      <c r="AW602" t="s">
        <v>74</v>
      </c>
      <c r="AX602" t="s">
        <v>74</v>
      </c>
      <c r="AY602" t="s">
        <v>74</v>
      </c>
      <c r="AZ602" t="s">
        <v>74</v>
      </c>
      <c r="BA602" t="s">
        <v>74</v>
      </c>
      <c r="BB602">
        <v>48</v>
      </c>
      <c r="BC602">
        <v>60</v>
      </c>
      <c r="BD602" t="s">
        <v>74</v>
      </c>
      <c r="BE602" t="s">
        <v>11649</v>
      </c>
      <c r="BF602" t="str">
        <f>HYPERLINK("http://dx.doi.org/10.1016/j.epsl.2014.09.030","http://dx.doi.org/10.1016/j.epsl.2014.09.030")</f>
        <v>http://dx.doi.org/10.1016/j.epsl.2014.09.030</v>
      </c>
      <c r="BG602" t="s">
        <v>74</v>
      </c>
      <c r="BH602" t="s">
        <v>74</v>
      </c>
      <c r="BI602">
        <v>13</v>
      </c>
      <c r="BJ602" t="s">
        <v>1902</v>
      </c>
      <c r="BK602" t="s">
        <v>91</v>
      </c>
      <c r="BL602" t="s">
        <v>1902</v>
      </c>
      <c r="BM602" t="s">
        <v>11650</v>
      </c>
      <c r="BN602" t="s">
        <v>74</v>
      </c>
      <c r="BO602" t="s">
        <v>74</v>
      </c>
      <c r="BP602" t="s">
        <v>74</v>
      </c>
      <c r="BQ602" t="s">
        <v>74</v>
      </c>
      <c r="BR602" t="s">
        <v>93</v>
      </c>
      <c r="BS602" t="s">
        <v>11651</v>
      </c>
      <c r="BT602" t="str">
        <f>HYPERLINK("https%3A%2F%2Fwww.webofscience.com%2Fwos%2Fwoscc%2Ffull-record%2FWOS:000345179300005","View Full Record in Web of Science")</f>
        <v>View Full Record in Web of Science</v>
      </c>
    </row>
    <row r="603" spans="1:72" x14ac:dyDescent="0.15">
      <c r="A603" t="s">
        <v>72</v>
      </c>
      <c r="B603" t="s">
        <v>11652</v>
      </c>
      <c r="C603" t="s">
        <v>74</v>
      </c>
      <c r="D603" t="s">
        <v>74</v>
      </c>
      <c r="E603" t="s">
        <v>74</v>
      </c>
      <c r="F603" t="s">
        <v>11653</v>
      </c>
      <c r="G603" t="s">
        <v>74</v>
      </c>
      <c r="H603" t="s">
        <v>74</v>
      </c>
      <c r="I603" t="s">
        <v>11654</v>
      </c>
      <c r="J603" t="s">
        <v>2773</v>
      </c>
      <c r="K603" t="s">
        <v>74</v>
      </c>
      <c r="L603" t="s">
        <v>74</v>
      </c>
      <c r="M603" t="s">
        <v>78</v>
      </c>
      <c r="N603" t="s">
        <v>99</v>
      </c>
      <c r="O603" t="s">
        <v>74</v>
      </c>
      <c r="P603" t="s">
        <v>74</v>
      </c>
      <c r="Q603" t="s">
        <v>74</v>
      </c>
      <c r="R603" t="s">
        <v>74</v>
      </c>
      <c r="S603" t="s">
        <v>74</v>
      </c>
      <c r="T603" t="s">
        <v>11655</v>
      </c>
      <c r="U603" t="s">
        <v>11656</v>
      </c>
      <c r="V603" t="s">
        <v>11657</v>
      </c>
      <c r="W603" t="s">
        <v>11658</v>
      </c>
      <c r="X603" t="s">
        <v>11659</v>
      </c>
      <c r="Y603" t="s">
        <v>11660</v>
      </c>
      <c r="Z603" t="s">
        <v>11661</v>
      </c>
      <c r="AA603" t="s">
        <v>11662</v>
      </c>
      <c r="AB603" t="s">
        <v>11663</v>
      </c>
      <c r="AC603" t="s">
        <v>11664</v>
      </c>
      <c r="AD603" t="s">
        <v>11665</v>
      </c>
      <c r="AE603" t="s">
        <v>11666</v>
      </c>
      <c r="AF603" t="s">
        <v>74</v>
      </c>
      <c r="AG603">
        <v>89</v>
      </c>
      <c r="AH603">
        <v>26</v>
      </c>
      <c r="AI603">
        <v>29</v>
      </c>
      <c r="AJ603">
        <v>2</v>
      </c>
      <c r="AK603">
        <v>31</v>
      </c>
      <c r="AL603" t="s">
        <v>2640</v>
      </c>
      <c r="AM603" t="s">
        <v>1176</v>
      </c>
      <c r="AN603" t="s">
        <v>2641</v>
      </c>
      <c r="AO603" t="s">
        <v>2786</v>
      </c>
      <c r="AP603" t="s">
        <v>2787</v>
      </c>
      <c r="AQ603" t="s">
        <v>74</v>
      </c>
      <c r="AR603" t="s">
        <v>2788</v>
      </c>
      <c r="AS603" t="s">
        <v>2789</v>
      </c>
      <c r="AT603" t="s">
        <v>9961</v>
      </c>
      <c r="AU603">
        <v>2014</v>
      </c>
      <c r="AV603">
        <v>407</v>
      </c>
      <c r="AW603" t="s">
        <v>74</v>
      </c>
      <c r="AX603" t="s">
        <v>74</v>
      </c>
      <c r="AY603" t="s">
        <v>74</v>
      </c>
      <c r="AZ603" t="s">
        <v>74</v>
      </c>
      <c r="BA603" t="s">
        <v>74</v>
      </c>
      <c r="BB603">
        <v>109</v>
      </c>
      <c r="BC603">
        <v>122</v>
      </c>
      <c r="BD603" t="s">
        <v>74</v>
      </c>
      <c r="BE603" t="s">
        <v>11667</v>
      </c>
      <c r="BF603" t="str">
        <f>HYPERLINK("http://dx.doi.org/10.1016/j.epsl.2014.09.023","http://dx.doi.org/10.1016/j.epsl.2014.09.023")</f>
        <v>http://dx.doi.org/10.1016/j.epsl.2014.09.023</v>
      </c>
      <c r="BG603" t="s">
        <v>74</v>
      </c>
      <c r="BH603" t="s">
        <v>74</v>
      </c>
      <c r="BI603">
        <v>14</v>
      </c>
      <c r="BJ603" t="s">
        <v>1902</v>
      </c>
      <c r="BK603" t="s">
        <v>91</v>
      </c>
      <c r="BL603" t="s">
        <v>1902</v>
      </c>
      <c r="BM603" t="s">
        <v>11650</v>
      </c>
      <c r="BN603" t="s">
        <v>74</v>
      </c>
      <c r="BO603" t="s">
        <v>74</v>
      </c>
      <c r="BP603" t="s">
        <v>74</v>
      </c>
      <c r="BQ603" t="s">
        <v>74</v>
      </c>
      <c r="BR603" t="s">
        <v>93</v>
      </c>
      <c r="BS603" t="s">
        <v>11668</v>
      </c>
      <c r="BT603" t="str">
        <f>HYPERLINK("https%3A%2F%2Fwww.webofscience.com%2Fwos%2Fwoscc%2Ffull-record%2FWOS:000345179300010","View Full Record in Web of Science")</f>
        <v>View Full Record in Web of Science</v>
      </c>
    </row>
    <row r="604" spans="1:72" x14ac:dyDescent="0.15">
      <c r="A604" t="s">
        <v>72</v>
      </c>
      <c r="B604" t="s">
        <v>11669</v>
      </c>
      <c r="C604" t="s">
        <v>74</v>
      </c>
      <c r="D604" t="s">
        <v>74</v>
      </c>
      <c r="E604" t="s">
        <v>74</v>
      </c>
      <c r="F604" t="s">
        <v>11670</v>
      </c>
      <c r="G604" t="s">
        <v>74</v>
      </c>
      <c r="H604" t="s">
        <v>74</v>
      </c>
      <c r="I604" t="s">
        <v>11671</v>
      </c>
      <c r="J604" t="s">
        <v>11672</v>
      </c>
      <c r="K604" t="s">
        <v>74</v>
      </c>
      <c r="L604" t="s">
        <v>74</v>
      </c>
      <c r="M604" t="s">
        <v>78</v>
      </c>
      <c r="N604" t="s">
        <v>99</v>
      </c>
      <c r="O604" t="s">
        <v>74</v>
      </c>
      <c r="P604" t="s">
        <v>74</v>
      </c>
      <c r="Q604" t="s">
        <v>74</v>
      </c>
      <c r="R604" t="s">
        <v>74</v>
      </c>
      <c r="S604" t="s">
        <v>74</v>
      </c>
      <c r="T604" t="s">
        <v>11673</v>
      </c>
      <c r="U604" t="s">
        <v>11674</v>
      </c>
      <c r="V604" t="s">
        <v>11675</v>
      </c>
      <c r="W604" t="s">
        <v>11676</v>
      </c>
      <c r="X604" t="s">
        <v>11677</v>
      </c>
      <c r="Y604" t="s">
        <v>11678</v>
      </c>
      <c r="Z604" t="s">
        <v>11679</v>
      </c>
      <c r="AA604" t="s">
        <v>7974</v>
      </c>
      <c r="AB604" t="s">
        <v>11680</v>
      </c>
      <c r="AC604" t="s">
        <v>11681</v>
      </c>
      <c r="AD604" t="s">
        <v>11682</v>
      </c>
      <c r="AE604" t="s">
        <v>11683</v>
      </c>
      <c r="AF604" t="s">
        <v>74</v>
      </c>
      <c r="AG604">
        <v>17</v>
      </c>
      <c r="AH604">
        <v>7</v>
      </c>
      <c r="AI604">
        <v>7</v>
      </c>
      <c r="AJ604">
        <v>0</v>
      </c>
      <c r="AK604">
        <v>21</v>
      </c>
      <c r="AL604" t="s">
        <v>4624</v>
      </c>
      <c r="AM604" t="s">
        <v>2007</v>
      </c>
      <c r="AN604" t="s">
        <v>2008</v>
      </c>
      <c r="AO604" t="s">
        <v>11684</v>
      </c>
      <c r="AP604" t="s">
        <v>11685</v>
      </c>
      <c r="AQ604" t="s">
        <v>74</v>
      </c>
      <c r="AR604" t="s">
        <v>11686</v>
      </c>
      <c r="AS604" t="s">
        <v>11687</v>
      </c>
      <c r="AT604" t="s">
        <v>9658</v>
      </c>
      <c r="AU604">
        <v>2014</v>
      </c>
      <c r="AV604">
        <v>39</v>
      </c>
      <c r="AW604">
        <v>6</v>
      </c>
      <c r="AX604" t="s">
        <v>74</v>
      </c>
      <c r="AY604" t="s">
        <v>74</v>
      </c>
      <c r="AZ604" t="s">
        <v>74</v>
      </c>
      <c r="BA604" t="s">
        <v>74</v>
      </c>
      <c r="BB604">
        <v>732</v>
      </c>
      <c r="BC604">
        <v>735</v>
      </c>
      <c r="BD604" t="s">
        <v>74</v>
      </c>
      <c r="BE604" t="s">
        <v>11688</v>
      </c>
      <c r="BF604" t="str">
        <f>HYPERLINK("http://dx.doi.org/10.1111/een.12147","http://dx.doi.org/10.1111/een.12147")</f>
        <v>http://dx.doi.org/10.1111/een.12147</v>
      </c>
      <c r="BG604" t="s">
        <v>74</v>
      </c>
      <c r="BH604" t="s">
        <v>74</v>
      </c>
      <c r="BI604">
        <v>4</v>
      </c>
      <c r="BJ604" t="s">
        <v>1254</v>
      </c>
      <c r="BK604" t="s">
        <v>91</v>
      </c>
      <c r="BL604" t="s">
        <v>1254</v>
      </c>
      <c r="BM604" t="s">
        <v>11689</v>
      </c>
      <c r="BN604" t="s">
        <v>74</v>
      </c>
      <c r="BO604" t="s">
        <v>4631</v>
      </c>
      <c r="BP604" t="s">
        <v>74</v>
      </c>
      <c r="BQ604" t="s">
        <v>74</v>
      </c>
      <c r="BR604" t="s">
        <v>93</v>
      </c>
      <c r="BS604" t="s">
        <v>11690</v>
      </c>
      <c r="BT604" t="str">
        <f>HYPERLINK("https%3A%2F%2Fwww.webofscience.com%2Fwos%2Fwoscc%2Ffull-record%2FWOS:000344625000008","View Full Record in Web of Science")</f>
        <v>View Full Record in Web of Science</v>
      </c>
    </row>
    <row r="605" spans="1:72" x14ac:dyDescent="0.15">
      <c r="A605" t="s">
        <v>72</v>
      </c>
      <c r="B605" t="s">
        <v>11691</v>
      </c>
      <c r="C605" t="s">
        <v>74</v>
      </c>
      <c r="D605" t="s">
        <v>74</v>
      </c>
      <c r="E605" t="s">
        <v>74</v>
      </c>
      <c r="F605" t="s">
        <v>11692</v>
      </c>
      <c r="G605" t="s">
        <v>74</v>
      </c>
      <c r="H605" t="s">
        <v>74</v>
      </c>
      <c r="I605" t="s">
        <v>11693</v>
      </c>
      <c r="J605" t="s">
        <v>2257</v>
      </c>
      <c r="K605" t="s">
        <v>74</v>
      </c>
      <c r="L605" t="s">
        <v>74</v>
      </c>
      <c r="M605" t="s">
        <v>78</v>
      </c>
      <c r="N605" t="s">
        <v>99</v>
      </c>
      <c r="O605" t="s">
        <v>74</v>
      </c>
      <c r="P605" t="s">
        <v>74</v>
      </c>
      <c r="Q605" t="s">
        <v>74</v>
      </c>
      <c r="R605" t="s">
        <v>74</v>
      </c>
      <c r="S605" t="s">
        <v>74</v>
      </c>
      <c r="T605" t="s">
        <v>11694</v>
      </c>
      <c r="U605" t="s">
        <v>11695</v>
      </c>
      <c r="V605" t="s">
        <v>11696</v>
      </c>
      <c r="W605" t="s">
        <v>11697</v>
      </c>
      <c r="X605" t="s">
        <v>11698</v>
      </c>
      <c r="Y605" t="s">
        <v>11699</v>
      </c>
      <c r="Z605" t="s">
        <v>11700</v>
      </c>
      <c r="AA605" t="s">
        <v>11701</v>
      </c>
      <c r="AB605" t="s">
        <v>11702</v>
      </c>
      <c r="AC605" t="s">
        <v>11703</v>
      </c>
      <c r="AD605" t="s">
        <v>11704</v>
      </c>
      <c r="AE605" t="s">
        <v>11705</v>
      </c>
      <c r="AF605" t="s">
        <v>74</v>
      </c>
      <c r="AG605">
        <v>85</v>
      </c>
      <c r="AH605">
        <v>34</v>
      </c>
      <c r="AI605">
        <v>39</v>
      </c>
      <c r="AJ605">
        <v>5</v>
      </c>
      <c r="AK605">
        <v>63</v>
      </c>
      <c r="AL605" t="s">
        <v>2006</v>
      </c>
      <c r="AM605" t="s">
        <v>2007</v>
      </c>
      <c r="AN605" t="s">
        <v>2008</v>
      </c>
      <c r="AO605" t="s">
        <v>2269</v>
      </c>
      <c r="AP605" t="s">
        <v>74</v>
      </c>
      <c r="AQ605" t="s">
        <v>74</v>
      </c>
      <c r="AR605" t="s">
        <v>2270</v>
      </c>
      <c r="AS605" t="s">
        <v>2271</v>
      </c>
      <c r="AT605" t="s">
        <v>9658</v>
      </c>
      <c r="AU605">
        <v>2014</v>
      </c>
      <c r="AV605">
        <v>4</v>
      </c>
      <c r="AW605">
        <v>24</v>
      </c>
      <c r="AX605" t="s">
        <v>74</v>
      </c>
      <c r="AY605" t="s">
        <v>74</v>
      </c>
      <c r="AZ605" t="s">
        <v>74</v>
      </c>
      <c r="BA605" t="s">
        <v>74</v>
      </c>
      <c r="BB605">
        <v>4798</v>
      </c>
      <c r="BC605">
        <v>4811</v>
      </c>
      <c r="BD605" t="s">
        <v>74</v>
      </c>
      <c r="BE605" t="s">
        <v>11706</v>
      </c>
      <c r="BF605" t="str">
        <f>HYPERLINK("http://dx.doi.org/10.1002/ece3.1319","http://dx.doi.org/10.1002/ece3.1319")</f>
        <v>http://dx.doi.org/10.1002/ece3.1319</v>
      </c>
      <c r="BG605" t="s">
        <v>74</v>
      </c>
      <c r="BH605" t="s">
        <v>74</v>
      </c>
      <c r="BI605">
        <v>14</v>
      </c>
      <c r="BJ605" t="s">
        <v>2273</v>
      </c>
      <c r="BK605" t="s">
        <v>91</v>
      </c>
      <c r="BL605" t="s">
        <v>2274</v>
      </c>
      <c r="BM605" t="s">
        <v>11707</v>
      </c>
      <c r="BN605">
        <v>25558370</v>
      </c>
      <c r="BO605" t="s">
        <v>4229</v>
      </c>
      <c r="BP605" t="s">
        <v>74</v>
      </c>
      <c r="BQ605" t="s">
        <v>74</v>
      </c>
      <c r="BR605" t="s">
        <v>93</v>
      </c>
      <c r="BS605" t="s">
        <v>11708</v>
      </c>
      <c r="BT605" t="str">
        <f>HYPERLINK("https%3A%2F%2Fwww.webofscience.com%2Fwos%2Fwoscc%2Ffull-record%2FWOS:000346736200019","View Full Record in Web of Science")</f>
        <v>View Full Record in Web of Science</v>
      </c>
    </row>
    <row r="606" spans="1:72" x14ac:dyDescent="0.15">
      <c r="A606" t="s">
        <v>72</v>
      </c>
      <c r="B606" t="s">
        <v>11709</v>
      </c>
      <c r="C606" t="s">
        <v>74</v>
      </c>
      <c r="D606" t="s">
        <v>74</v>
      </c>
      <c r="E606" t="s">
        <v>74</v>
      </c>
      <c r="F606" t="s">
        <v>11710</v>
      </c>
      <c r="G606" t="s">
        <v>74</v>
      </c>
      <c r="H606" t="s">
        <v>74</v>
      </c>
      <c r="I606" t="s">
        <v>11711</v>
      </c>
      <c r="J606" t="s">
        <v>5908</v>
      </c>
      <c r="K606" t="s">
        <v>74</v>
      </c>
      <c r="L606" t="s">
        <v>74</v>
      </c>
      <c r="M606" t="s">
        <v>78</v>
      </c>
      <c r="N606" t="s">
        <v>99</v>
      </c>
      <c r="O606" t="s">
        <v>74</v>
      </c>
      <c r="P606" t="s">
        <v>74</v>
      </c>
      <c r="Q606" t="s">
        <v>74</v>
      </c>
      <c r="R606" t="s">
        <v>74</v>
      </c>
      <c r="S606" t="s">
        <v>74</v>
      </c>
      <c r="T606" t="s">
        <v>11712</v>
      </c>
      <c r="U606" t="s">
        <v>11713</v>
      </c>
      <c r="V606" t="s">
        <v>11714</v>
      </c>
      <c r="W606" t="s">
        <v>11715</v>
      </c>
      <c r="X606" t="s">
        <v>11716</v>
      </c>
      <c r="Y606" t="s">
        <v>11717</v>
      </c>
      <c r="Z606" t="s">
        <v>11718</v>
      </c>
      <c r="AA606" t="s">
        <v>11719</v>
      </c>
      <c r="AB606" t="s">
        <v>11720</v>
      </c>
      <c r="AC606" t="s">
        <v>11721</v>
      </c>
      <c r="AD606" t="s">
        <v>11722</v>
      </c>
      <c r="AE606" t="s">
        <v>11723</v>
      </c>
      <c r="AF606" t="s">
        <v>74</v>
      </c>
      <c r="AG606">
        <v>63</v>
      </c>
      <c r="AH606">
        <v>13</v>
      </c>
      <c r="AI606">
        <v>15</v>
      </c>
      <c r="AJ606">
        <v>3</v>
      </c>
      <c r="AK606">
        <v>60</v>
      </c>
      <c r="AL606" t="s">
        <v>1895</v>
      </c>
      <c r="AM606" t="s">
        <v>1411</v>
      </c>
      <c r="AN606" t="s">
        <v>1896</v>
      </c>
      <c r="AO606" t="s">
        <v>5921</v>
      </c>
      <c r="AP606" t="s">
        <v>5922</v>
      </c>
      <c r="AQ606" t="s">
        <v>74</v>
      </c>
      <c r="AR606" t="s">
        <v>5923</v>
      </c>
      <c r="AS606" t="s">
        <v>5924</v>
      </c>
      <c r="AT606" t="s">
        <v>9658</v>
      </c>
      <c r="AU606">
        <v>2014</v>
      </c>
      <c r="AV606">
        <v>90</v>
      </c>
      <c r="AW606">
        <v>3</v>
      </c>
      <c r="AX606" t="s">
        <v>74</v>
      </c>
      <c r="AY606" t="s">
        <v>74</v>
      </c>
      <c r="AZ606" t="s">
        <v>74</v>
      </c>
      <c r="BA606" t="s">
        <v>74</v>
      </c>
      <c r="BB606">
        <v>869</v>
      </c>
      <c r="BC606">
        <v>882</v>
      </c>
      <c r="BD606" t="s">
        <v>74</v>
      </c>
      <c r="BE606" t="s">
        <v>11724</v>
      </c>
      <c r="BF606" t="str">
        <f>HYPERLINK("http://dx.doi.org/10.1111/1574-6941.12443","http://dx.doi.org/10.1111/1574-6941.12443")</f>
        <v>http://dx.doi.org/10.1111/1574-6941.12443</v>
      </c>
      <c r="BG606" t="s">
        <v>74</v>
      </c>
      <c r="BH606" t="s">
        <v>74</v>
      </c>
      <c r="BI606">
        <v>14</v>
      </c>
      <c r="BJ606" t="s">
        <v>5926</v>
      </c>
      <c r="BK606" t="s">
        <v>91</v>
      </c>
      <c r="BL606" t="s">
        <v>5926</v>
      </c>
      <c r="BM606" t="s">
        <v>11725</v>
      </c>
      <c r="BN606">
        <v>25319134</v>
      </c>
      <c r="BO606" t="s">
        <v>375</v>
      </c>
      <c r="BP606" t="s">
        <v>74</v>
      </c>
      <c r="BQ606" t="s">
        <v>74</v>
      </c>
      <c r="BR606" t="s">
        <v>93</v>
      </c>
      <c r="BS606" t="s">
        <v>11726</v>
      </c>
      <c r="BT606" t="str">
        <f>HYPERLINK("https%3A%2F%2Fwww.webofscience.com%2Fwos%2Fwoscc%2Ffull-record%2FWOS:000346057900028","View Full Record in Web of Science")</f>
        <v>View Full Record in Web of Science</v>
      </c>
    </row>
    <row r="607" spans="1:72" x14ac:dyDescent="0.15">
      <c r="A607" t="s">
        <v>72</v>
      </c>
      <c r="B607" t="s">
        <v>11727</v>
      </c>
      <c r="C607" t="s">
        <v>74</v>
      </c>
      <c r="D607" t="s">
        <v>74</v>
      </c>
      <c r="E607" t="s">
        <v>74</v>
      </c>
      <c r="F607" t="s">
        <v>11728</v>
      </c>
      <c r="G607" t="s">
        <v>74</v>
      </c>
      <c r="H607" t="s">
        <v>74</v>
      </c>
      <c r="I607" t="s">
        <v>11729</v>
      </c>
      <c r="J607" t="s">
        <v>11730</v>
      </c>
      <c r="K607" t="s">
        <v>74</v>
      </c>
      <c r="L607" t="s">
        <v>74</v>
      </c>
      <c r="M607" t="s">
        <v>78</v>
      </c>
      <c r="N607" t="s">
        <v>99</v>
      </c>
      <c r="O607" t="s">
        <v>74</v>
      </c>
      <c r="P607" t="s">
        <v>74</v>
      </c>
      <c r="Q607" t="s">
        <v>74</v>
      </c>
      <c r="R607" t="s">
        <v>74</v>
      </c>
      <c r="S607" t="s">
        <v>74</v>
      </c>
      <c r="T607" t="s">
        <v>11731</v>
      </c>
      <c r="U607" t="s">
        <v>11732</v>
      </c>
      <c r="V607" t="s">
        <v>11733</v>
      </c>
      <c r="W607" t="s">
        <v>11734</v>
      </c>
      <c r="X607" t="s">
        <v>11735</v>
      </c>
      <c r="Y607" t="s">
        <v>11736</v>
      </c>
      <c r="Z607" t="s">
        <v>11737</v>
      </c>
      <c r="AA607" t="s">
        <v>11738</v>
      </c>
      <c r="AB607" t="s">
        <v>11739</v>
      </c>
      <c r="AC607" t="s">
        <v>11740</v>
      </c>
      <c r="AD607" t="s">
        <v>11741</v>
      </c>
      <c r="AE607" t="s">
        <v>11742</v>
      </c>
      <c r="AF607" t="s">
        <v>74</v>
      </c>
      <c r="AG607">
        <v>66</v>
      </c>
      <c r="AH607">
        <v>24</v>
      </c>
      <c r="AI607">
        <v>24</v>
      </c>
      <c r="AJ607">
        <v>0</v>
      </c>
      <c r="AK607">
        <v>12</v>
      </c>
      <c r="AL607" t="s">
        <v>2132</v>
      </c>
      <c r="AM607" t="s">
        <v>342</v>
      </c>
      <c r="AN607" t="s">
        <v>2133</v>
      </c>
      <c r="AO607" t="s">
        <v>11743</v>
      </c>
      <c r="AP607" t="s">
        <v>11744</v>
      </c>
      <c r="AQ607" t="s">
        <v>74</v>
      </c>
      <c r="AR607" t="s">
        <v>11745</v>
      </c>
      <c r="AS607" t="s">
        <v>11746</v>
      </c>
      <c r="AT607" t="s">
        <v>9658</v>
      </c>
      <c r="AU607">
        <v>2014</v>
      </c>
      <c r="AV607">
        <v>52</v>
      </c>
      <c r="AW607">
        <v>12</v>
      </c>
      <c r="AX607" t="s">
        <v>74</v>
      </c>
      <c r="AY607" t="s">
        <v>74</v>
      </c>
      <c r="AZ607" t="s">
        <v>74</v>
      </c>
      <c r="BA607" t="s">
        <v>74</v>
      </c>
      <c r="BB607">
        <v>1030</v>
      </c>
      <c r="BC607">
        <v>1048</v>
      </c>
      <c r="BD607" t="s">
        <v>74</v>
      </c>
      <c r="BE607" t="s">
        <v>11747</v>
      </c>
      <c r="BF607" t="str">
        <f>HYPERLINK("http://dx.doi.org/10.1134/S0016702914120106","http://dx.doi.org/10.1134/S0016702914120106")</f>
        <v>http://dx.doi.org/10.1134/S0016702914120106</v>
      </c>
      <c r="BG607" t="s">
        <v>74</v>
      </c>
      <c r="BH607" t="s">
        <v>74</v>
      </c>
      <c r="BI607">
        <v>19</v>
      </c>
      <c r="BJ607" t="s">
        <v>1902</v>
      </c>
      <c r="BK607" t="s">
        <v>91</v>
      </c>
      <c r="BL607" t="s">
        <v>1902</v>
      </c>
      <c r="BM607" t="s">
        <v>11748</v>
      </c>
      <c r="BN607" t="s">
        <v>74</v>
      </c>
      <c r="BO607" t="s">
        <v>74</v>
      </c>
      <c r="BP607" t="s">
        <v>74</v>
      </c>
      <c r="BQ607" t="s">
        <v>74</v>
      </c>
      <c r="BR607" t="s">
        <v>93</v>
      </c>
      <c r="BS607" t="s">
        <v>11749</v>
      </c>
      <c r="BT607" t="str">
        <f>HYPERLINK("https%3A%2F%2Fwww.webofscience.com%2Fwos%2Fwoscc%2Ffull-record%2FWOS:000345407300002","View Full Record in Web of Science")</f>
        <v>View Full Record in Web of Science</v>
      </c>
    </row>
    <row r="608" spans="1:72" x14ac:dyDescent="0.15">
      <c r="A608" t="s">
        <v>72</v>
      </c>
      <c r="B608" t="s">
        <v>11750</v>
      </c>
      <c r="C608" t="s">
        <v>74</v>
      </c>
      <c r="D608" t="s">
        <v>74</v>
      </c>
      <c r="E608" t="s">
        <v>74</v>
      </c>
      <c r="F608" t="s">
        <v>11751</v>
      </c>
      <c r="G608" t="s">
        <v>74</v>
      </c>
      <c r="H608" t="s">
        <v>74</v>
      </c>
      <c r="I608" t="s">
        <v>11752</v>
      </c>
      <c r="J608" t="s">
        <v>3253</v>
      </c>
      <c r="K608" t="s">
        <v>74</v>
      </c>
      <c r="L608" t="s">
        <v>74</v>
      </c>
      <c r="M608" t="s">
        <v>78</v>
      </c>
      <c r="N608" t="s">
        <v>99</v>
      </c>
      <c r="O608" t="s">
        <v>74</v>
      </c>
      <c r="P608" t="s">
        <v>74</v>
      </c>
      <c r="Q608" t="s">
        <v>74</v>
      </c>
      <c r="R608" t="s">
        <v>74</v>
      </c>
      <c r="S608" t="s">
        <v>74</v>
      </c>
      <c r="T608" t="s">
        <v>74</v>
      </c>
      <c r="U608" t="s">
        <v>11753</v>
      </c>
      <c r="V608" t="s">
        <v>11754</v>
      </c>
      <c r="W608" t="s">
        <v>11755</v>
      </c>
      <c r="X608" t="s">
        <v>11756</v>
      </c>
      <c r="Y608" t="s">
        <v>11757</v>
      </c>
      <c r="Z608" t="s">
        <v>11758</v>
      </c>
      <c r="AA608" t="s">
        <v>11759</v>
      </c>
      <c r="AB608" t="s">
        <v>11760</v>
      </c>
      <c r="AC608" t="s">
        <v>11761</v>
      </c>
      <c r="AD608" t="s">
        <v>11762</v>
      </c>
      <c r="AE608" t="s">
        <v>11763</v>
      </c>
      <c r="AF608" t="s">
        <v>74</v>
      </c>
      <c r="AG608">
        <v>62</v>
      </c>
      <c r="AH608">
        <v>34</v>
      </c>
      <c r="AI608">
        <v>34</v>
      </c>
      <c r="AJ608">
        <v>0</v>
      </c>
      <c r="AK608">
        <v>15</v>
      </c>
      <c r="AL608" t="s">
        <v>2439</v>
      </c>
      <c r="AM608" t="s">
        <v>1411</v>
      </c>
      <c r="AN608" t="s">
        <v>2440</v>
      </c>
      <c r="AO608" t="s">
        <v>3265</v>
      </c>
      <c r="AP608" t="s">
        <v>3266</v>
      </c>
      <c r="AQ608" t="s">
        <v>74</v>
      </c>
      <c r="AR608" t="s">
        <v>3267</v>
      </c>
      <c r="AS608" t="s">
        <v>3268</v>
      </c>
      <c r="AT608" t="s">
        <v>9961</v>
      </c>
      <c r="AU608">
        <v>2014</v>
      </c>
      <c r="AV608">
        <v>146</v>
      </c>
      <c r="AW608" t="s">
        <v>74</v>
      </c>
      <c r="AX608" t="s">
        <v>74</v>
      </c>
      <c r="AY608" t="s">
        <v>74</v>
      </c>
      <c r="AZ608" t="s">
        <v>74</v>
      </c>
      <c r="BA608" t="s">
        <v>74</v>
      </c>
      <c r="BB608">
        <v>18</v>
      </c>
      <c r="BC608">
        <v>26</v>
      </c>
      <c r="BD608" t="s">
        <v>74</v>
      </c>
      <c r="BE608" t="s">
        <v>11764</v>
      </c>
      <c r="BF608" t="str">
        <f>HYPERLINK("http://dx.doi.org/10.1016/j.gca.2014.09.038","http://dx.doi.org/10.1016/j.gca.2014.09.038")</f>
        <v>http://dx.doi.org/10.1016/j.gca.2014.09.038</v>
      </c>
      <c r="BG608" t="s">
        <v>74</v>
      </c>
      <c r="BH608" t="s">
        <v>74</v>
      </c>
      <c r="BI608">
        <v>9</v>
      </c>
      <c r="BJ608" t="s">
        <v>1902</v>
      </c>
      <c r="BK608" t="s">
        <v>91</v>
      </c>
      <c r="BL608" t="s">
        <v>1902</v>
      </c>
      <c r="BM608" t="s">
        <v>11765</v>
      </c>
      <c r="BN608" t="s">
        <v>74</v>
      </c>
      <c r="BO608" t="s">
        <v>74</v>
      </c>
      <c r="BP608" t="s">
        <v>74</v>
      </c>
      <c r="BQ608" t="s">
        <v>74</v>
      </c>
      <c r="BR608" t="s">
        <v>93</v>
      </c>
      <c r="BS608" t="s">
        <v>11766</v>
      </c>
      <c r="BT608" t="str">
        <f>HYPERLINK("https%3A%2F%2Fwww.webofscience.com%2Fwos%2Fwoscc%2Ffull-record%2FWOS:000344946000002","View Full Record in Web of Science")</f>
        <v>View Full Record in Web of Science</v>
      </c>
    </row>
    <row r="609" spans="1:72" x14ac:dyDescent="0.15">
      <c r="A609" t="s">
        <v>72</v>
      </c>
      <c r="B609" t="s">
        <v>11767</v>
      </c>
      <c r="C609" t="s">
        <v>74</v>
      </c>
      <c r="D609" t="s">
        <v>74</v>
      </c>
      <c r="E609" t="s">
        <v>74</v>
      </c>
      <c r="F609" t="s">
        <v>11768</v>
      </c>
      <c r="G609" t="s">
        <v>74</v>
      </c>
      <c r="H609" t="s">
        <v>74</v>
      </c>
      <c r="I609" t="s">
        <v>11769</v>
      </c>
      <c r="J609" t="s">
        <v>9715</v>
      </c>
      <c r="K609" t="s">
        <v>74</v>
      </c>
      <c r="L609" t="s">
        <v>74</v>
      </c>
      <c r="M609" t="s">
        <v>78</v>
      </c>
      <c r="N609" t="s">
        <v>99</v>
      </c>
      <c r="O609" t="s">
        <v>74</v>
      </c>
      <c r="P609" t="s">
        <v>74</v>
      </c>
      <c r="Q609" t="s">
        <v>74</v>
      </c>
      <c r="R609" t="s">
        <v>74</v>
      </c>
      <c r="S609" t="s">
        <v>74</v>
      </c>
      <c r="T609" t="s">
        <v>11770</v>
      </c>
      <c r="U609" t="s">
        <v>11771</v>
      </c>
      <c r="V609" t="s">
        <v>11772</v>
      </c>
      <c r="W609" t="s">
        <v>11773</v>
      </c>
      <c r="X609" t="s">
        <v>11774</v>
      </c>
      <c r="Y609" t="s">
        <v>11775</v>
      </c>
      <c r="Z609" t="s">
        <v>11776</v>
      </c>
      <c r="AA609" t="s">
        <v>11777</v>
      </c>
      <c r="AB609" t="s">
        <v>11778</v>
      </c>
      <c r="AC609" t="s">
        <v>11779</v>
      </c>
      <c r="AD609" t="s">
        <v>11780</v>
      </c>
      <c r="AE609" t="s">
        <v>11781</v>
      </c>
      <c r="AF609" t="s">
        <v>74</v>
      </c>
      <c r="AG609">
        <v>116</v>
      </c>
      <c r="AH609">
        <v>7</v>
      </c>
      <c r="AI609">
        <v>8</v>
      </c>
      <c r="AJ609">
        <v>0</v>
      </c>
      <c r="AK609">
        <v>12</v>
      </c>
      <c r="AL609" t="s">
        <v>2640</v>
      </c>
      <c r="AM609" t="s">
        <v>1176</v>
      </c>
      <c r="AN609" t="s">
        <v>2641</v>
      </c>
      <c r="AO609" t="s">
        <v>9728</v>
      </c>
      <c r="AP609" t="s">
        <v>9729</v>
      </c>
      <c r="AQ609" t="s">
        <v>74</v>
      </c>
      <c r="AR609" t="s">
        <v>9730</v>
      </c>
      <c r="AS609" t="s">
        <v>9731</v>
      </c>
      <c r="AT609" t="s">
        <v>9658</v>
      </c>
      <c r="AU609">
        <v>2014</v>
      </c>
      <c r="AV609">
        <v>123</v>
      </c>
      <c r="AW609" t="s">
        <v>74</v>
      </c>
      <c r="AX609" t="s">
        <v>1395</v>
      </c>
      <c r="AY609" t="s">
        <v>74</v>
      </c>
      <c r="AZ609" t="s">
        <v>1437</v>
      </c>
      <c r="BA609" t="s">
        <v>74</v>
      </c>
      <c r="BB609">
        <v>269</v>
      </c>
      <c r="BC609">
        <v>297</v>
      </c>
      <c r="BD609" t="s">
        <v>74</v>
      </c>
      <c r="BE609" t="s">
        <v>11782</v>
      </c>
      <c r="BF609" t="str">
        <f>HYPERLINK("http://dx.doi.org/10.1016/j.gloplacha.2014.07.023","http://dx.doi.org/10.1016/j.gloplacha.2014.07.023")</f>
        <v>http://dx.doi.org/10.1016/j.gloplacha.2014.07.023</v>
      </c>
      <c r="BG609" t="s">
        <v>74</v>
      </c>
      <c r="BH609" t="s">
        <v>74</v>
      </c>
      <c r="BI609">
        <v>29</v>
      </c>
      <c r="BJ609" t="s">
        <v>372</v>
      </c>
      <c r="BK609" t="s">
        <v>91</v>
      </c>
      <c r="BL609" t="s">
        <v>373</v>
      </c>
      <c r="BM609" t="s">
        <v>9733</v>
      </c>
      <c r="BN609" t="s">
        <v>74</v>
      </c>
      <c r="BO609" t="s">
        <v>74</v>
      </c>
      <c r="BP609" t="s">
        <v>74</v>
      </c>
      <c r="BQ609" t="s">
        <v>74</v>
      </c>
      <c r="BR609" t="s">
        <v>93</v>
      </c>
      <c r="BS609" t="s">
        <v>11783</v>
      </c>
      <c r="BT609" t="str">
        <f>HYPERLINK("https%3A%2F%2Fwww.webofscience.com%2Fwos%2Fwoscc%2Ffull-record%2FWOS:000347592400010","View Full Record in Web of Science")</f>
        <v>View Full Record in Web of Science</v>
      </c>
    </row>
    <row r="610" spans="1:72" x14ac:dyDescent="0.15">
      <c r="A610" t="s">
        <v>72</v>
      </c>
      <c r="B610" t="s">
        <v>11784</v>
      </c>
      <c r="C610" t="s">
        <v>74</v>
      </c>
      <c r="D610" t="s">
        <v>74</v>
      </c>
      <c r="E610" t="s">
        <v>74</v>
      </c>
      <c r="F610" t="s">
        <v>11785</v>
      </c>
      <c r="G610" t="s">
        <v>74</v>
      </c>
      <c r="H610" t="s">
        <v>74</v>
      </c>
      <c r="I610" t="s">
        <v>11786</v>
      </c>
      <c r="J610" t="s">
        <v>9715</v>
      </c>
      <c r="K610" t="s">
        <v>74</v>
      </c>
      <c r="L610" t="s">
        <v>74</v>
      </c>
      <c r="M610" t="s">
        <v>78</v>
      </c>
      <c r="N610" t="s">
        <v>99</v>
      </c>
      <c r="O610" t="s">
        <v>74</v>
      </c>
      <c r="P610" t="s">
        <v>74</v>
      </c>
      <c r="Q610" t="s">
        <v>74</v>
      </c>
      <c r="R610" t="s">
        <v>74</v>
      </c>
      <c r="S610" t="s">
        <v>74</v>
      </c>
      <c r="T610" t="s">
        <v>11787</v>
      </c>
      <c r="U610" t="s">
        <v>11788</v>
      </c>
      <c r="V610" t="s">
        <v>11789</v>
      </c>
      <c r="W610" t="s">
        <v>11790</v>
      </c>
      <c r="X610" t="s">
        <v>11791</v>
      </c>
      <c r="Y610" t="s">
        <v>11792</v>
      </c>
      <c r="Z610" t="s">
        <v>11793</v>
      </c>
      <c r="AA610" t="s">
        <v>11794</v>
      </c>
      <c r="AB610" t="s">
        <v>11795</v>
      </c>
      <c r="AC610" t="s">
        <v>11796</v>
      </c>
      <c r="AD610" t="s">
        <v>11797</v>
      </c>
      <c r="AE610" t="s">
        <v>11798</v>
      </c>
      <c r="AF610" t="s">
        <v>74</v>
      </c>
      <c r="AG610">
        <v>122</v>
      </c>
      <c r="AH610">
        <v>24</v>
      </c>
      <c r="AI610">
        <v>27</v>
      </c>
      <c r="AJ610">
        <v>0</v>
      </c>
      <c r="AK610">
        <v>50</v>
      </c>
      <c r="AL610" t="s">
        <v>1175</v>
      </c>
      <c r="AM610" t="s">
        <v>1176</v>
      </c>
      <c r="AN610" t="s">
        <v>2938</v>
      </c>
      <c r="AO610" t="s">
        <v>9728</v>
      </c>
      <c r="AP610" t="s">
        <v>9729</v>
      </c>
      <c r="AQ610" t="s">
        <v>74</v>
      </c>
      <c r="AR610" t="s">
        <v>9730</v>
      </c>
      <c r="AS610" t="s">
        <v>9731</v>
      </c>
      <c r="AT610" t="s">
        <v>9658</v>
      </c>
      <c r="AU610">
        <v>2014</v>
      </c>
      <c r="AV610">
        <v>123</v>
      </c>
      <c r="AW610" t="s">
        <v>74</v>
      </c>
      <c r="AX610" t="s">
        <v>1395</v>
      </c>
      <c r="AY610" t="s">
        <v>74</v>
      </c>
      <c r="AZ610" t="s">
        <v>1437</v>
      </c>
      <c r="BA610" t="s">
        <v>74</v>
      </c>
      <c r="BB610">
        <v>298</v>
      </c>
      <c r="BC610">
        <v>322</v>
      </c>
      <c r="BD610" t="s">
        <v>74</v>
      </c>
      <c r="BE610" t="s">
        <v>11799</v>
      </c>
      <c r="BF610" t="str">
        <f>HYPERLINK("http://dx.doi.org/10.1016/j.gloplacha.2014.08.017","http://dx.doi.org/10.1016/j.gloplacha.2014.08.017")</f>
        <v>http://dx.doi.org/10.1016/j.gloplacha.2014.08.017</v>
      </c>
      <c r="BG610" t="s">
        <v>74</v>
      </c>
      <c r="BH610" t="s">
        <v>74</v>
      </c>
      <c r="BI610">
        <v>25</v>
      </c>
      <c r="BJ610" t="s">
        <v>372</v>
      </c>
      <c r="BK610" t="s">
        <v>91</v>
      </c>
      <c r="BL610" t="s">
        <v>373</v>
      </c>
      <c r="BM610" t="s">
        <v>9733</v>
      </c>
      <c r="BN610" t="s">
        <v>74</v>
      </c>
      <c r="BO610" t="s">
        <v>2648</v>
      </c>
      <c r="BP610" t="s">
        <v>74</v>
      </c>
      <c r="BQ610" t="s">
        <v>74</v>
      </c>
      <c r="BR610" t="s">
        <v>93</v>
      </c>
      <c r="BS610" t="s">
        <v>11800</v>
      </c>
      <c r="BT610" t="str">
        <f>HYPERLINK("https%3A%2F%2Fwww.webofscience.com%2Fwos%2Fwoscc%2Ffull-record%2FWOS:000347592400011","View Full Record in Web of Science")</f>
        <v>View Full Record in Web of Science</v>
      </c>
    </row>
    <row r="611" spans="1:72" x14ac:dyDescent="0.15">
      <c r="A611" t="s">
        <v>72</v>
      </c>
      <c r="B611" t="s">
        <v>11801</v>
      </c>
      <c r="C611" t="s">
        <v>74</v>
      </c>
      <c r="D611" t="s">
        <v>74</v>
      </c>
      <c r="E611" t="s">
        <v>74</v>
      </c>
      <c r="F611" t="s">
        <v>11802</v>
      </c>
      <c r="G611" t="s">
        <v>74</v>
      </c>
      <c r="H611" t="s">
        <v>74</v>
      </c>
      <c r="I611" t="s">
        <v>11803</v>
      </c>
      <c r="J611" t="s">
        <v>9715</v>
      </c>
      <c r="K611" t="s">
        <v>74</v>
      </c>
      <c r="L611" t="s">
        <v>74</v>
      </c>
      <c r="M611" t="s">
        <v>78</v>
      </c>
      <c r="N611" t="s">
        <v>99</v>
      </c>
      <c r="O611" t="s">
        <v>74</v>
      </c>
      <c r="P611" t="s">
        <v>74</v>
      </c>
      <c r="Q611" t="s">
        <v>74</v>
      </c>
      <c r="R611" t="s">
        <v>74</v>
      </c>
      <c r="S611" t="s">
        <v>74</v>
      </c>
      <c r="T611" t="s">
        <v>11804</v>
      </c>
      <c r="U611" t="s">
        <v>11805</v>
      </c>
      <c r="V611" t="s">
        <v>11806</v>
      </c>
      <c r="W611" t="s">
        <v>11807</v>
      </c>
      <c r="X611" t="s">
        <v>11808</v>
      </c>
      <c r="Y611" t="s">
        <v>11809</v>
      </c>
      <c r="Z611" t="s">
        <v>11810</v>
      </c>
      <c r="AA611" t="s">
        <v>11811</v>
      </c>
      <c r="AB611" t="s">
        <v>11812</v>
      </c>
      <c r="AC611" t="s">
        <v>11813</v>
      </c>
      <c r="AD611" t="s">
        <v>11814</v>
      </c>
      <c r="AE611" t="s">
        <v>11815</v>
      </c>
      <c r="AF611" t="s">
        <v>74</v>
      </c>
      <c r="AG611">
        <v>96</v>
      </c>
      <c r="AH611">
        <v>8</v>
      </c>
      <c r="AI611">
        <v>8</v>
      </c>
      <c r="AJ611">
        <v>0</v>
      </c>
      <c r="AK611">
        <v>19</v>
      </c>
      <c r="AL611" t="s">
        <v>2640</v>
      </c>
      <c r="AM611" t="s">
        <v>1176</v>
      </c>
      <c r="AN611" t="s">
        <v>2641</v>
      </c>
      <c r="AO611" t="s">
        <v>9728</v>
      </c>
      <c r="AP611" t="s">
        <v>9729</v>
      </c>
      <c r="AQ611" t="s">
        <v>74</v>
      </c>
      <c r="AR611" t="s">
        <v>9730</v>
      </c>
      <c r="AS611" t="s">
        <v>9731</v>
      </c>
      <c r="AT611" t="s">
        <v>9658</v>
      </c>
      <c r="AU611">
        <v>2014</v>
      </c>
      <c r="AV611">
        <v>123</v>
      </c>
      <c r="AW611" t="s">
        <v>74</v>
      </c>
      <c r="AX611" t="s">
        <v>1395</v>
      </c>
      <c r="AY611" t="s">
        <v>74</v>
      </c>
      <c r="AZ611" t="s">
        <v>1437</v>
      </c>
      <c r="BA611" t="s">
        <v>74</v>
      </c>
      <c r="BB611">
        <v>323</v>
      </c>
      <c r="BC611">
        <v>343</v>
      </c>
      <c r="BD611" t="s">
        <v>74</v>
      </c>
      <c r="BE611" t="s">
        <v>11816</v>
      </c>
      <c r="BF611" t="str">
        <f>HYPERLINK("http://dx.doi.org/10.1016/j.gloplacha.2014.08.003","http://dx.doi.org/10.1016/j.gloplacha.2014.08.003")</f>
        <v>http://dx.doi.org/10.1016/j.gloplacha.2014.08.003</v>
      </c>
      <c r="BG611" t="s">
        <v>74</v>
      </c>
      <c r="BH611" t="s">
        <v>74</v>
      </c>
      <c r="BI611">
        <v>21</v>
      </c>
      <c r="BJ611" t="s">
        <v>372</v>
      </c>
      <c r="BK611" t="s">
        <v>91</v>
      </c>
      <c r="BL611" t="s">
        <v>373</v>
      </c>
      <c r="BM611" t="s">
        <v>9733</v>
      </c>
      <c r="BN611" t="s">
        <v>74</v>
      </c>
      <c r="BO611" t="s">
        <v>4631</v>
      </c>
      <c r="BP611" t="s">
        <v>74</v>
      </c>
      <c r="BQ611" t="s">
        <v>74</v>
      </c>
      <c r="BR611" t="s">
        <v>93</v>
      </c>
      <c r="BS611" t="s">
        <v>11817</v>
      </c>
      <c r="BT611" t="str">
        <f>HYPERLINK("https%3A%2F%2Fwww.webofscience.com%2Fwos%2Fwoscc%2Ffull-record%2FWOS:000347592400012","View Full Record in Web of Science")</f>
        <v>View Full Record in Web of Science</v>
      </c>
    </row>
    <row r="612" spans="1:72" x14ac:dyDescent="0.15">
      <c r="A612" t="s">
        <v>72</v>
      </c>
      <c r="B612" t="s">
        <v>11818</v>
      </c>
      <c r="C612" t="s">
        <v>74</v>
      </c>
      <c r="D612" t="s">
        <v>74</v>
      </c>
      <c r="E612" t="s">
        <v>74</v>
      </c>
      <c r="F612" t="s">
        <v>11819</v>
      </c>
      <c r="G612" t="s">
        <v>74</v>
      </c>
      <c r="H612" t="s">
        <v>74</v>
      </c>
      <c r="I612" t="s">
        <v>11820</v>
      </c>
      <c r="J612" t="s">
        <v>9715</v>
      </c>
      <c r="K612" t="s">
        <v>74</v>
      </c>
      <c r="L612" t="s">
        <v>74</v>
      </c>
      <c r="M612" t="s">
        <v>78</v>
      </c>
      <c r="N612" t="s">
        <v>99</v>
      </c>
      <c r="O612" t="s">
        <v>74</v>
      </c>
      <c r="P612" t="s">
        <v>74</v>
      </c>
      <c r="Q612" t="s">
        <v>74</v>
      </c>
      <c r="R612" t="s">
        <v>74</v>
      </c>
      <c r="S612" t="s">
        <v>74</v>
      </c>
      <c r="T612" t="s">
        <v>11821</v>
      </c>
      <c r="U612" t="s">
        <v>11822</v>
      </c>
      <c r="V612" t="s">
        <v>11823</v>
      </c>
      <c r="W612" t="s">
        <v>11824</v>
      </c>
      <c r="X612" t="s">
        <v>11825</v>
      </c>
      <c r="Y612" t="s">
        <v>11826</v>
      </c>
      <c r="Z612" t="s">
        <v>11827</v>
      </c>
      <c r="AA612" t="s">
        <v>11828</v>
      </c>
      <c r="AB612" t="s">
        <v>11829</v>
      </c>
      <c r="AC612" t="s">
        <v>11830</v>
      </c>
      <c r="AD612" t="s">
        <v>11831</v>
      </c>
      <c r="AE612" t="s">
        <v>11832</v>
      </c>
      <c r="AF612" t="s">
        <v>74</v>
      </c>
      <c r="AG612">
        <v>115</v>
      </c>
      <c r="AH612">
        <v>47</v>
      </c>
      <c r="AI612">
        <v>51</v>
      </c>
      <c r="AJ612">
        <v>1</v>
      </c>
      <c r="AK612">
        <v>40</v>
      </c>
      <c r="AL612" t="s">
        <v>2640</v>
      </c>
      <c r="AM612" t="s">
        <v>1176</v>
      </c>
      <c r="AN612" t="s">
        <v>2641</v>
      </c>
      <c r="AO612" t="s">
        <v>9728</v>
      </c>
      <c r="AP612" t="s">
        <v>9729</v>
      </c>
      <c r="AQ612" t="s">
        <v>74</v>
      </c>
      <c r="AR612" t="s">
        <v>9730</v>
      </c>
      <c r="AS612" t="s">
        <v>9731</v>
      </c>
      <c r="AT612" t="s">
        <v>9658</v>
      </c>
      <c r="AU612">
        <v>2014</v>
      </c>
      <c r="AV612">
        <v>123</v>
      </c>
      <c r="AW612" t="s">
        <v>74</v>
      </c>
      <c r="AX612" t="s">
        <v>1395</v>
      </c>
      <c r="AY612" t="s">
        <v>74</v>
      </c>
      <c r="AZ612" t="s">
        <v>1437</v>
      </c>
      <c r="BA612" t="s">
        <v>74</v>
      </c>
      <c r="BB612">
        <v>392</v>
      </c>
      <c r="BC612">
        <v>399</v>
      </c>
      <c r="BD612" t="s">
        <v>74</v>
      </c>
      <c r="BE612" t="s">
        <v>11833</v>
      </c>
      <c r="BF612" t="str">
        <f>HYPERLINK("http://dx.doi.org/10.1016/j.gloplacha.2014.07.017","http://dx.doi.org/10.1016/j.gloplacha.2014.07.017")</f>
        <v>http://dx.doi.org/10.1016/j.gloplacha.2014.07.017</v>
      </c>
      <c r="BG612" t="s">
        <v>74</v>
      </c>
      <c r="BH612" t="s">
        <v>74</v>
      </c>
      <c r="BI612">
        <v>8</v>
      </c>
      <c r="BJ612" t="s">
        <v>372</v>
      </c>
      <c r="BK612" t="s">
        <v>91</v>
      </c>
      <c r="BL612" t="s">
        <v>373</v>
      </c>
      <c r="BM612" t="s">
        <v>9733</v>
      </c>
      <c r="BN612" t="s">
        <v>74</v>
      </c>
      <c r="BO612" t="s">
        <v>74</v>
      </c>
      <c r="BP612" t="s">
        <v>74</v>
      </c>
      <c r="BQ612" t="s">
        <v>74</v>
      </c>
      <c r="BR612" t="s">
        <v>93</v>
      </c>
      <c r="BS612" t="s">
        <v>11834</v>
      </c>
      <c r="BT612" t="str">
        <f>HYPERLINK("https%3A%2F%2Fwww.webofscience.com%2Fwos%2Fwoscc%2Ffull-record%2FWOS:000347592400016","View Full Record in Web of Science")</f>
        <v>View Full Record in Web of Science</v>
      </c>
    </row>
    <row r="613" spans="1:72" x14ac:dyDescent="0.15">
      <c r="A613" t="s">
        <v>72</v>
      </c>
      <c r="B613" t="s">
        <v>11835</v>
      </c>
      <c r="C613" t="s">
        <v>74</v>
      </c>
      <c r="D613" t="s">
        <v>74</v>
      </c>
      <c r="E613" t="s">
        <v>74</v>
      </c>
      <c r="F613" t="s">
        <v>11836</v>
      </c>
      <c r="G613" t="s">
        <v>74</v>
      </c>
      <c r="H613" t="s">
        <v>74</v>
      </c>
      <c r="I613" t="s">
        <v>11837</v>
      </c>
      <c r="J613" t="s">
        <v>9715</v>
      </c>
      <c r="K613" t="s">
        <v>74</v>
      </c>
      <c r="L613" t="s">
        <v>74</v>
      </c>
      <c r="M613" t="s">
        <v>78</v>
      </c>
      <c r="N613" t="s">
        <v>99</v>
      </c>
      <c r="O613" t="s">
        <v>74</v>
      </c>
      <c r="P613" t="s">
        <v>74</v>
      </c>
      <c r="Q613" t="s">
        <v>74</v>
      </c>
      <c r="R613" t="s">
        <v>74</v>
      </c>
      <c r="S613" t="s">
        <v>74</v>
      </c>
      <c r="T613" t="s">
        <v>11838</v>
      </c>
      <c r="U613" t="s">
        <v>11839</v>
      </c>
      <c r="V613" t="s">
        <v>11840</v>
      </c>
      <c r="W613" t="s">
        <v>11841</v>
      </c>
      <c r="X613" t="s">
        <v>11842</v>
      </c>
      <c r="Y613" t="s">
        <v>11843</v>
      </c>
      <c r="Z613" t="s">
        <v>11844</v>
      </c>
      <c r="AA613" t="s">
        <v>11845</v>
      </c>
      <c r="AB613" t="s">
        <v>11846</v>
      </c>
      <c r="AC613" t="s">
        <v>11847</v>
      </c>
      <c r="AD613" t="s">
        <v>11848</v>
      </c>
      <c r="AE613" t="s">
        <v>11849</v>
      </c>
      <c r="AF613" t="s">
        <v>74</v>
      </c>
      <c r="AG613">
        <v>95</v>
      </c>
      <c r="AH613">
        <v>45</v>
      </c>
      <c r="AI613">
        <v>48</v>
      </c>
      <c r="AJ613">
        <v>0</v>
      </c>
      <c r="AK613">
        <v>34</v>
      </c>
      <c r="AL613" t="s">
        <v>2640</v>
      </c>
      <c r="AM613" t="s">
        <v>1176</v>
      </c>
      <c r="AN613" t="s">
        <v>2641</v>
      </c>
      <c r="AO613" t="s">
        <v>9728</v>
      </c>
      <c r="AP613" t="s">
        <v>9729</v>
      </c>
      <c r="AQ613" t="s">
        <v>74</v>
      </c>
      <c r="AR613" t="s">
        <v>9730</v>
      </c>
      <c r="AS613" t="s">
        <v>9731</v>
      </c>
      <c r="AT613" t="s">
        <v>9658</v>
      </c>
      <c r="AU613">
        <v>2014</v>
      </c>
      <c r="AV613">
        <v>123</v>
      </c>
      <c r="AW613" t="s">
        <v>74</v>
      </c>
      <c r="AX613" t="s">
        <v>1395</v>
      </c>
      <c r="AY613" t="s">
        <v>74</v>
      </c>
      <c r="AZ613" t="s">
        <v>1437</v>
      </c>
      <c r="BA613" t="s">
        <v>74</v>
      </c>
      <c r="BB613">
        <v>400</v>
      </c>
      <c r="BC613">
        <v>413</v>
      </c>
      <c r="BD613" t="s">
        <v>74</v>
      </c>
      <c r="BE613" t="s">
        <v>11850</v>
      </c>
      <c r="BF613" t="str">
        <f>HYPERLINK("http://dx.doi.org/10.1016/j.gloplacha.2014.07.016","http://dx.doi.org/10.1016/j.gloplacha.2014.07.016")</f>
        <v>http://dx.doi.org/10.1016/j.gloplacha.2014.07.016</v>
      </c>
      <c r="BG613" t="s">
        <v>74</v>
      </c>
      <c r="BH613" t="s">
        <v>74</v>
      </c>
      <c r="BI613">
        <v>14</v>
      </c>
      <c r="BJ613" t="s">
        <v>372</v>
      </c>
      <c r="BK613" t="s">
        <v>91</v>
      </c>
      <c r="BL613" t="s">
        <v>373</v>
      </c>
      <c r="BM613" t="s">
        <v>9733</v>
      </c>
      <c r="BN613" t="s">
        <v>74</v>
      </c>
      <c r="BO613" t="s">
        <v>2056</v>
      </c>
      <c r="BP613" t="s">
        <v>74</v>
      </c>
      <c r="BQ613" t="s">
        <v>74</v>
      </c>
      <c r="BR613" t="s">
        <v>93</v>
      </c>
      <c r="BS613" t="s">
        <v>11851</v>
      </c>
      <c r="BT613" t="str">
        <f>HYPERLINK("https%3A%2F%2Fwww.webofscience.com%2Fwos%2Fwoscc%2Ffull-record%2FWOS:000347592400017","View Full Record in Web of Science")</f>
        <v>View Full Record in Web of Science</v>
      </c>
    </row>
    <row r="614" spans="1:72" x14ac:dyDescent="0.15">
      <c r="A614" t="s">
        <v>72</v>
      </c>
      <c r="B614" t="s">
        <v>11852</v>
      </c>
      <c r="C614" t="s">
        <v>74</v>
      </c>
      <c r="D614" t="s">
        <v>74</v>
      </c>
      <c r="E614" t="s">
        <v>74</v>
      </c>
      <c r="F614" t="s">
        <v>11853</v>
      </c>
      <c r="G614" t="s">
        <v>74</v>
      </c>
      <c r="H614" t="s">
        <v>74</v>
      </c>
      <c r="I614" t="s">
        <v>11854</v>
      </c>
      <c r="J614" t="s">
        <v>11855</v>
      </c>
      <c r="K614" t="s">
        <v>74</v>
      </c>
      <c r="L614" t="s">
        <v>74</v>
      </c>
      <c r="M614" t="s">
        <v>78</v>
      </c>
      <c r="N614" t="s">
        <v>99</v>
      </c>
      <c r="O614" t="s">
        <v>74</v>
      </c>
      <c r="P614" t="s">
        <v>74</v>
      </c>
      <c r="Q614" t="s">
        <v>74</v>
      </c>
      <c r="R614" t="s">
        <v>74</v>
      </c>
      <c r="S614" t="s">
        <v>74</v>
      </c>
      <c r="T614" t="s">
        <v>11856</v>
      </c>
      <c r="U614" t="s">
        <v>11857</v>
      </c>
      <c r="V614" t="s">
        <v>11858</v>
      </c>
      <c r="W614" t="s">
        <v>11859</v>
      </c>
      <c r="X614" t="s">
        <v>11860</v>
      </c>
      <c r="Y614" t="s">
        <v>11861</v>
      </c>
      <c r="Z614" t="s">
        <v>11862</v>
      </c>
      <c r="AA614" t="s">
        <v>11863</v>
      </c>
      <c r="AB614" t="s">
        <v>11864</v>
      </c>
      <c r="AC614" t="s">
        <v>11865</v>
      </c>
      <c r="AD614" t="s">
        <v>11866</v>
      </c>
      <c r="AE614" t="s">
        <v>11867</v>
      </c>
      <c r="AF614" t="s">
        <v>74</v>
      </c>
      <c r="AG614">
        <v>43</v>
      </c>
      <c r="AH614">
        <v>12</v>
      </c>
      <c r="AI614">
        <v>13</v>
      </c>
      <c r="AJ614">
        <v>0</v>
      </c>
      <c r="AK614">
        <v>28</v>
      </c>
      <c r="AL614" t="s">
        <v>2640</v>
      </c>
      <c r="AM614" t="s">
        <v>1176</v>
      </c>
      <c r="AN614" t="s">
        <v>2641</v>
      </c>
      <c r="AO614" t="s">
        <v>11868</v>
      </c>
      <c r="AP614" t="s">
        <v>11869</v>
      </c>
      <c r="AQ614" t="s">
        <v>74</v>
      </c>
      <c r="AR614" t="s">
        <v>11870</v>
      </c>
      <c r="AS614" t="s">
        <v>11871</v>
      </c>
      <c r="AT614" t="s">
        <v>9658</v>
      </c>
      <c r="AU614">
        <v>2014</v>
      </c>
      <c r="AV614">
        <v>28</v>
      </c>
      <c r="AW614" t="s">
        <v>74</v>
      </c>
      <c r="AX614" t="s">
        <v>74</v>
      </c>
      <c r="AY614" t="s">
        <v>74</v>
      </c>
      <c r="AZ614" t="s">
        <v>74</v>
      </c>
      <c r="BA614" t="s">
        <v>74</v>
      </c>
      <c r="BB614">
        <v>192</v>
      </c>
      <c r="BC614">
        <v>200</v>
      </c>
      <c r="BD614" t="s">
        <v>74</v>
      </c>
      <c r="BE614" t="s">
        <v>11872</v>
      </c>
      <c r="BF614" t="str">
        <f>HYPERLINK("http://dx.doi.org/10.1016/j.meegid.2014.09.022","http://dx.doi.org/10.1016/j.meegid.2014.09.022")</f>
        <v>http://dx.doi.org/10.1016/j.meegid.2014.09.022</v>
      </c>
      <c r="BG614" t="s">
        <v>74</v>
      </c>
      <c r="BH614" t="s">
        <v>74</v>
      </c>
      <c r="BI614">
        <v>9</v>
      </c>
      <c r="BJ614" t="s">
        <v>11873</v>
      </c>
      <c r="BK614" t="s">
        <v>91</v>
      </c>
      <c r="BL614" t="s">
        <v>11873</v>
      </c>
      <c r="BM614" t="s">
        <v>11874</v>
      </c>
      <c r="BN614">
        <v>25262830</v>
      </c>
      <c r="BO614" t="s">
        <v>74</v>
      </c>
      <c r="BP614" t="s">
        <v>74</v>
      </c>
      <c r="BQ614" t="s">
        <v>74</v>
      </c>
      <c r="BR614" t="s">
        <v>93</v>
      </c>
      <c r="BS614" t="s">
        <v>11875</v>
      </c>
      <c r="BT614" t="str">
        <f>HYPERLINK("https%3A%2F%2Fwww.webofscience.com%2Fwos%2Fwoscc%2Ffull-record%2FWOS:000346739500030","View Full Record in Web of Science")</f>
        <v>View Full Record in Web of Science</v>
      </c>
    </row>
    <row r="615" spans="1:72" x14ac:dyDescent="0.15">
      <c r="A615" t="s">
        <v>72</v>
      </c>
      <c r="B615" t="s">
        <v>11876</v>
      </c>
      <c r="C615" t="s">
        <v>74</v>
      </c>
      <c r="D615" t="s">
        <v>74</v>
      </c>
      <c r="E615" t="s">
        <v>74</v>
      </c>
      <c r="F615" t="s">
        <v>11877</v>
      </c>
      <c r="G615" t="s">
        <v>74</v>
      </c>
      <c r="H615" t="s">
        <v>74</v>
      </c>
      <c r="I615" t="s">
        <v>11878</v>
      </c>
      <c r="J615" t="s">
        <v>6538</v>
      </c>
      <c r="K615" t="s">
        <v>74</v>
      </c>
      <c r="L615" t="s">
        <v>74</v>
      </c>
      <c r="M615" t="s">
        <v>78</v>
      </c>
      <c r="N615" t="s">
        <v>99</v>
      </c>
      <c r="O615" t="s">
        <v>74</v>
      </c>
      <c r="P615" t="s">
        <v>74</v>
      </c>
      <c r="Q615" t="s">
        <v>74</v>
      </c>
      <c r="R615" t="s">
        <v>74</v>
      </c>
      <c r="S615" t="s">
        <v>74</v>
      </c>
      <c r="T615" t="s">
        <v>74</v>
      </c>
      <c r="U615" t="s">
        <v>11879</v>
      </c>
      <c r="V615" t="s">
        <v>11880</v>
      </c>
      <c r="W615" t="s">
        <v>11881</v>
      </c>
      <c r="X615" t="s">
        <v>11882</v>
      </c>
      <c r="Y615" t="s">
        <v>11883</v>
      </c>
      <c r="Z615" t="s">
        <v>11884</v>
      </c>
      <c r="AA615" t="s">
        <v>11885</v>
      </c>
      <c r="AB615" t="s">
        <v>11886</v>
      </c>
      <c r="AC615" t="s">
        <v>11887</v>
      </c>
      <c r="AD615" t="s">
        <v>11888</v>
      </c>
      <c r="AE615" t="s">
        <v>11889</v>
      </c>
      <c r="AF615" t="s">
        <v>74</v>
      </c>
      <c r="AG615">
        <v>22</v>
      </c>
      <c r="AH615">
        <v>11</v>
      </c>
      <c r="AI615">
        <v>12</v>
      </c>
      <c r="AJ615">
        <v>1</v>
      </c>
      <c r="AK615">
        <v>15</v>
      </c>
      <c r="AL615" t="s">
        <v>6549</v>
      </c>
      <c r="AM615" t="s">
        <v>219</v>
      </c>
      <c r="AN615" t="s">
        <v>6550</v>
      </c>
      <c r="AO615" t="s">
        <v>6551</v>
      </c>
      <c r="AP615" t="s">
        <v>6552</v>
      </c>
      <c r="AQ615" t="s">
        <v>74</v>
      </c>
      <c r="AR615" t="s">
        <v>6553</v>
      </c>
      <c r="AS615" t="s">
        <v>6554</v>
      </c>
      <c r="AT615" t="s">
        <v>9658</v>
      </c>
      <c r="AU615">
        <v>2014</v>
      </c>
      <c r="AV615">
        <v>64</v>
      </c>
      <c r="AW615" t="s">
        <v>74</v>
      </c>
      <c r="AX615">
        <v>12</v>
      </c>
      <c r="AY615" t="s">
        <v>74</v>
      </c>
      <c r="AZ615" t="s">
        <v>74</v>
      </c>
      <c r="BA615" t="s">
        <v>74</v>
      </c>
      <c r="BB615">
        <v>4103</v>
      </c>
      <c r="BC615">
        <v>4108</v>
      </c>
      <c r="BD615" t="s">
        <v>74</v>
      </c>
      <c r="BE615" t="s">
        <v>11890</v>
      </c>
      <c r="BF615" t="str">
        <f>HYPERLINK("http://dx.doi.org/10.1099/ijs.0.070045-0","http://dx.doi.org/10.1099/ijs.0.070045-0")</f>
        <v>http://dx.doi.org/10.1099/ijs.0.070045-0</v>
      </c>
      <c r="BG615" t="s">
        <v>74</v>
      </c>
      <c r="BH615" t="s">
        <v>74</v>
      </c>
      <c r="BI615">
        <v>6</v>
      </c>
      <c r="BJ615" t="s">
        <v>5926</v>
      </c>
      <c r="BK615" t="s">
        <v>91</v>
      </c>
      <c r="BL615" t="s">
        <v>5926</v>
      </c>
      <c r="BM615" t="s">
        <v>11891</v>
      </c>
      <c r="BN615">
        <v>25238763</v>
      </c>
      <c r="BO615" t="s">
        <v>375</v>
      </c>
      <c r="BP615" t="s">
        <v>74</v>
      </c>
      <c r="BQ615" t="s">
        <v>74</v>
      </c>
      <c r="BR615" t="s">
        <v>93</v>
      </c>
      <c r="BS615" t="s">
        <v>11892</v>
      </c>
      <c r="BT615" t="str">
        <f>HYPERLINK("https%3A%2F%2Fwww.webofscience.com%2Fwos%2Fwoscc%2Ffull-record%2FWOS:000348622000028","View Full Record in Web of Science")</f>
        <v>View Full Record in Web of Science</v>
      </c>
    </row>
    <row r="616" spans="1:72" x14ac:dyDescent="0.15">
      <c r="A616" t="s">
        <v>72</v>
      </c>
      <c r="B616" t="s">
        <v>11893</v>
      </c>
      <c r="C616" t="s">
        <v>74</v>
      </c>
      <c r="D616" t="s">
        <v>74</v>
      </c>
      <c r="E616" t="s">
        <v>74</v>
      </c>
      <c r="F616" t="s">
        <v>11894</v>
      </c>
      <c r="G616" t="s">
        <v>74</v>
      </c>
      <c r="H616" t="s">
        <v>74</v>
      </c>
      <c r="I616" t="s">
        <v>11895</v>
      </c>
      <c r="J616" t="s">
        <v>11896</v>
      </c>
      <c r="K616" t="s">
        <v>74</v>
      </c>
      <c r="L616" t="s">
        <v>74</v>
      </c>
      <c r="M616" t="s">
        <v>78</v>
      </c>
      <c r="N616" t="s">
        <v>99</v>
      </c>
      <c r="O616" t="s">
        <v>74</v>
      </c>
      <c r="P616" t="s">
        <v>74</v>
      </c>
      <c r="Q616" t="s">
        <v>74</v>
      </c>
      <c r="R616" t="s">
        <v>74</v>
      </c>
      <c r="S616" t="s">
        <v>74</v>
      </c>
      <c r="T616" t="s">
        <v>11897</v>
      </c>
      <c r="U616" t="s">
        <v>11898</v>
      </c>
      <c r="V616" t="s">
        <v>11899</v>
      </c>
      <c r="W616" t="s">
        <v>11900</v>
      </c>
      <c r="X616" t="s">
        <v>11901</v>
      </c>
      <c r="Y616" t="s">
        <v>11902</v>
      </c>
      <c r="Z616" t="s">
        <v>11903</v>
      </c>
      <c r="AA616" t="s">
        <v>11904</v>
      </c>
      <c r="AB616" t="s">
        <v>11905</v>
      </c>
      <c r="AC616" t="s">
        <v>11906</v>
      </c>
      <c r="AD616" t="s">
        <v>4756</v>
      </c>
      <c r="AE616" t="s">
        <v>74</v>
      </c>
      <c r="AF616" t="s">
        <v>74</v>
      </c>
      <c r="AG616">
        <v>23</v>
      </c>
      <c r="AH616">
        <v>13</v>
      </c>
      <c r="AI616">
        <v>13</v>
      </c>
      <c r="AJ616">
        <v>3</v>
      </c>
      <c r="AK616">
        <v>9</v>
      </c>
      <c r="AL616" t="s">
        <v>2439</v>
      </c>
      <c r="AM616" t="s">
        <v>1411</v>
      </c>
      <c r="AN616" t="s">
        <v>2440</v>
      </c>
      <c r="AO616" t="s">
        <v>11907</v>
      </c>
      <c r="AP616" t="s">
        <v>11908</v>
      </c>
      <c r="AQ616" t="s">
        <v>74</v>
      </c>
      <c r="AR616" t="s">
        <v>11909</v>
      </c>
      <c r="AS616" t="s">
        <v>11910</v>
      </c>
      <c r="AT616" t="s">
        <v>9658</v>
      </c>
      <c r="AU616">
        <v>2014</v>
      </c>
      <c r="AV616">
        <v>100</v>
      </c>
      <c r="AW616" t="s">
        <v>74</v>
      </c>
      <c r="AX616" t="s">
        <v>74</v>
      </c>
      <c r="AY616" t="s">
        <v>74</v>
      </c>
      <c r="AZ616" t="s">
        <v>74</v>
      </c>
      <c r="BA616" t="s">
        <v>74</v>
      </c>
      <c r="BB616">
        <v>70</v>
      </c>
      <c r="BC616">
        <v>80</v>
      </c>
      <c r="BD616" t="s">
        <v>74</v>
      </c>
      <c r="BE616" t="s">
        <v>11911</v>
      </c>
      <c r="BF616" t="str">
        <f>HYPERLINK("http://dx.doi.org/10.1016/j.jafrearsci.2014.06.012","http://dx.doi.org/10.1016/j.jafrearsci.2014.06.012")</f>
        <v>http://dx.doi.org/10.1016/j.jafrearsci.2014.06.012</v>
      </c>
      <c r="BG616" t="s">
        <v>74</v>
      </c>
      <c r="BH616" t="s">
        <v>74</v>
      </c>
      <c r="BI616">
        <v>11</v>
      </c>
      <c r="BJ616" t="s">
        <v>1953</v>
      </c>
      <c r="BK616" t="s">
        <v>91</v>
      </c>
      <c r="BL616" t="s">
        <v>1954</v>
      </c>
      <c r="BM616" t="s">
        <v>11912</v>
      </c>
      <c r="BN616" t="s">
        <v>74</v>
      </c>
      <c r="BO616" t="s">
        <v>4631</v>
      </c>
      <c r="BP616" t="s">
        <v>74</v>
      </c>
      <c r="BQ616" t="s">
        <v>74</v>
      </c>
      <c r="BR616" t="s">
        <v>93</v>
      </c>
      <c r="BS616" t="s">
        <v>11913</v>
      </c>
      <c r="BT616" t="str">
        <f>HYPERLINK("https%3A%2F%2Fwww.webofscience.com%2Fwos%2Fwoscc%2Ffull-record%2FWOS:000345473200006","View Full Record in Web of Science")</f>
        <v>View Full Record in Web of Science</v>
      </c>
    </row>
    <row r="617" spans="1:72" x14ac:dyDescent="0.15">
      <c r="A617" t="s">
        <v>72</v>
      </c>
      <c r="B617" t="s">
        <v>11914</v>
      </c>
      <c r="C617" t="s">
        <v>74</v>
      </c>
      <c r="D617" t="s">
        <v>74</v>
      </c>
      <c r="E617" t="s">
        <v>74</v>
      </c>
      <c r="F617" t="s">
        <v>11915</v>
      </c>
      <c r="G617" t="s">
        <v>74</v>
      </c>
      <c r="H617" t="s">
        <v>74</v>
      </c>
      <c r="I617" t="s">
        <v>11916</v>
      </c>
      <c r="J617" t="s">
        <v>11917</v>
      </c>
      <c r="K617" t="s">
        <v>74</v>
      </c>
      <c r="L617" t="s">
        <v>74</v>
      </c>
      <c r="M617" t="s">
        <v>78</v>
      </c>
      <c r="N617" t="s">
        <v>99</v>
      </c>
      <c r="O617" t="s">
        <v>74</v>
      </c>
      <c r="P617" t="s">
        <v>74</v>
      </c>
      <c r="Q617" t="s">
        <v>74</v>
      </c>
      <c r="R617" t="s">
        <v>74</v>
      </c>
      <c r="S617" t="s">
        <v>74</v>
      </c>
      <c r="T617" t="s">
        <v>11918</v>
      </c>
      <c r="U617" t="s">
        <v>11919</v>
      </c>
      <c r="V617" t="s">
        <v>11920</v>
      </c>
      <c r="W617" t="s">
        <v>11921</v>
      </c>
      <c r="X617" t="s">
        <v>11922</v>
      </c>
      <c r="Y617" t="s">
        <v>11923</v>
      </c>
      <c r="Z617" t="s">
        <v>11924</v>
      </c>
      <c r="AA617" t="s">
        <v>11925</v>
      </c>
      <c r="AB617" t="s">
        <v>11926</v>
      </c>
      <c r="AC617" t="s">
        <v>11927</v>
      </c>
      <c r="AD617" t="s">
        <v>11928</v>
      </c>
      <c r="AE617" t="s">
        <v>11929</v>
      </c>
      <c r="AF617" t="s">
        <v>74</v>
      </c>
      <c r="AG617">
        <v>49</v>
      </c>
      <c r="AH617">
        <v>3</v>
      </c>
      <c r="AI617">
        <v>3</v>
      </c>
      <c r="AJ617">
        <v>0</v>
      </c>
      <c r="AK617">
        <v>14</v>
      </c>
      <c r="AL617" t="s">
        <v>2439</v>
      </c>
      <c r="AM617" t="s">
        <v>1411</v>
      </c>
      <c r="AN617" t="s">
        <v>2440</v>
      </c>
      <c r="AO617" t="s">
        <v>11930</v>
      </c>
      <c r="AP617" t="s">
        <v>11931</v>
      </c>
      <c r="AQ617" t="s">
        <v>74</v>
      </c>
      <c r="AR617" t="s">
        <v>11932</v>
      </c>
      <c r="AS617" t="s">
        <v>11933</v>
      </c>
      <c r="AT617" t="s">
        <v>9658</v>
      </c>
      <c r="AU617">
        <v>2014</v>
      </c>
      <c r="AV617">
        <v>121</v>
      </c>
      <c r="AW617" t="s">
        <v>74</v>
      </c>
      <c r="AX617" t="s">
        <v>3544</v>
      </c>
      <c r="AY617" t="s">
        <v>74</v>
      </c>
      <c r="AZ617" t="s">
        <v>74</v>
      </c>
      <c r="BA617" t="s">
        <v>74</v>
      </c>
      <c r="BB617">
        <v>50</v>
      </c>
      <c r="BC617">
        <v>58</v>
      </c>
      <c r="BD617" t="s">
        <v>74</v>
      </c>
      <c r="BE617" t="s">
        <v>11934</v>
      </c>
      <c r="BF617" t="str">
        <f>HYPERLINK("http://dx.doi.org/10.1016/j.jastp.2014.09.011","http://dx.doi.org/10.1016/j.jastp.2014.09.011")</f>
        <v>http://dx.doi.org/10.1016/j.jastp.2014.09.011</v>
      </c>
      <c r="BG617" t="s">
        <v>74</v>
      </c>
      <c r="BH617" t="s">
        <v>74</v>
      </c>
      <c r="BI617">
        <v>9</v>
      </c>
      <c r="BJ617" t="s">
        <v>4629</v>
      </c>
      <c r="BK617" t="s">
        <v>91</v>
      </c>
      <c r="BL617" t="s">
        <v>4629</v>
      </c>
      <c r="BM617" t="s">
        <v>11935</v>
      </c>
      <c r="BN617" t="s">
        <v>74</v>
      </c>
      <c r="BO617" t="s">
        <v>74</v>
      </c>
      <c r="BP617" t="s">
        <v>74</v>
      </c>
      <c r="BQ617" t="s">
        <v>74</v>
      </c>
      <c r="BR617" t="s">
        <v>93</v>
      </c>
      <c r="BS617" t="s">
        <v>11936</v>
      </c>
      <c r="BT617" t="str">
        <f>HYPERLINK("https%3A%2F%2Fwww.webofscience.com%2Fwos%2Fwoscc%2Ffull-record%2FWOS:000347022200006","View Full Record in Web of Science")</f>
        <v>View Full Record in Web of Science</v>
      </c>
    </row>
    <row r="618" spans="1:72" x14ac:dyDescent="0.15">
      <c r="A618" t="s">
        <v>72</v>
      </c>
      <c r="B618" t="s">
        <v>11937</v>
      </c>
      <c r="C618" t="s">
        <v>74</v>
      </c>
      <c r="D618" t="s">
        <v>74</v>
      </c>
      <c r="E618" t="s">
        <v>74</v>
      </c>
      <c r="F618" t="s">
        <v>11938</v>
      </c>
      <c r="G618" t="s">
        <v>74</v>
      </c>
      <c r="H618" t="s">
        <v>74</v>
      </c>
      <c r="I618" t="s">
        <v>11939</v>
      </c>
      <c r="J618" t="s">
        <v>6676</v>
      </c>
      <c r="K618" t="s">
        <v>74</v>
      </c>
      <c r="L618" t="s">
        <v>74</v>
      </c>
      <c r="M618" t="s">
        <v>78</v>
      </c>
      <c r="N618" t="s">
        <v>99</v>
      </c>
      <c r="O618" t="s">
        <v>74</v>
      </c>
      <c r="P618" t="s">
        <v>74</v>
      </c>
      <c r="Q618" t="s">
        <v>74</v>
      </c>
      <c r="R618" t="s">
        <v>74</v>
      </c>
      <c r="S618" t="s">
        <v>74</v>
      </c>
      <c r="T618" t="s">
        <v>11940</v>
      </c>
      <c r="U618" t="s">
        <v>11941</v>
      </c>
      <c r="V618" t="s">
        <v>11942</v>
      </c>
      <c r="W618" t="s">
        <v>11943</v>
      </c>
      <c r="X618" t="s">
        <v>11944</v>
      </c>
      <c r="Y618" t="s">
        <v>11945</v>
      </c>
      <c r="Z618" t="s">
        <v>11946</v>
      </c>
      <c r="AA618" t="s">
        <v>11947</v>
      </c>
      <c r="AB618" t="s">
        <v>11948</v>
      </c>
      <c r="AC618" t="s">
        <v>11949</v>
      </c>
      <c r="AD618" t="s">
        <v>11950</v>
      </c>
      <c r="AE618" t="s">
        <v>11951</v>
      </c>
      <c r="AF618" t="s">
        <v>74</v>
      </c>
      <c r="AG618">
        <v>78</v>
      </c>
      <c r="AH618">
        <v>72</v>
      </c>
      <c r="AI618">
        <v>80</v>
      </c>
      <c r="AJ618">
        <v>4</v>
      </c>
      <c r="AK618">
        <v>80</v>
      </c>
      <c r="AL618" t="s">
        <v>2006</v>
      </c>
      <c r="AM618" t="s">
        <v>2007</v>
      </c>
      <c r="AN618" t="s">
        <v>2008</v>
      </c>
      <c r="AO618" t="s">
        <v>6687</v>
      </c>
      <c r="AP618" t="s">
        <v>6688</v>
      </c>
      <c r="AQ618" t="s">
        <v>74</v>
      </c>
      <c r="AR618" t="s">
        <v>6689</v>
      </c>
      <c r="AS618" t="s">
        <v>6690</v>
      </c>
      <c r="AT618" t="s">
        <v>9658</v>
      </c>
      <c r="AU618">
        <v>2014</v>
      </c>
      <c r="AV618">
        <v>41</v>
      </c>
      <c r="AW618">
        <v>12</v>
      </c>
      <c r="AX618" t="s">
        <v>74</v>
      </c>
      <c r="AY618" t="s">
        <v>74</v>
      </c>
      <c r="AZ618" t="s">
        <v>74</v>
      </c>
      <c r="BA618" t="s">
        <v>74</v>
      </c>
      <c r="BB618">
        <v>2385</v>
      </c>
      <c r="BC618">
        <v>2395</v>
      </c>
      <c r="BD618" t="s">
        <v>74</v>
      </c>
      <c r="BE618" t="s">
        <v>11952</v>
      </c>
      <c r="BF618" t="str">
        <f>HYPERLINK("http://dx.doi.org/10.1111/jbi.12385","http://dx.doi.org/10.1111/jbi.12385")</f>
        <v>http://dx.doi.org/10.1111/jbi.12385</v>
      </c>
      <c r="BG618" t="s">
        <v>74</v>
      </c>
      <c r="BH618" t="s">
        <v>74</v>
      </c>
      <c r="BI618">
        <v>11</v>
      </c>
      <c r="BJ618" t="s">
        <v>6692</v>
      </c>
      <c r="BK618" t="s">
        <v>91</v>
      </c>
      <c r="BL618" t="s">
        <v>6693</v>
      </c>
      <c r="BM618" t="s">
        <v>11953</v>
      </c>
      <c r="BN618" t="s">
        <v>74</v>
      </c>
      <c r="BO618" t="s">
        <v>74</v>
      </c>
      <c r="BP618" t="s">
        <v>74</v>
      </c>
      <c r="BQ618" t="s">
        <v>74</v>
      </c>
      <c r="BR618" t="s">
        <v>93</v>
      </c>
      <c r="BS618" t="s">
        <v>11954</v>
      </c>
      <c r="BT618" t="str">
        <f>HYPERLINK("https%3A%2F%2Fwww.webofscience.com%2Fwos%2Fwoscc%2Ffull-record%2FWOS:000345328400016","View Full Record in Web of Science")</f>
        <v>View Full Record in Web of Science</v>
      </c>
    </row>
    <row r="619" spans="1:72" x14ac:dyDescent="0.15">
      <c r="A619" t="s">
        <v>72</v>
      </c>
      <c r="B619" t="s">
        <v>11955</v>
      </c>
      <c r="C619" t="s">
        <v>74</v>
      </c>
      <c r="D619" t="s">
        <v>74</v>
      </c>
      <c r="E619" t="s">
        <v>74</v>
      </c>
      <c r="F619" t="s">
        <v>11956</v>
      </c>
      <c r="G619" t="s">
        <v>74</v>
      </c>
      <c r="H619" t="s">
        <v>74</v>
      </c>
      <c r="I619" t="s">
        <v>11957</v>
      </c>
      <c r="J619" t="s">
        <v>11958</v>
      </c>
      <c r="K619" t="s">
        <v>74</v>
      </c>
      <c r="L619" t="s">
        <v>74</v>
      </c>
      <c r="M619" t="s">
        <v>78</v>
      </c>
      <c r="N619" t="s">
        <v>99</v>
      </c>
      <c r="O619" t="s">
        <v>74</v>
      </c>
      <c r="P619" t="s">
        <v>74</v>
      </c>
      <c r="Q619" t="s">
        <v>74</v>
      </c>
      <c r="R619" t="s">
        <v>74</v>
      </c>
      <c r="S619" t="s">
        <v>74</v>
      </c>
      <c r="T619" t="s">
        <v>74</v>
      </c>
      <c r="U619" t="s">
        <v>11959</v>
      </c>
      <c r="V619" t="s">
        <v>74</v>
      </c>
      <c r="W619" t="s">
        <v>11960</v>
      </c>
      <c r="X619" t="s">
        <v>11961</v>
      </c>
      <c r="Y619" t="s">
        <v>11962</v>
      </c>
      <c r="Z619" t="s">
        <v>11963</v>
      </c>
      <c r="AA619" t="s">
        <v>11964</v>
      </c>
      <c r="AB619" t="s">
        <v>11965</v>
      </c>
      <c r="AC619" t="s">
        <v>11966</v>
      </c>
      <c r="AD619" t="s">
        <v>11967</v>
      </c>
      <c r="AE619" t="s">
        <v>11968</v>
      </c>
      <c r="AF619" t="s">
        <v>74</v>
      </c>
      <c r="AG619">
        <v>192</v>
      </c>
      <c r="AH619">
        <v>43</v>
      </c>
      <c r="AI619">
        <v>47</v>
      </c>
      <c r="AJ619">
        <v>1</v>
      </c>
      <c r="AK619">
        <v>28</v>
      </c>
      <c r="AL619" t="s">
        <v>82</v>
      </c>
      <c r="AM619" t="s">
        <v>83</v>
      </c>
      <c r="AN619" t="s">
        <v>150</v>
      </c>
      <c r="AO619" t="s">
        <v>11969</v>
      </c>
      <c r="AP619" t="s">
        <v>11970</v>
      </c>
      <c r="AQ619" t="s">
        <v>74</v>
      </c>
      <c r="AR619" t="s">
        <v>11971</v>
      </c>
      <c r="AS619" t="s">
        <v>11972</v>
      </c>
      <c r="AT619" t="s">
        <v>9658</v>
      </c>
      <c r="AU619">
        <v>2014</v>
      </c>
      <c r="AV619">
        <v>36</v>
      </c>
      <c r="AW619">
        <v>4</v>
      </c>
      <c r="AX619" t="s">
        <v>74</v>
      </c>
      <c r="AY619" t="s">
        <v>74</v>
      </c>
      <c r="AZ619" t="s">
        <v>74</v>
      </c>
      <c r="BA619" t="s">
        <v>74</v>
      </c>
      <c r="BB619">
        <v>306</v>
      </c>
      <c r="BC619">
        <v>324</v>
      </c>
      <c r="BD619" t="s">
        <v>74</v>
      </c>
      <c r="BE619" t="s">
        <v>11973</v>
      </c>
      <c r="BF619" t="str">
        <f>HYPERLINK("http://dx.doi.org/10.1179/1743282014Y.0000000123","http://dx.doi.org/10.1179/1743282014Y.0000000123")</f>
        <v>http://dx.doi.org/10.1179/1743282014Y.0000000123</v>
      </c>
      <c r="BG619" t="s">
        <v>74</v>
      </c>
      <c r="BH619" t="s">
        <v>74</v>
      </c>
      <c r="BI619">
        <v>19</v>
      </c>
      <c r="BJ619" t="s">
        <v>1015</v>
      </c>
      <c r="BK619" t="s">
        <v>91</v>
      </c>
      <c r="BL619" t="s">
        <v>1015</v>
      </c>
      <c r="BM619" t="s">
        <v>11974</v>
      </c>
      <c r="BN619" t="s">
        <v>74</v>
      </c>
      <c r="BO619" t="s">
        <v>74</v>
      </c>
      <c r="BP619" t="s">
        <v>74</v>
      </c>
      <c r="BQ619" t="s">
        <v>74</v>
      </c>
      <c r="BR619" t="s">
        <v>93</v>
      </c>
      <c r="BS619" t="s">
        <v>11975</v>
      </c>
      <c r="BT619" t="str">
        <f>HYPERLINK("https%3A%2F%2Fwww.webofscience.com%2Fwos%2Fwoscc%2Ffull-record%2FWOS:000348594500007","View Full Record in Web of Science")</f>
        <v>View Full Record in Web of Science</v>
      </c>
    </row>
    <row r="620" spans="1:72" x14ac:dyDescent="0.15">
      <c r="A620" t="s">
        <v>72</v>
      </c>
      <c r="B620" t="s">
        <v>11976</v>
      </c>
      <c r="C620" t="s">
        <v>74</v>
      </c>
      <c r="D620" t="s">
        <v>74</v>
      </c>
      <c r="E620" t="s">
        <v>74</v>
      </c>
      <c r="F620" t="s">
        <v>11977</v>
      </c>
      <c r="G620" t="s">
        <v>74</v>
      </c>
      <c r="H620" t="s">
        <v>74</v>
      </c>
      <c r="I620" t="s">
        <v>11978</v>
      </c>
      <c r="J620" t="s">
        <v>2526</v>
      </c>
      <c r="K620" t="s">
        <v>74</v>
      </c>
      <c r="L620" t="s">
        <v>74</v>
      </c>
      <c r="M620" t="s">
        <v>78</v>
      </c>
      <c r="N620" t="s">
        <v>99</v>
      </c>
      <c r="O620" t="s">
        <v>74</v>
      </c>
      <c r="P620" t="s">
        <v>74</v>
      </c>
      <c r="Q620" t="s">
        <v>74</v>
      </c>
      <c r="R620" t="s">
        <v>74</v>
      </c>
      <c r="S620" t="s">
        <v>74</v>
      </c>
      <c r="T620" t="s">
        <v>74</v>
      </c>
      <c r="U620" t="s">
        <v>11979</v>
      </c>
      <c r="V620" t="s">
        <v>11980</v>
      </c>
      <c r="W620" t="s">
        <v>11981</v>
      </c>
      <c r="X620" t="s">
        <v>11982</v>
      </c>
      <c r="Y620" t="s">
        <v>11983</v>
      </c>
      <c r="Z620" t="s">
        <v>11984</v>
      </c>
      <c r="AA620" t="s">
        <v>11985</v>
      </c>
      <c r="AB620" t="s">
        <v>11986</v>
      </c>
      <c r="AC620" t="s">
        <v>74</v>
      </c>
      <c r="AD620" t="s">
        <v>74</v>
      </c>
      <c r="AE620" t="s">
        <v>74</v>
      </c>
      <c r="AF620" t="s">
        <v>74</v>
      </c>
      <c r="AG620">
        <v>41</v>
      </c>
      <c r="AH620">
        <v>17</v>
      </c>
      <c r="AI620">
        <v>19</v>
      </c>
      <c r="AJ620">
        <v>0</v>
      </c>
      <c r="AK620">
        <v>13</v>
      </c>
      <c r="AL620" t="s">
        <v>1563</v>
      </c>
      <c r="AM620" t="s">
        <v>1564</v>
      </c>
      <c r="AN620" t="s">
        <v>1565</v>
      </c>
      <c r="AO620" t="s">
        <v>2538</v>
      </c>
      <c r="AP620" t="s">
        <v>2539</v>
      </c>
      <c r="AQ620" t="s">
        <v>74</v>
      </c>
      <c r="AR620" t="s">
        <v>2540</v>
      </c>
      <c r="AS620" t="s">
        <v>2541</v>
      </c>
      <c r="AT620" t="s">
        <v>9658</v>
      </c>
      <c r="AU620">
        <v>2014</v>
      </c>
      <c r="AV620">
        <v>27</v>
      </c>
      <c r="AW620">
        <v>23</v>
      </c>
      <c r="AX620" t="s">
        <v>74</v>
      </c>
      <c r="AY620" t="s">
        <v>74</v>
      </c>
      <c r="AZ620" t="s">
        <v>74</v>
      </c>
      <c r="BA620" t="s">
        <v>74</v>
      </c>
      <c r="BB620">
        <v>8686</v>
      </c>
      <c r="BC620">
        <v>8706</v>
      </c>
      <c r="BD620" t="s">
        <v>74</v>
      </c>
      <c r="BE620" t="s">
        <v>11987</v>
      </c>
      <c r="BF620" t="str">
        <f>HYPERLINK("http://dx.doi.org/10.1175/JCLI-D-13-00763.1","http://dx.doi.org/10.1175/JCLI-D-13-00763.1")</f>
        <v>http://dx.doi.org/10.1175/JCLI-D-13-00763.1</v>
      </c>
      <c r="BG620" t="s">
        <v>74</v>
      </c>
      <c r="BH620" t="s">
        <v>74</v>
      </c>
      <c r="BI620">
        <v>21</v>
      </c>
      <c r="BJ620" t="s">
        <v>226</v>
      </c>
      <c r="BK620" t="s">
        <v>91</v>
      </c>
      <c r="BL620" t="s">
        <v>226</v>
      </c>
      <c r="BM620" t="s">
        <v>10345</v>
      </c>
      <c r="BN620" t="s">
        <v>74</v>
      </c>
      <c r="BO620" t="s">
        <v>134</v>
      </c>
      <c r="BP620" t="s">
        <v>74</v>
      </c>
      <c r="BQ620" t="s">
        <v>74</v>
      </c>
      <c r="BR620" t="s">
        <v>93</v>
      </c>
      <c r="BS620" t="s">
        <v>11988</v>
      </c>
      <c r="BT620" t="str">
        <f>HYPERLINK("https%3A%2F%2Fwww.webofscience.com%2Fwos%2Fwoscc%2Ffull-record%2FWOS:000346055100025","View Full Record in Web of Science")</f>
        <v>View Full Record in Web of Science</v>
      </c>
    </row>
    <row r="621" spans="1:72" x14ac:dyDescent="0.15">
      <c r="A621" t="s">
        <v>72</v>
      </c>
      <c r="B621" t="s">
        <v>11989</v>
      </c>
      <c r="C621" t="s">
        <v>74</v>
      </c>
      <c r="D621" t="s">
        <v>74</v>
      </c>
      <c r="E621" t="s">
        <v>74</v>
      </c>
      <c r="F621" t="s">
        <v>11990</v>
      </c>
      <c r="G621" t="s">
        <v>74</v>
      </c>
      <c r="H621" t="s">
        <v>74</v>
      </c>
      <c r="I621" t="s">
        <v>11991</v>
      </c>
      <c r="J621" t="s">
        <v>6723</v>
      </c>
      <c r="K621" t="s">
        <v>74</v>
      </c>
      <c r="L621" t="s">
        <v>74</v>
      </c>
      <c r="M621" t="s">
        <v>78</v>
      </c>
      <c r="N621" t="s">
        <v>99</v>
      </c>
      <c r="O621" t="s">
        <v>74</v>
      </c>
      <c r="P621" t="s">
        <v>74</v>
      </c>
      <c r="Q621" t="s">
        <v>74</v>
      </c>
      <c r="R621" t="s">
        <v>74</v>
      </c>
      <c r="S621" t="s">
        <v>74</v>
      </c>
      <c r="T621" t="s">
        <v>11992</v>
      </c>
      <c r="U621" t="s">
        <v>11993</v>
      </c>
      <c r="V621" t="s">
        <v>11994</v>
      </c>
      <c r="W621" t="s">
        <v>11995</v>
      </c>
      <c r="X621" t="s">
        <v>11996</v>
      </c>
      <c r="Y621" t="s">
        <v>11997</v>
      </c>
      <c r="Z621" t="s">
        <v>11998</v>
      </c>
      <c r="AA621" t="s">
        <v>11999</v>
      </c>
      <c r="AB621" t="s">
        <v>12000</v>
      </c>
      <c r="AC621" t="s">
        <v>12001</v>
      </c>
      <c r="AD621" t="s">
        <v>12002</v>
      </c>
      <c r="AE621" t="s">
        <v>12003</v>
      </c>
      <c r="AF621" t="s">
        <v>74</v>
      </c>
      <c r="AG621">
        <v>35</v>
      </c>
      <c r="AH621">
        <v>1</v>
      </c>
      <c r="AI621">
        <v>2</v>
      </c>
      <c r="AJ621">
        <v>0</v>
      </c>
      <c r="AK621">
        <v>21</v>
      </c>
      <c r="AL621" t="s">
        <v>2640</v>
      </c>
      <c r="AM621" t="s">
        <v>1176</v>
      </c>
      <c r="AN621" t="s">
        <v>2641</v>
      </c>
      <c r="AO621" t="s">
        <v>6736</v>
      </c>
      <c r="AP621" t="s">
        <v>6737</v>
      </c>
      <c r="AQ621" t="s">
        <v>74</v>
      </c>
      <c r="AR621" t="s">
        <v>6738</v>
      </c>
      <c r="AS621" t="s">
        <v>6739</v>
      </c>
      <c r="AT621" t="s">
        <v>9658</v>
      </c>
      <c r="AU621">
        <v>2014</v>
      </c>
      <c r="AV621">
        <v>461</v>
      </c>
      <c r="AW621" t="s">
        <v>74</v>
      </c>
      <c r="AX621" t="s">
        <v>74</v>
      </c>
      <c r="AY621" t="s">
        <v>74</v>
      </c>
      <c r="AZ621" t="s">
        <v>74</v>
      </c>
      <c r="BA621" t="s">
        <v>74</v>
      </c>
      <c r="BB621">
        <v>364</v>
      </c>
      <c r="BC621">
        <v>370</v>
      </c>
      <c r="BD621" t="s">
        <v>74</v>
      </c>
      <c r="BE621" t="s">
        <v>12004</v>
      </c>
      <c r="BF621" t="str">
        <f>HYPERLINK("http://dx.doi.org/10.1016/j.jembe.2014.08.021","http://dx.doi.org/10.1016/j.jembe.2014.08.021")</f>
        <v>http://dx.doi.org/10.1016/j.jembe.2014.08.021</v>
      </c>
      <c r="BG621" t="s">
        <v>74</v>
      </c>
      <c r="BH621" t="s">
        <v>74</v>
      </c>
      <c r="BI621">
        <v>7</v>
      </c>
      <c r="BJ621" t="s">
        <v>3613</v>
      </c>
      <c r="BK621" t="s">
        <v>91</v>
      </c>
      <c r="BL621" t="s">
        <v>2674</v>
      </c>
      <c r="BM621" t="s">
        <v>12005</v>
      </c>
      <c r="BN621" t="s">
        <v>74</v>
      </c>
      <c r="BO621" t="s">
        <v>4631</v>
      </c>
      <c r="BP621" t="s">
        <v>74</v>
      </c>
      <c r="BQ621" t="s">
        <v>74</v>
      </c>
      <c r="BR621" t="s">
        <v>93</v>
      </c>
      <c r="BS621" t="s">
        <v>12006</v>
      </c>
      <c r="BT621" t="str">
        <f>HYPERLINK("https%3A%2F%2Fwww.webofscience.com%2Fwos%2Fwoscc%2Ffull-record%2FWOS:000346894900044","View Full Record in Web of Science")</f>
        <v>View Full Record in Web of Science</v>
      </c>
    </row>
    <row r="622" spans="1:72" x14ac:dyDescent="0.15">
      <c r="A622" t="s">
        <v>72</v>
      </c>
      <c r="B622" t="s">
        <v>12007</v>
      </c>
      <c r="C622" t="s">
        <v>74</v>
      </c>
      <c r="D622" t="s">
        <v>74</v>
      </c>
      <c r="E622" t="s">
        <v>74</v>
      </c>
      <c r="F622" t="s">
        <v>12008</v>
      </c>
      <c r="G622" t="s">
        <v>74</v>
      </c>
      <c r="H622" t="s">
        <v>74</v>
      </c>
      <c r="I622" t="s">
        <v>12009</v>
      </c>
      <c r="J622" t="s">
        <v>6723</v>
      </c>
      <c r="K622" t="s">
        <v>74</v>
      </c>
      <c r="L622" t="s">
        <v>74</v>
      </c>
      <c r="M622" t="s">
        <v>78</v>
      </c>
      <c r="N622" t="s">
        <v>99</v>
      </c>
      <c r="O622" t="s">
        <v>74</v>
      </c>
      <c r="P622" t="s">
        <v>74</v>
      </c>
      <c r="Q622" t="s">
        <v>74</v>
      </c>
      <c r="R622" t="s">
        <v>74</v>
      </c>
      <c r="S622" t="s">
        <v>74</v>
      </c>
      <c r="T622" t="s">
        <v>12010</v>
      </c>
      <c r="U622" t="s">
        <v>12011</v>
      </c>
      <c r="V622" t="s">
        <v>12012</v>
      </c>
      <c r="W622" t="s">
        <v>12013</v>
      </c>
      <c r="X622" t="s">
        <v>12014</v>
      </c>
      <c r="Y622" t="s">
        <v>12015</v>
      </c>
      <c r="Z622" t="s">
        <v>12016</v>
      </c>
      <c r="AA622" t="s">
        <v>7974</v>
      </c>
      <c r="AB622" t="s">
        <v>12017</v>
      </c>
      <c r="AC622" t="s">
        <v>12018</v>
      </c>
      <c r="AD622" t="s">
        <v>12019</v>
      </c>
      <c r="AE622" t="s">
        <v>12020</v>
      </c>
      <c r="AF622" t="s">
        <v>74</v>
      </c>
      <c r="AG622">
        <v>72</v>
      </c>
      <c r="AH622">
        <v>7</v>
      </c>
      <c r="AI622">
        <v>8</v>
      </c>
      <c r="AJ622">
        <v>0</v>
      </c>
      <c r="AK622">
        <v>48</v>
      </c>
      <c r="AL622" t="s">
        <v>1175</v>
      </c>
      <c r="AM622" t="s">
        <v>1176</v>
      </c>
      <c r="AN622" t="s">
        <v>2938</v>
      </c>
      <c r="AO622" t="s">
        <v>6736</v>
      </c>
      <c r="AP622" t="s">
        <v>6737</v>
      </c>
      <c r="AQ622" t="s">
        <v>74</v>
      </c>
      <c r="AR622" t="s">
        <v>6738</v>
      </c>
      <c r="AS622" t="s">
        <v>6739</v>
      </c>
      <c r="AT622" t="s">
        <v>9658</v>
      </c>
      <c r="AU622">
        <v>2014</v>
      </c>
      <c r="AV622">
        <v>461</v>
      </c>
      <c r="AW622" t="s">
        <v>74</v>
      </c>
      <c r="AX622" t="s">
        <v>74</v>
      </c>
      <c r="AY622" t="s">
        <v>74</v>
      </c>
      <c r="AZ622" t="s">
        <v>74</v>
      </c>
      <c r="BA622" t="s">
        <v>74</v>
      </c>
      <c r="BB622">
        <v>516</v>
      </c>
      <c r="BC622">
        <v>527</v>
      </c>
      <c r="BD622" t="s">
        <v>74</v>
      </c>
      <c r="BE622" t="s">
        <v>12021</v>
      </c>
      <c r="BF622" t="str">
        <f>HYPERLINK("http://dx.doi.org/10.1016/j.jembe.2014.10.005","http://dx.doi.org/10.1016/j.jembe.2014.10.005")</f>
        <v>http://dx.doi.org/10.1016/j.jembe.2014.10.005</v>
      </c>
      <c r="BG622" t="s">
        <v>74</v>
      </c>
      <c r="BH622" t="s">
        <v>74</v>
      </c>
      <c r="BI622">
        <v>12</v>
      </c>
      <c r="BJ622" t="s">
        <v>3613</v>
      </c>
      <c r="BK622" t="s">
        <v>91</v>
      </c>
      <c r="BL622" t="s">
        <v>2674</v>
      </c>
      <c r="BM622" t="s">
        <v>12005</v>
      </c>
      <c r="BN622" t="s">
        <v>74</v>
      </c>
      <c r="BO622" t="s">
        <v>4631</v>
      </c>
      <c r="BP622" t="s">
        <v>74</v>
      </c>
      <c r="BQ622" t="s">
        <v>74</v>
      </c>
      <c r="BR622" t="s">
        <v>93</v>
      </c>
      <c r="BS622" t="s">
        <v>12022</v>
      </c>
      <c r="BT622" t="str">
        <f>HYPERLINK("https%3A%2F%2Fwww.webofscience.com%2Fwos%2Fwoscc%2Ffull-record%2FWOS:000346894900061","View Full Record in Web of Science")</f>
        <v>View Full Record in Web of Science</v>
      </c>
    </row>
    <row r="623" spans="1:72" x14ac:dyDescent="0.15">
      <c r="A623" t="s">
        <v>72</v>
      </c>
      <c r="B623" t="s">
        <v>12023</v>
      </c>
      <c r="C623" t="s">
        <v>74</v>
      </c>
      <c r="D623" t="s">
        <v>74</v>
      </c>
      <c r="E623" t="s">
        <v>74</v>
      </c>
      <c r="F623" t="s">
        <v>12024</v>
      </c>
      <c r="G623" t="s">
        <v>74</v>
      </c>
      <c r="H623" t="s">
        <v>74</v>
      </c>
      <c r="I623" t="s">
        <v>12025</v>
      </c>
      <c r="J623" t="s">
        <v>12026</v>
      </c>
      <c r="K623" t="s">
        <v>74</v>
      </c>
      <c r="L623" t="s">
        <v>74</v>
      </c>
      <c r="M623" t="s">
        <v>78</v>
      </c>
      <c r="N623" t="s">
        <v>99</v>
      </c>
      <c r="O623" t="s">
        <v>74</v>
      </c>
      <c r="P623" t="s">
        <v>74</v>
      </c>
      <c r="Q623" t="s">
        <v>74</v>
      </c>
      <c r="R623" t="s">
        <v>74</v>
      </c>
      <c r="S623" t="s">
        <v>74</v>
      </c>
      <c r="T623" t="s">
        <v>12027</v>
      </c>
      <c r="U623" t="s">
        <v>12028</v>
      </c>
      <c r="V623" t="s">
        <v>12029</v>
      </c>
      <c r="W623" t="s">
        <v>12030</v>
      </c>
      <c r="X623" t="s">
        <v>12031</v>
      </c>
      <c r="Y623" t="s">
        <v>12032</v>
      </c>
      <c r="Z623" t="s">
        <v>12033</v>
      </c>
      <c r="AA623" t="s">
        <v>74</v>
      </c>
      <c r="AB623" t="s">
        <v>74</v>
      </c>
      <c r="AC623" t="s">
        <v>12034</v>
      </c>
      <c r="AD623" t="s">
        <v>12035</v>
      </c>
      <c r="AE623" t="s">
        <v>12036</v>
      </c>
      <c r="AF623" t="s">
        <v>74</v>
      </c>
      <c r="AG623">
        <v>37</v>
      </c>
      <c r="AH623">
        <v>12</v>
      </c>
      <c r="AI623">
        <v>13</v>
      </c>
      <c r="AJ623">
        <v>0</v>
      </c>
      <c r="AK623">
        <v>27</v>
      </c>
      <c r="AL623" t="s">
        <v>1945</v>
      </c>
      <c r="AM623" t="s">
        <v>1946</v>
      </c>
      <c r="AN623" t="s">
        <v>1947</v>
      </c>
      <c r="AO623" t="s">
        <v>12037</v>
      </c>
      <c r="AP623" t="s">
        <v>12038</v>
      </c>
      <c r="AQ623" t="s">
        <v>74</v>
      </c>
      <c r="AR623" t="s">
        <v>12039</v>
      </c>
      <c r="AS623" t="s">
        <v>12040</v>
      </c>
      <c r="AT623" t="s">
        <v>9658</v>
      </c>
      <c r="AU623">
        <v>2014</v>
      </c>
      <c r="AV623">
        <v>119</v>
      </c>
      <c r="AW623">
        <v>12</v>
      </c>
      <c r="AX623" t="s">
        <v>74</v>
      </c>
      <c r="AY623" t="s">
        <v>74</v>
      </c>
      <c r="AZ623" t="s">
        <v>74</v>
      </c>
      <c r="BA623" t="s">
        <v>74</v>
      </c>
      <c r="BB623">
        <v>2276</v>
      </c>
      <c r="BC623">
        <v>2291</v>
      </c>
      <c r="BD623" t="s">
        <v>74</v>
      </c>
      <c r="BE623" t="s">
        <v>12041</v>
      </c>
      <c r="BF623" t="str">
        <f>HYPERLINK("http://dx.doi.org/10.1002/2014JG002727","http://dx.doi.org/10.1002/2014JG002727")</f>
        <v>http://dx.doi.org/10.1002/2014JG002727</v>
      </c>
      <c r="BG623" t="s">
        <v>74</v>
      </c>
      <c r="BH623" t="s">
        <v>74</v>
      </c>
      <c r="BI623">
        <v>16</v>
      </c>
      <c r="BJ623" t="s">
        <v>12042</v>
      </c>
      <c r="BK623" t="s">
        <v>91</v>
      </c>
      <c r="BL623" t="s">
        <v>614</v>
      </c>
      <c r="BM623" t="s">
        <v>12043</v>
      </c>
      <c r="BN623" t="s">
        <v>74</v>
      </c>
      <c r="BO623" t="s">
        <v>134</v>
      </c>
      <c r="BP623" t="s">
        <v>74</v>
      </c>
      <c r="BQ623" t="s">
        <v>74</v>
      </c>
      <c r="BR623" t="s">
        <v>93</v>
      </c>
      <c r="BS623" t="s">
        <v>12044</v>
      </c>
      <c r="BT623" t="str">
        <f>HYPERLINK("https%3A%2F%2Fwww.webofscience.com%2Fwos%2Fwoscc%2Ffull-record%2FWOS:000348846800006","View Full Record in Web of Science")</f>
        <v>View Full Record in Web of Science</v>
      </c>
    </row>
    <row r="624" spans="1:72" x14ac:dyDescent="0.15">
      <c r="A624" t="s">
        <v>72</v>
      </c>
      <c r="B624" t="s">
        <v>12045</v>
      </c>
      <c r="C624" t="s">
        <v>74</v>
      </c>
      <c r="D624" t="s">
        <v>74</v>
      </c>
      <c r="E624" t="s">
        <v>74</v>
      </c>
      <c r="F624" t="s">
        <v>12046</v>
      </c>
      <c r="G624" t="s">
        <v>74</v>
      </c>
      <c r="H624" t="s">
        <v>74</v>
      </c>
      <c r="I624" t="s">
        <v>12047</v>
      </c>
      <c r="J624" t="s">
        <v>1932</v>
      </c>
      <c r="K624" t="s">
        <v>74</v>
      </c>
      <c r="L624" t="s">
        <v>74</v>
      </c>
      <c r="M624" t="s">
        <v>78</v>
      </c>
      <c r="N624" t="s">
        <v>99</v>
      </c>
      <c r="O624" t="s">
        <v>74</v>
      </c>
      <c r="P624" t="s">
        <v>74</v>
      </c>
      <c r="Q624" t="s">
        <v>74</v>
      </c>
      <c r="R624" t="s">
        <v>74</v>
      </c>
      <c r="S624" t="s">
        <v>74</v>
      </c>
      <c r="T624" t="s">
        <v>12048</v>
      </c>
      <c r="U624" t="s">
        <v>12049</v>
      </c>
      <c r="V624" t="s">
        <v>12050</v>
      </c>
      <c r="W624" t="s">
        <v>12051</v>
      </c>
      <c r="X624" t="s">
        <v>12052</v>
      </c>
      <c r="Y624" t="s">
        <v>6925</v>
      </c>
      <c r="Z624" t="s">
        <v>6861</v>
      </c>
      <c r="AA624" t="s">
        <v>12053</v>
      </c>
      <c r="AB624" t="s">
        <v>12054</v>
      </c>
      <c r="AC624" t="s">
        <v>12055</v>
      </c>
      <c r="AD624" t="s">
        <v>12056</v>
      </c>
      <c r="AE624" t="s">
        <v>12057</v>
      </c>
      <c r="AF624" t="s">
        <v>74</v>
      </c>
      <c r="AG624">
        <v>45</v>
      </c>
      <c r="AH624">
        <v>34</v>
      </c>
      <c r="AI624">
        <v>39</v>
      </c>
      <c r="AJ624">
        <v>2</v>
      </c>
      <c r="AK624">
        <v>20</v>
      </c>
      <c r="AL624" t="s">
        <v>1945</v>
      </c>
      <c r="AM624" t="s">
        <v>1946</v>
      </c>
      <c r="AN624" t="s">
        <v>1947</v>
      </c>
      <c r="AO624" t="s">
        <v>1948</v>
      </c>
      <c r="AP624" t="s">
        <v>1949</v>
      </c>
      <c r="AQ624" t="s">
        <v>74</v>
      </c>
      <c r="AR624" t="s">
        <v>1950</v>
      </c>
      <c r="AS624" t="s">
        <v>1951</v>
      </c>
      <c r="AT624" t="s">
        <v>9658</v>
      </c>
      <c r="AU624">
        <v>2014</v>
      </c>
      <c r="AV624">
        <v>119</v>
      </c>
      <c r="AW624">
        <v>12</v>
      </c>
      <c r="AX624" t="s">
        <v>74</v>
      </c>
      <c r="AY624" t="s">
        <v>74</v>
      </c>
      <c r="AZ624" t="s">
        <v>74</v>
      </c>
      <c r="BA624" t="s">
        <v>74</v>
      </c>
      <c r="BB624">
        <v>2604</v>
      </c>
      <c r="BC624">
        <v>2618</v>
      </c>
      <c r="BD624" t="s">
        <v>74</v>
      </c>
      <c r="BE624" t="s">
        <v>12058</v>
      </c>
      <c r="BF624" t="str">
        <f>HYPERLINK("http://dx.doi.org/10.1002/2014JF003275","http://dx.doi.org/10.1002/2014JF003275")</f>
        <v>http://dx.doi.org/10.1002/2014JF003275</v>
      </c>
      <c r="BG624" t="s">
        <v>74</v>
      </c>
      <c r="BH624" t="s">
        <v>74</v>
      </c>
      <c r="BI624">
        <v>15</v>
      </c>
      <c r="BJ624" t="s">
        <v>1953</v>
      </c>
      <c r="BK624" t="s">
        <v>91</v>
      </c>
      <c r="BL624" t="s">
        <v>1954</v>
      </c>
      <c r="BM624" t="s">
        <v>12059</v>
      </c>
      <c r="BN624" t="s">
        <v>74</v>
      </c>
      <c r="BO624" t="s">
        <v>8285</v>
      </c>
      <c r="BP624" t="s">
        <v>74</v>
      </c>
      <c r="BQ624" t="s">
        <v>74</v>
      </c>
      <c r="BR624" t="s">
        <v>93</v>
      </c>
      <c r="BS624" t="s">
        <v>12060</v>
      </c>
      <c r="BT624" t="str">
        <f>HYPERLINK("https%3A%2F%2Fwww.webofscience.com%2Fwos%2Fwoscc%2Ffull-record%2FWOS:000348735700004","View Full Record in Web of Science")</f>
        <v>View Full Record in Web of Science</v>
      </c>
    </row>
    <row r="625" spans="1:72" x14ac:dyDescent="0.15">
      <c r="A625" t="s">
        <v>72</v>
      </c>
      <c r="B625" t="s">
        <v>12061</v>
      </c>
      <c r="C625" t="s">
        <v>74</v>
      </c>
      <c r="D625" t="s">
        <v>74</v>
      </c>
      <c r="E625" t="s">
        <v>74</v>
      </c>
      <c r="F625" t="s">
        <v>12062</v>
      </c>
      <c r="G625" t="s">
        <v>74</v>
      </c>
      <c r="H625" t="s">
        <v>74</v>
      </c>
      <c r="I625" t="s">
        <v>12063</v>
      </c>
      <c r="J625" t="s">
        <v>2036</v>
      </c>
      <c r="K625" t="s">
        <v>74</v>
      </c>
      <c r="L625" t="s">
        <v>74</v>
      </c>
      <c r="M625" t="s">
        <v>78</v>
      </c>
      <c r="N625" t="s">
        <v>99</v>
      </c>
      <c r="O625" t="s">
        <v>74</v>
      </c>
      <c r="P625" t="s">
        <v>74</v>
      </c>
      <c r="Q625" t="s">
        <v>74</v>
      </c>
      <c r="R625" t="s">
        <v>74</v>
      </c>
      <c r="S625" t="s">
        <v>74</v>
      </c>
      <c r="T625" t="s">
        <v>12064</v>
      </c>
      <c r="U625" t="s">
        <v>12065</v>
      </c>
      <c r="V625" t="s">
        <v>12066</v>
      </c>
      <c r="W625" t="s">
        <v>12067</v>
      </c>
      <c r="X625" t="s">
        <v>12068</v>
      </c>
      <c r="Y625" t="s">
        <v>12069</v>
      </c>
      <c r="Z625" t="s">
        <v>7061</v>
      </c>
      <c r="AA625" t="s">
        <v>12070</v>
      </c>
      <c r="AB625" t="s">
        <v>12071</v>
      </c>
      <c r="AC625" t="s">
        <v>12072</v>
      </c>
      <c r="AD625" t="s">
        <v>12073</v>
      </c>
      <c r="AE625" t="s">
        <v>12074</v>
      </c>
      <c r="AF625" t="s">
        <v>74</v>
      </c>
      <c r="AG625">
        <v>70</v>
      </c>
      <c r="AH625">
        <v>224</v>
      </c>
      <c r="AI625">
        <v>246</v>
      </c>
      <c r="AJ625">
        <v>12</v>
      </c>
      <c r="AK625">
        <v>129</v>
      </c>
      <c r="AL625" t="s">
        <v>1945</v>
      </c>
      <c r="AM625" t="s">
        <v>1946</v>
      </c>
      <c r="AN625" t="s">
        <v>1947</v>
      </c>
      <c r="AO625" t="s">
        <v>2049</v>
      </c>
      <c r="AP625" t="s">
        <v>2050</v>
      </c>
      <c r="AQ625" t="s">
        <v>74</v>
      </c>
      <c r="AR625" t="s">
        <v>2051</v>
      </c>
      <c r="AS625" t="s">
        <v>2052</v>
      </c>
      <c r="AT625" t="s">
        <v>9658</v>
      </c>
      <c r="AU625">
        <v>2014</v>
      </c>
      <c r="AV625">
        <v>119</v>
      </c>
      <c r="AW625">
        <v>12</v>
      </c>
      <c r="AX625" t="s">
        <v>74</v>
      </c>
      <c r="AY625" t="s">
        <v>74</v>
      </c>
      <c r="AZ625" t="s">
        <v>74</v>
      </c>
      <c r="BA625" t="s">
        <v>74</v>
      </c>
      <c r="BB625">
        <v>8195</v>
      </c>
      <c r="BC625">
        <v>8220</v>
      </c>
      <c r="BD625" t="s">
        <v>74</v>
      </c>
      <c r="BE625" t="s">
        <v>12075</v>
      </c>
      <c r="BF625" t="str">
        <f>HYPERLINK("http://dx.doi.org/10.1002/2014JC010111","http://dx.doi.org/10.1002/2014JC010111")</f>
        <v>http://dx.doi.org/10.1002/2014JC010111</v>
      </c>
      <c r="BG625" t="s">
        <v>74</v>
      </c>
      <c r="BH625" t="s">
        <v>74</v>
      </c>
      <c r="BI625">
        <v>26</v>
      </c>
      <c r="BJ625" t="s">
        <v>2054</v>
      </c>
      <c r="BK625" t="s">
        <v>91</v>
      </c>
      <c r="BL625" t="s">
        <v>2054</v>
      </c>
      <c r="BM625" t="s">
        <v>9880</v>
      </c>
      <c r="BN625" t="s">
        <v>74</v>
      </c>
      <c r="BO625" t="s">
        <v>6793</v>
      </c>
      <c r="BP625" t="s">
        <v>74</v>
      </c>
      <c r="BQ625" t="s">
        <v>74</v>
      </c>
      <c r="BR625" t="s">
        <v>93</v>
      </c>
      <c r="BS625" t="s">
        <v>12076</v>
      </c>
      <c r="BT625" t="str">
        <f>HYPERLINK("https%3A%2F%2Fwww.webofscience.com%2Fwos%2Fwoscc%2Ffull-record%2FWOS:000348452800001","View Full Record in Web of Science")</f>
        <v>View Full Record in Web of Science</v>
      </c>
    </row>
    <row r="626" spans="1:72" x14ac:dyDescent="0.15">
      <c r="A626" t="s">
        <v>72</v>
      </c>
      <c r="B626" t="s">
        <v>12077</v>
      </c>
      <c r="C626" t="s">
        <v>74</v>
      </c>
      <c r="D626" t="s">
        <v>74</v>
      </c>
      <c r="E626" t="s">
        <v>74</v>
      </c>
      <c r="F626" t="s">
        <v>12078</v>
      </c>
      <c r="G626" t="s">
        <v>74</v>
      </c>
      <c r="H626" t="s">
        <v>74</v>
      </c>
      <c r="I626" t="s">
        <v>12079</v>
      </c>
      <c r="J626" t="s">
        <v>2036</v>
      </c>
      <c r="K626" t="s">
        <v>74</v>
      </c>
      <c r="L626" t="s">
        <v>74</v>
      </c>
      <c r="M626" t="s">
        <v>78</v>
      </c>
      <c r="N626" t="s">
        <v>99</v>
      </c>
      <c r="O626" t="s">
        <v>74</v>
      </c>
      <c r="P626" t="s">
        <v>74</v>
      </c>
      <c r="Q626" t="s">
        <v>74</v>
      </c>
      <c r="R626" t="s">
        <v>74</v>
      </c>
      <c r="S626" t="s">
        <v>74</v>
      </c>
      <c r="T626" t="s">
        <v>12080</v>
      </c>
      <c r="U626" t="s">
        <v>12081</v>
      </c>
      <c r="V626" t="s">
        <v>12082</v>
      </c>
      <c r="W626" t="s">
        <v>12083</v>
      </c>
      <c r="X626" t="s">
        <v>12084</v>
      </c>
      <c r="Y626" t="s">
        <v>12085</v>
      </c>
      <c r="Z626" t="s">
        <v>12086</v>
      </c>
      <c r="AA626" t="s">
        <v>12087</v>
      </c>
      <c r="AB626" t="s">
        <v>12088</v>
      </c>
      <c r="AC626" t="s">
        <v>12089</v>
      </c>
      <c r="AD626" t="s">
        <v>12090</v>
      </c>
      <c r="AE626" t="s">
        <v>12091</v>
      </c>
      <c r="AF626" t="s">
        <v>74</v>
      </c>
      <c r="AG626">
        <v>28</v>
      </c>
      <c r="AH626">
        <v>26</v>
      </c>
      <c r="AI626">
        <v>31</v>
      </c>
      <c r="AJ626">
        <v>0</v>
      </c>
      <c r="AK626">
        <v>18</v>
      </c>
      <c r="AL626" t="s">
        <v>1945</v>
      </c>
      <c r="AM626" t="s">
        <v>1946</v>
      </c>
      <c r="AN626" t="s">
        <v>1947</v>
      </c>
      <c r="AO626" t="s">
        <v>2049</v>
      </c>
      <c r="AP626" t="s">
        <v>2050</v>
      </c>
      <c r="AQ626" t="s">
        <v>74</v>
      </c>
      <c r="AR626" t="s">
        <v>2051</v>
      </c>
      <c r="AS626" t="s">
        <v>2052</v>
      </c>
      <c r="AT626" t="s">
        <v>9658</v>
      </c>
      <c r="AU626">
        <v>2014</v>
      </c>
      <c r="AV626">
        <v>119</v>
      </c>
      <c r="AW626">
        <v>12</v>
      </c>
      <c r="AX626" t="s">
        <v>74</v>
      </c>
      <c r="AY626" t="s">
        <v>74</v>
      </c>
      <c r="AZ626" t="s">
        <v>74</v>
      </c>
      <c r="BA626" t="s">
        <v>74</v>
      </c>
      <c r="BB626">
        <v>8567</v>
      </c>
      <c r="BC626">
        <v>8577</v>
      </c>
      <c r="BD626" t="s">
        <v>74</v>
      </c>
      <c r="BE626" t="s">
        <v>12092</v>
      </c>
      <c r="BF626" t="str">
        <f>HYPERLINK("http://dx.doi.org/10.1002/2014JC010367","http://dx.doi.org/10.1002/2014JC010367")</f>
        <v>http://dx.doi.org/10.1002/2014JC010367</v>
      </c>
      <c r="BG626" t="s">
        <v>74</v>
      </c>
      <c r="BH626" t="s">
        <v>74</v>
      </c>
      <c r="BI626">
        <v>11</v>
      </c>
      <c r="BJ626" t="s">
        <v>2054</v>
      </c>
      <c r="BK626" t="s">
        <v>91</v>
      </c>
      <c r="BL626" t="s">
        <v>2054</v>
      </c>
      <c r="BM626" t="s">
        <v>9880</v>
      </c>
      <c r="BN626" t="s">
        <v>74</v>
      </c>
      <c r="BO626" t="s">
        <v>375</v>
      </c>
      <c r="BP626" t="s">
        <v>74</v>
      </c>
      <c r="BQ626" t="s">
        <v>74</v>
      </c>
      <c r="BR626" t="s">
        <v>93</v>
      </c>
      <c r="BS626" t="s">
        <v>12093</v>
      </c>
      <c r="BT626" t="str">
        <f>HYPERLINK("https%3A%2F%2Fwww.webofscience.com%2Fwos%2Fwoscc%2Ffull-record%2FWOS:000348452800021","View Full Record in Web of Science")</f>
        <v>View Full Record in Web of Science</v>
      </c>
    </row>
    <row r="627" spans="1:72" x14ac:dyDescent="0.15">
      <c r="A627" t="s">
        <v>72</v>
      </c>
      <c r="B627" t="s">
        <v>12094</v>
      </c>
      <c r="C627" t="s">
        <v>74</v>
      </c>
      <c r="D627" t="s">
        <v>74</v>
      </c>
      <c r="E627" t="s">
        <v>74</v>
      </c>
      <c r="F627" t="s">
        <v>12095</v>
      </c>
      <c r="G627" t="s">
        <v>74</v>
      </c>
      <c r="H627" t="s">
        <v>74</v>
      </c>
      <c r="I627" t="s">
        <v>12096</v>
      </c>
      <c r="J627" t="s">
        <v>2036</v>
      </c>
      <c r="K627" t="s">
        <v>74</v>
      </c>
      <c r="L627" t="s">
        <v>74</v>
      </c>
      <c r="M627" t="s">
        <v>78</v>
      </c>
      <c r="N627" t="s">
        <v>99</v>
      </c>
      <c r="O627" t="s">
        <v>74</v>
      </c>
      <c r="P627" t="s">
        <v>74</v>
      </c>
      <c r="Q627" t="s">
        <v>74</v>
      </c>
      <c r="R627" t="s">
        <v>74</v>
      </c>
      <c r="S627" t="s">
        <v>74</v>
      </c>
      <c r="T627" t="s">
        <v>12097</v>
      </c>
      <c r="U627" t="s">
        <v>12098</v>
      </c>
      <c r="V627" t="s">
        <v>12099</v>
      </c>
      <c r="W627" t="s">
        <v>12100</v>
      </c>
      <c r="X627" t="s">
        <v>12101</v>
      </c>
      <c r="Y627" t="s">
        <v>12102</v>
      </c>
      <c r="Z627" t="s">
        <v>12103</v>
      </c>
      <c r="AA627" t="s">
        <v>12104</v>
      </c>
      <c r="AB627" t="s">
        <v>12105</v>
      </c>
      <c r="AC627" t="s">
        <v>12106</v>
      </c>
      <c r="AD627" t="s">
        <v>12107</v>
      </c>
      <c r="AE627" t="s">
        <v>12108</v>
      </c>
      <c r="AF627" t="s">
        <v>74</v>
      </c>
      <c r="AG627">
        <v>51</v>
      </c>
      <c r="AH627">
        <v>12</v>
      </c>
      <c r="AI627">
        <v>13</v>
      </c>
      <c r="AJ627">
        <v>0</v>
      </c>
      <c r="AK627">
        <v>12</v>
      </c>
      <c r="AL627" t="s">
        <v>1945</v>
      </c>
      <c r="AM627" t="s">
        <v>1946</v>
      </c>
      <c r="AN627" t="s">
        <v>1947</v>
      </c>
      <c r="AO627" t="s">
        <v>2049</v>
      </c>
      <c r="AP627" t="s">
        <v>2050</v>
      </c>
      <c r="AQ627" t="s">
        <v>74</v>
      </c>
      <c r="AR627" t="s">
        <v>2051</v>
      </c>
      <c r="AS627" t="s">
        <v>2052</v>
      </c>
      <c r="AT627" t="s">
        <v>9658</v>
      </c>
      <c r="AU627">
        <v>2014</v>
      </c>
      <c r="AV627">
        <v>119</v>
      </c>
      <c r="AW627">
        <v>12</v>
      </c>
      <c r="AX627" t="s">
        <v>74</v>
      </c>
      <c r="AY627" t="s">
        <v>74</v>
      </c>
      <c r="AZ627" t="s">
        <v>74</v>
      </c>
      <c r="BA627" t="s">
        <v>74</v>
      </c>
      <c r="BB627">
        <v>8627</v>
      </c>
      <c r="BC627">
        <v>8645</v>
      </c>
      <c r="BD627" t="s">
        <v>74</v>
      </c>
      <c r="BE627" t="s">
        <v>12109</v>
      </c>
      <c r="BF627" t="str">
        <f>HYPERLINK("http://dx.doi.org/10.1002/2014JC010099","http://dx.doi.org/10.1002/2014JC010099")</f>
        <v>http://dx.doi.org/10.1002/2014JC010099</v>
      </c>
      <c r="BG627" t="s">
        <v>74</v>
      </c>
      <c r="BH627" t="s">
        <v>74</v>
      </c>
      <c r="BI627">
        <v>19</v>
      </c>
      <c r="BJ627" t="s">
        <v>2054</v>
      </c>
      <c r="BK627" t="s">
        <v>91</v>
      </c>
      <c r="BL627" t="s">
        <v>2054</v>
      </c>
      <c r="BM627" t="s">
        <v>9880</v>
      </c>
      <c r="BN627" t="s">
        <v>74</v>
      </c>
      <c r="BO627" t="s">
        <v>12110</v>
      </c>
      <c r="BP627" t="s">
        <v>74</v>
      </c>
      <c r="BQ627" t="s">
        <v>74</v>
      </c>
      <c r="BR627" t="s">
        <v>93</v>
      </c>
      <c r="BS627" t="s">
        <v>12111</v>
      </c>
      <c r="BT627" t="str">
        <f>HYPERLINK("https%3A%2F%2Fwww.webofscience.com%2Fwos%2Fwoscc%2Ffull-record%2FWOS:000348452800024","View Full Record in Web of Science")</f>
        <v>View Full Record in Web of Science</v>
      </c>
    </row>
    <row r="628" spans="1:72" x14ac:dyDescent="0.15">
      <c r="A628" t="s">
        <v>72</v>
      </c>
      <c r="B628" t="s">
        <v>12112</v>
      </c>
      <c r="C628" t="s">
        <v>74</v>
      </c>
      <c r="D628" t="s">
        <v>74</v>
      </c>
      <c r="E628" t="s">
        <v>74</v>
      </c>
      <c r="F628" t="s">
        <v>12113</v>
      </c>
      <c r="G628" t="s">
        <v>74</v>
      </c>
      <c r="H628" t="s">
        <v>74</v>
      </c>
      <c r="I628" t="s">
        <v>12114</v>
      </c>
      <c r="J628" t="s">
        <v>6798</v>
      </c>
      <c r="K628" t="s">
        <v>74</v>
      </c>
      <c r="L628" t="s">
        <v>74</v>
      </c>
      <c r="M628" t="s">
        <v>78</v>
      </c>
      <c r="N628" t="s">
        <v>99</v>
      </c>
      <c r="O628" t="s">
        <v>74</v>
      </c>
      <c r="P628" t="s">
        <v>74</v>
      </c>
      <c r="Q628" t="s">
        <v>74</v>
      </c>
      <c r="R628" t="s">
        <v>74</v>
      </c>
      <c r="S628" t="s">
        <v>74</v>
      </c>
      <c r="T628" t="s">
        <v>12115</v>
      </c>
      <c r="U628" t="s">
        <v>12116</v>
      </c>
      <c r="V628" t="s">
        <v>12117</v>
      </c>
      <c r="W628" t="s">
        <v>12118</v>
      </c>
      <c r="X628" t="s">
        <v>12119</v>
      </c>
      <c r="Y628" t="s">
        <v>12120</v>
      </c>
      <c r="Z628" t="s">
        <v>12121</v>
      </c>
      <c r="AA628" t="s">
        <v>12122</v>
      </c>
      <c r="AB628" t="s">
        <v>12123</v>
      </c>
      <c r="AC628" t="s">
        <v>12124</v>
      </c>
      <c r="AD628" t="s">
        <v>12125</v>
      </c>
      <c r="AE628" t="s">
        <v>12126</v>
      </c>
      <c r="AF628" t="s">
        <v>74</v>
      </c>
      <c r="AG628">
        <v>81</v>
      </c>
      <c r="AH628">
        <v>14</v>
      </c>
      <c r="AI628">
        <v>17</v>
      </c>
      <c r="AJ628">
        <v>0</v>
      </c>
      <c r="AK628">
        <v>21</v>
      </c>
      <c r="AL628" t="s">
        <v>1945</v>
      </c>
      <c r="AM628" t="s">
        <v>1946</v>
      </c>
      <c r="AN628" t="s">
        <v>1947</v>
      </c>
      <c r="AO628" t="s">
        <v>6811</v>
      </c>
      <c r="AP628" t="s">
        <v>6812</v>
      </c>
      <c r="AQ628" t="s">
        <v>74</v>
      </c>
      <c r="AR628" t="s">
        <v>6813</v>
      </c>
      <c r="AS628" t="s">
        <v>6814</v>
      </c>
      <c r="AT628" t="s">
        <v>9658</v>
      </c>
      <c r="AU628">
        <v>2014</v>
      </c>
      <c r="AV628">
        <v>119</v>
      </c>
      <c r="AW628">
        <v>12</v>
      </c>
      <c r="AX628" t="s">
        <v>74</v>
      </c>
      <c r="AY628" t="s">
        <v>74</v>
      </c>
      <c r="AZ628" t="s">
        <v>74</v>
      </c>
      <c r="BA628" t="s">
        <v>74</v>
      </c>
      <c r="BB628">
        <v>9171</v>
      </c>
      <c r="BC628">
        <v>9182</v>
      </c>
      <c r="BD628" t="s">
        <v>74</v>
      </c>
      <c r="BE628" t="s">
        <v>12127</v>
      </c>
      <c r="BF628" t="str">
        <f>HYPERLINK("http://dx.doi.org/10.1002/2014JB011479","http://dx.doi.org/10.1002/2014JB011479")</f>
        <v>http://dx.doi.org/10.1002/2014JB011479</v>
      </c>
      <c r="BG628" t="s">
        <v>74</v>
      </c>
      <c r="BH628" t="s">
        <v>74</v>
      </c>
      <c r="BI628">
        <v>12</v>
      </c>
      <c r="BJ628" t="s">
        <v>1902</v>
      </c>
      <c r="BK628" t="s">
        <v>91</v>
      </c>
      <c r="BL628" t="s">
        <v>1902</v>
      </c>
      <c r="BM628" t="s">
        <v>12128</v>
      </c>
      <c r="BN628" t="s">
        <v>74</v>
      </c>
      <c r="BO628" t="s">
        <v>2056</v>
      </c>
      <c r="BP628" t="s">
        <v>74</v>
      </c>
      <c r="BQ628" t="s">
        <v>74</v>
      </c>
      <c r="BR628" t="s">
        <v>93</v>
      </c>
      <c r="BS628" t="s">
        <v>12129</v>
      </c>
      <c r="BT628" t="str">
        <f>HYPERLINK("https%3A%2F%2Fwww.webofscience.com%2Fwos%2Fwoscc%2Ffull-record%2FWOS:000348452200034","View Full Record in Web of Science")</f>
        <v>View Full Record in Web of Science</v>
      </c>
    </row>
    <row r="629" spans="1:72" x14ac:dyDescent="0.15">
      <c r="A629" t="s">
        <v>72</v>
      </c>
      <c r="B629" t="s">
        <v>12130</v>
      </c>
      <c r="C629" t="s">
        <v>74</v>
      </c>
      <c r="D629" t="s">
        <v>74</v>
      </c>
      <c r="E629" t="s">
        <v>74</v>
      </c>
      <c r="F629" t="s">
        <v>12131</v>
      </c>
      <c r="G629" t="s">
        <v>74</v>
      </c>
      <c r="H629" t="s">
        <v>74</v>
      </c>
      <c r="I629" t="s">
        <v>12132</v>
      </c>
      <c r="J629" t="s">
        <v>2061</v>
      </c>
      <c r="K629" t="s">
        <v>74</v>
      </c>
      <c r="L629" t="s">
        <v>74</v>
      </c>
      <c r="M629" t="s">
        <v>78</v>
      </c>
      <c r="N629" t="s">
        <v>99</v>
      </c>
      <c r="O629" t="s">
        <v>74</v>
      </c>
      <c r="P629" t="s">
        <v>74</v>
      </c>
      <c r="Q629" t="s">
        <v>74</v>
      </c>
      <c r="R629" t="s">
        <v>74</v>
      </c>
      <c r="S629" t="s">
        <v>74</v>
      </c>
      <c r="T629" t="s">
        <v>74</v>
      </c>
      <c r="U629" t="s">
        <v>12133</v>
      </c>
      <c r="V629" t="s">
        <v>12134</v>
      </c>
      <c r="W629" t="s">
        <v>12135</v>
      </c>
      <c r="X629" t="s">
        <v>12136</v>
      </c>
      <c r="Y629" t="s">
        <v>12137</v>
      </c>
      <c r="Z629" t="s">
        <v>12138</v>
      </c>
      <c r="AA629" t="s">
        <v>12139</v>
      </c>
      <c r="AB629" t="s">
        <v>12140</v>
      </c>
      <c r="AC629" t="s">
        <v>12141</v>
      </c>
      <c r="AD629" t="s">
        <v>12142</v>
      </c>
      <c r="AE629" t="s">
        <v>12143</v>
      </c>
      <c r="AF629" t="s">
        <v>74</v>
      </c>
      <c r="AG629">
        <v>45</v>
      </c>
      <c r="AH629">
        <v>25</v>
      </c>
      <c r="AI629">
        <v>27</v>
      </c>
      <c r="AJ629">
        <v>0</v>
      </c>
      <c r="AK629">
        <v>1</v>
      </c>
      <c r="AL629" t="s">
        <v>1945</v>
      </c>
      <c r="AM629" t="s">
        <v>1946</v>
      </c>
      <c r="AN629" t="s">
        <v>1947</v>
      </c>
      <c r="AO629" t="s">
        <v>2074</v>
      </c>
      <c r="AP629" t="s">
        <v>2075</v>
      </c>
      <c r="AQ629" t="s">
        <v>74</v>
      </c>
      <c r="AR629" t="s">
        <v>2076</v>
      </c>
      <c r="AS629" t="s">
        <v>2077</v>
      </c>
      <c r="AT629" t="s">
        <v>9658</v>
      </c>
      <c r="AU629">
        <v>2014</v>
      </c>
      <c r="AV629">
        <v>119</v>
      </c>
      <c r="AW629">
        <v>12</v>
      </c>
      <c r="AX629" t="s">
        <v>74</v>
      </c>
      <c r="AY629" t="s">
        <v>74</v>
      </c>
      <c r="AZ629" t="s">
        <v>74</v>
      </c>
      <c r="BA629" t="s">
        <v>74</v>
      </c>
      <c r="BB629" t="s">
        <v>74</v>
      </c>
      <c r="BC629" t="s">
        <v>74</v>
      </c>
      <c r="BD629" t="s">
        <v>74</v>
      </c>
      <c r="BE629" t="s">
        <v>12144</v>
      </c>
      <c r="BF629" t="str">
        <f>HYPERLINK("http://dx.doi.org/10.1002/2014JA020658","http://dx.doi.org/10.1002/2014JA020658")</f>
        <v>http://dx.doi.org/10.1002/2014JA020658</v>
      </c>
      <c r="BG629" t="s">
        <v>74</v>
      </c>
      <c r="BH629" t="s">
        <v>74</v>
      </c>
      <c r="BI629">
        <v>16</v>
      </c>
      <c r="BJ629" t="s">
        <v>2079</v>
      </c>
      <c r="BK629" t="s">
        <v>91</v>
      </c>
      <c r="BL629" t="s">
        <v>2079</v>
      </c>
      <c r="BM629" t="s">
        <v>9694</v>
      </c>
      <c r="BN629" t="s">
        <v>74</v>
      </c>
      <c r="BO629" t="s">
        <v>74</v>
      </c>
      <c r="BP629" t="s">
        <v>74</v>
      </c>
      <c r="BQ629" t="s">
        <v>74</v>
      </c>
      <c r="BR629" t="s">
        <v>93</v>
      </c>
      <c r="BS629" t="s">
        <v>12145</v>
      </c>
      <c r="BT629" t="str">
        <f>HYPERLINK("https%3A%2F%2Fwww.webofscience.com%2Fwos%2Fwoscc%2Ffull-record%2FWOS:000349161100080","View Full Record in Web of Science")</f>
        <v>View Full Record in Web of Science</v>
      </c>
    </row>
    <row r="630" spans="1:72" x14ac:dyDescent="0.15">
      <c r="A630" t="s">
        <v>72</v>
      </c>
      <c r="B630" t="s">
        <v>12146</v>
      </c>
      <c r="C630" t="s">
        <v>74</v>
      </c>
      <c r="D630" t="s">
        <v>74</v>
      </c>
      <c r="E630" t="s">
        <v>74</v>
      </c>
      <c r="F630" t="s">
        <v>12147</v>
      </c>
      <c r="G630" t="s">
        <v>74</v>
      </c>
      <c r="H630" t="s">
        <v>74</v>
      </c>
      <c r="I630" t="s">
        <v>12148</v>
      </c>
      <c r="J630" t="s">
        <v>2061</v>
      </c>
      <c r="K630" t="s">
        <v>74</v>
      </c>
      <c r="L630" t="s">
        <v>74</v>
      </c>
      <c r="M630" t="s">
        <v>78</v>
      </c>
      <c r="N630" t="s">
        <v>99</v>
      </c>
      <c r="O630" t="s">
        <v>74</v>
      </c>
      <c r="P630" t="s">
        <v>74</v>
      </c>
      <c r="Q630" t="s">
        <v>74</v>
      </c>
      <c r="R630" t="s">
        <v>74</v>
      </c>
      <c r="S630" t="s">
        <v>74</v>
      </c>
      <c r="T630" t="s">
        <v>74</v>
      </c>
      <c r="U630" t="s">
        <v>12149</v>
      </c>
      <c r="V630" t="s">
        <v>12150</v>
      </c>
      <c r="W630" t="s">
        <v>12151</v>
      </c>
      <c r="X630" t="s">
        <v>4616</v>
      </c>
      <c r="Y630" t="s">
        <v>12152</v>
      </c>
      <c r="Z630" t="s">
        <v>12153</v>
      </c>
      <c r="AA630" t="s">
        <v>12154</v>
      </c>
      <c r="AB630" t="s">
        <v>12155</v>
      </c>
      <c r="AC630" t="s">
        <v>12156</v>
      </c>
      <c r="AD630" t="s">
        <v>12157</v>
      </c>
      <c r="AE630" t="s">
        <v>12158</v>
      </c>
      <c r="AF630" t="s">
        <v>74</v>
      </c>
      <c r="AG630">
        <v>69</v>
      </c>
      <c r="AH630">
        <v>3</v>
      </c>
      <c r="AI630">
        <v>3</v>
      </c>
      <c r="AJ630">
        <v>0</v>
      </c>
      <c r="AK630">
        <v>9</v>
      </c>
      <c r="AL630" t="s">
        <v>1945</v>
      </c>
      <c r="AM630" t="s">
        <v>1946</v>
      </c>
      <c r="AN630" t="s">
        <v>1947</v>
      </c>
      <c r="AO630" t="s">
        <v>2074</v>
      </c>
      <c r="AP630" t="s">
        <v>2075</v>
      </c>
      <c r="AQ630" t="s">
        <v>74</v>
      </c>
      <c r="AR630" t="s">
        <v>2076</v>
      </c>
      <c r="AS630" t="s">
        <v>2077</v>
      </c>
      <c r="AT630" t="s">
        <v>9658</v>
      </c>
      <c r="AU630">
        <v>2014</v>
      </c>
      <c r="AV630">
        <v>119</v>
      </c>
      <c r="AW630">
        <v>12</v>
      </c>
      <c r="AX630" t="s">
        <v>74</v>
      </c>
      <c r="AY630" t="s">
        <v>74</v>
      </c>
      <c r="AZ630" t="s">
        <v>74</v>
      </c>
      <c r="BA630" t="s">
        <v>74</v>
      </c>
      <c r="BB630" t="s">
        <v>74</v>
      </c>
      <c r="BC630" t="s">
        <v>74</v>
      </c>
      <c r="BD630" t="s">
        <v>74</v>
      </c>
      <c r="BE630" t="s">
        <v>12159</v>
      </c>
      <c r="BF630" t="str">
        <f>HYPERLINK("http://dx.doi.org/10.1002/2014JA020430","http://dx.doi.org/10.1002/2014JA020430")</f>
        <v>http://dx.doi.org/10.1002/2014JA020430</v>
      </c>
      <c r="BG630" t="s">
        <v>74</v>
      </c>
      <c r="BH630" t="s">
        <v>74</v>
      </c>
      <c r="BI630">
        <v>17</v>
      </c>
      <c r="BJ630" t="s">
        <v>2079</v>
      </c>
      <c r="BK630" t="s">
        <v>91</v>
      </c>
      <c r="BL630" t="s">
        <v>2079</v>
      </c>
      <c r="BM630" t="s">
        <v>9694</v>
      </c>
      <c r="BN630" t="s">
        <v>74</v>
      </c>
      <c r="BO630" t="s">
        <v>6900</v>
      </c>
      <c r="BP630" t="s">
        <v>74</v>
      </c>
      <c r="BQ630" t="s">
        <v>74</v>
      </c>
      <c r="BR630" t="s">
        <v>93</v>
      </c>
      <c r="BS630" t="s">
        <v>12160</v>
      </c>
      <c r="BT630" t="str">
        <f>HYPERLINK("https%3A%2F%2Fwww.webofscience.com%2Fwos%2Fwoscc%2Ffull-record%2FWOS:000349161100047","View Full Record in Web of Science")</f>
        <v>View Full Record in Web of Science</v>
      </c>
    </row>
    <row r="631" spans="1:72" x14ac:dyDescent="0.15">
      <c r="A631" t="s">
        <v>72</v>
      </c>
      <c r="B631" t="s">
        <v>12161</v>
      </c>
      <c r="C631" t="s">
        <v>74</v>
      </c>
      <c r="D631" t="s">
        <v>74</v>
      </c>
      <c r="E631" t="s">
        <v>74</v>
      </c>
      <c r="F631" t="s">
        <v>12162</v>
      </c>
      <c r="G631" t="s">
        <v>74</v>
      </c>
      <c r="H631" t="s">
        <v>74</v>
      </c>
      <c r="I631" t="s">
        <v>12163</v>
      </c>
      <c r="J631" t="s">
        <v>12164</v>
      </c>
      <c r="K631" t="s">
        <v>74</v>
      </c>
      <c r="L631" t="s">
        <v>74</v>
      </c>
      <c r="M631" t="s">
        <v>78</v>
      </c>
      <c r="N631" t="s">
        <v>99</v>
      </c>
      <c r="O631" t="s">
        <v>74</v>
      </c>
      <c r="P631" t="s">
        <v>74</v>
      </c>
      <c r="Q631" t="s">
        <v>74</v>
      </c>
      <c r="R631" t="s">
        <v>74</v>
      </c>
      <c r="S631" t="s">
        <v>74</v>
      </c>
      <c r="T631" t="s">
        <v>12165</v>
      </c>
      <c r="U631" t="s">
        <v>12166</v>
      </c>
      <c r="V631" t="s">
        <v>12167</v>
      </c>
      <c r="W631" t="s">
        <v>12168</v>
      </c>
      <c r="X631" t="s">
        <v>12169</v>
      </c>
      <c r="Y631" t="s">
        <v>12170</v>
      </c>
      <c r="Z631" t="s">
        <v>12171</v>
      </c>
      <c r="AA631" t="s">
        <v>74</v>
      </c>
      <c r="AB631" t="s">
        <v>12172</v>
      </c>
      <c r="AC631" t="s">
        <v>12173</v>
      </c>
      <c r="AD631" t="s">
        <v>12174</v>
      </c>
      <c r="AE631" t="s">
        <v>12175</v>
      </c>
      <c r="AF631" t="s">
        <v>74</v>
      </c>
      <c r="AG631">
        <v>99</v>
      </c>
      <c r="AH631">
        <v>16</v>
      </c>
      <c r="AI631">
        <v>21</v>
      </c>
      <c r="AJ631">
        <v>1</v>
      </c>
      <c r="AK631">
        <v>25</v>
      </c>
      <c r="AL631" t="s">
        <v>2006</v>
      </c>
      <c r="AM631" t="s">
        <v>2007</v>
      </c>
      <c r="AN631" t="s">
        <v>2008</v>
      </c>
      <c r="AO631" t="s">
        <v>12176</v>
      </c>
      <c r="AP631" t="s">
        <v>12177</v>
      </c>
      <c r="AQ631" t="s">
        <v>74</v>
      </c>
      <c r="AR631" t="s">
        <v>12178</v>
      </c>
      <c r="AS631" t="s">
        <v>12179</v>
      </c>
      <c r="AT631" t="s">
        <v>9658</v>
      </c>
      <c r="AU631">
        <v>2014</v>
      </c>
      <c r="AV631">
        <v>32</v>
      </c>
      <c r="AW631">
        <v>9</v>
      </c>
      <c r="AX631" t="s">
        <v>74</v>
      </c>
      <c r="AY631" t="s">
        <v>74</v>
      </c>
      <c r="AZ631" t="s">
        <v>74</v>
      </c>
      <c r="BA631" t="s">
        <v>74</v>
      </c>
      <c r="BB631">
        <v>1041</v>
      </c>
      <c r="BC631">
        <v>1062</v>
      </c>
      <c r="BD631" t="s">
        <v>74</v>
      </c>
      <c r="BE631" t="s">
        <v>12180</v>
      </c>
      <c r="BF631" t="str">
        <f>HYPERLINK("http://dx.doi.org/10.1111/jmg.12106","http://dx.doi.org/10.1111/jmg.12106")</f>
        <v>http://dx.doi.org/10.1111/jmg.12106</v>
      </c>
      <c r="BG631" t="s">
        <v>74</v>
      </c>
      <c r="BH631" t="s">
        <v>74</v>
      </c>
      <c r="BI631">
        <v>22</v>
      </c>
      <c r="BJ631" t="s">
        <v>1954</v>
      </c>
      <c r="BK631" t="s">
        <v>91</v>
      </c>
      <c r="BL631" t="s">
        <v>1954</v>
      </c>
      <c r="BM631" t="s">
        <v>12181</v>
      </c>
      <c r="BN631" t="s">
        <v>74</v>
      </c>
      <c r="BO631" t="s">
        <v>74</v>
      </c>
      <c r="BP631" t="s">
        <v>74</v>
      </c>
      <c r="BQ631" t="s">
        <v>74</v>
      </c>
      <c r="BR631" t="s">
        <v>93</v>
      </c>
      <c r="BS631" t="s">
        <v>12182</v>
      </c>
      <c r="BT631" t="str">
        <f>HYPERLINK("https%3A%2F%2Fwww.webofscience.com%2Fwos%2Fwoscc%2Ffull-record%2FWOS:000344322700007","View Full Record in Web of Science")</f>
        <v>View Full Record in Web of Science</v>
      </c>
    </row>
    <row r="632" spans="1:72" x14ac:dyDescent="0.15">
      <c r="A632" t="s">
        <v>72</v>
      </c>
      <c r="B632" t="s">
        <v>12183</v>
      </c>
      <c r="C632" t="s">
        <v>74</v>
      </c>
      <c r="D632" t="s">
        <v>74</v>
      </c>
      <c r="E632" t="s">
        <v>74</v>
      </c>
      <c r="F632" t="s">
        <v>12184</v>
      </c>
      <c r="G632" t="s">
        <v>74</v>
      </c>
      <c r="H632" t="s">
        <v>2924</v>
      </c>
      <c r="I632" t="s">
        <v>12185</v>
      </c>
      <c r="J632" t="s">
        <v>12186</v>
      </c>
      <c r="K632" t="s">
        <v>74</v>
      </c>
      <c r="L632" t="s">
        <v>74</v>
      </c>
      <c r="M632" t="s">
        <v>78</v>
      </c>
      <c r="N632" t="s">
        <v>99</v>
      </c>
      <c r="O632" t="s">
        <v>74</v>
      </c>
      <c r="P632" t="s">
        <v>74</v>
      </c>
      <c r="Q632" t="s">
        <v>74</v>
      </c>
      <c r="R632" t="s">
        <v>74</v>
      </c>
      <c r="S632" t="s">
        <v>74</v>
      </c>
      <c r="T632" t="s">
        <v>12187</v>
      </c>
      <c r="U632" t="s">
        <v>12188</v>
      </c>
      <c r="V632" t="s">
        <v>12189</v>
      </c>
      <c r="W632" t="s">
        <v>12190</v>
      </c>
      <c r="X632" t="s">
        <v>12191</v>
      </c>
      <c r="Y632" t="s">
        <v>12192</v>
      </c>
      <c r="Z632" t="s">
        <v>12193</v>
      </c>
      <c r="AA632" t="s">
        <v>12194</v>
      </c>
      <c r="AB632" t="s">
        <v>12195</v>
      </c>
      <c r="AC632" t="s">
        <v>12196</v>
      </c>
      <c r="AD632" t="s">
        <v>12197</v>
      </c>
      <c r="AE632" t="s">
        <v>12198</v>
      </c>
      <c r="AF632" t="s">
        <v>74</v>
      </c>
      <c r="AG632">
        <v>59</v>
      </c>
      <c r="AH632">
        <v>23</v>
      </c>
      <c r="AI632">
        <v>25</v>
      </c>
      <c r="AJ632">
        <v>2</v>
      </c>
      <c r="AK632">
        <v>64</v>
      </c>
      <c r="AL632" t="s">
        <v>2666</v>
      </c>
      <c r="AM632" t="s">
        <v>6414</v>
      </c>
      <c r="AN632" t="s">
        <v>6415</v>
      </c>
      <c r="AO632" t="s">
        <v>12199</v>
      </c>
      <c r="AP632" t="s">
        <v>12200</v>
      </c>
      <c r="AQ632" t="s">
        <v>74</v>
      </c>
      <c r="AR632" t="s">
        <v>12201</v>
      </c>
      <c r="AS632" t="s">
        <v>12202</v>
      </c>
      <c r="AT632" t="s">
        <v>9658</v>
      </c>
      <c r="AU632">
        <v>2014</v>
      </c>
      <c r="AV632">
        <v>52</v>
      </c>
      <c r="AW632">
        <v>4</v>
      </c>
      <c r="AX632" t="s">
        <v>74</v>
      </c>
      <c r="AY632" t="s">
        <v>74</v>
      </c>
      <c r="AZ632" t="s">
        <v>74</v>
      </c>
      <c r="BA632" t="s">
        <v>74</v>
      </c>
      <c r="BB632">
        <v>349</v>
      </c>
      <c r="BC632">
        <v>366</v>
      </c>
      <c r="BD632" t="s">
        <v>74</v>
      </c>
      <c r="BE632" t="s">
        <v>12203</v>
      </c>
      <c r="BF632" t="str">
        <f>HYPERLINK("http://dx.doi.org/10.1007/s10933-014-9798-y","http://dx.doi.org/10.1007/s10933-014-9798-y")</f>
        <v>http://dx.doi.org/10.1007/s10933-014-9798-y</v>
      </c>
      <c r="BG632" t="s">
        <v>74</v>
      </c>
      <c r="BH632" t="s">
        <v>74</v>
      </c>
      <c r="BI632">
        <v>18</v>
      </c>
      <c r="BJ632" t="s">
        <v>12204</v>
      </c>
      <c r="BK632" t="s">
        <v>91</v>
      </c>
      <c r="BL632" t="s">
        <v>12205</v>
      </c>
      <c r="BM632" t="s">
        <v>12206</v>
      </c>
      <c r="BN632" t="s">
        <v>74</v>
      </c>
      <c r="BO632" t="s">
        <v>74</v>
      </c>
      <c r="BP632" t="s">
        <v>74</v>
      </c>
      <c r="BQ632" t="s">
        <v>74</v>
      </c>
      <c r="BR632" t="s">
        <v>93</v>
      </c>
      <c r="BS632" t="s">
        <v>12207</v>
      </c>
      <c r="BT632" t="str">
        <f>HYPERLINK("https%3A%2F%2Fwww.webofscience.com%2Fwos%2Fwoscc%2Ffull-record%2FWOS:000345095100005","View Full Record in Web of Science")</f>
        <v>View Full Record in Web of Science</v>
      </c>
    </row>
    <row r="633" spans="1:72" x14ac:dyDescent="0.15">
      <c r="A633" t="s">
        <v>72</v>
      </c>
      <c r="B633" t="s">
        <v>12208</v>
      </c>
      <c r="C633" t="s">
        <v>74</v>
      </c>
      <c r="D633" t="s">
        <v>74</v>
      </c>
      <c r="E633" t="s">
        <v>74</v>
      </c>
      <c r="F633" t="s">
        <v>12209</v>
      </c>
      <c r="G633" t="s">
        <v>74</v>
      </c>
      <c r="H633" t="s">
        <v>74</v>
      </c>
      <c r="I633" t="s">
        <v>12210</v>
      </c>
      <c r="J633" t="s">
        <v>2840</v>
      </c>
      <c r="K633" t="s">
        <v>74</v>
      </c>
      <c r="L633" t="s">
        <v>74</v>
      </c>
      <c r="M633" t="s">
        <v>78</v>
      </c>
      <c r="N633" t="s">
        <v>99</v>
      </c>
      <c r="O633" t="s">
        <v>74</v>
      </c>
      <c r="P633" t="s">
        <v>74</v>
      </c>
      <c r="Q633" t="s">
        <v>74</v>
      </c>
      <c r="R633" t="s">
        <v>74</v>
      </c>
      <c r="S633" t="s">
        <v>74</v>
      </c>
      <c r="T633" t="s">
        <v>74</v>
      </c>
      <c r="U633" t="s">
        <v>12211</v>
      </c>
      <c r="V633" t="s">
        <v>12212</v>
      </c>
      <c r="W633" t="s">
        <v>12213</v>
      </c>
      <c r="X633" t="s">
        <v>12214</v>
      </c>
      <c r="Y633" t="s">
        <v>12215</v>
      </c>
      <c r="Z633" t="s">
        <v>12216</v>
      </c>
      <c r="AA633" t="s">
        <v>12217</v>
      </c>
      <c r="AB633" t="s">
        <v>74</v>
      </c>
      <c r="AC633" t="s">
        <v>12218</v>
      </c>
      <c r="AD633" t="s">
        <v>12219</v>
      </c>
      <c r="AE633" t="s">
        <v>12220</v>
      </c>
      <c r="AF633" t="s">
        <v>74</v>
      </c>
      <c r="AG633">
        <v>73</v>
      </c>
      <c r="AH633">
        <v>101</v>
      </c>
      <c r="AI633">
        <v>116</v>
      </c>
      <c r="AJ633">
        <v>2</v>
      </c>
      <c r="AK633">
        <v>64</v>
      </c>
      <c r="AL633" t="s">
        <v>1563</v>
      </c>
      <c r="AM633" t="s">
        <v>1564</v>
      </c>
      <c r="AN633" t="s">
        <v>1565</v>
      </c>
      <c r="AO633" t="s">
        <v>2852</v>
      </c>
      <c r="AP633" t="s">
        <v>2853</v>
      </c>
      <c r="AQ633" t="s">
        <v>74</v>
      </c>
      <c r="AR633" t="s">
        <v>2854</v>
      </c>
      <c r="AS633" t="s">
        <v>2855</v>
      </c>
      <c r="AT633" t="s">
        <v>9658</v>
      </c>
      <c r="AU633">
        <v>2014</v>
      </c>
      <c r="AV633">
        <v>44</v>
      </c>
      <c r="AW633">
        <v>12</v>
      </c>
      <c r="AX633" t="s">
        <v>74</v>
      </c>
      <c r="AY633" t="s">
        <v>74</v>
      </c>
      <c r="AZ633" t="s">
        <v>74</v>
      </c>
      <c r="BA633" t="s">
        <v>74</v>
      </c>
      <c r="BB633">
        <v>3054</v>
      </c>
      <c r="BC633">
        <v>3071</v>
      </c>
      <c r="BD633" t="s">
        <v>74</v>
      </c>
      <c r="BE633" t="s">
        <v>12221</v>
      </c>
      <c r="BF633" t="str">
        <f>HYPERLINK("http://dx.doi.org/10.1175/JPO-D-13-0217.1","http://dx.doi.org/10.1175/JPO-D-13-0217.1")</f>
        <v>http://dx.doi.org/10.1175/JPO-D-13-0217.1</v>
      </c>
      <c r="BG633" t="s">
        <v>74</v>
      </c>
      <c r="BH633" t="s">
        <v>74</v>
      </c>
      <c r="BI633">
        <v>18</v>
      </c>
      <c r="BJ633" t="s">
        <v>2054</v>
      </c>
      <c r="BK633" t="s">
        <v>91</v>
      </c>
      <c r="BL633" t="s">
        <v>2054</v>
      </c>
      <c r="BM633" t="s">
        <v>10560</v>
      </c>
      <c r="BN633" t="s">
        <v>74</v>
      </c>
      <c r="BO633" t="s">
        <v>134</v>
      </c>
      <c r="BP633" t="s">
        <v>74</v>
      </c>
      <c r="BQ633" t="s">
        <v>74</v>
      </c>
      <c r="BR633" t="s">
        <v>93</v>
      </c>
      <c r="BS633" t="s">
        <v>12222</v>
      </c>
      <c r="BT633" t="str">
        <f>HYPERLINK("https%3A%2F%2Fwww.webofscience.com%2Fwos%2Fwoscc%2Ffull-record%2FWOS:000345812300005","View Full Record in Web of Science")</f>
        <v>View Full Record in Web of Science</v>
      </c>
    </row>
    <row r="634" spans="1:72" x14ac:dyDescent="0.15">
      <c r="A634" t="s">
        <v>72</v>
      </c>
      <c r="B634" t="s">
        <v>12223</v>
      </c>
      <c r="C634" t="s">
        <v>74</v>
      </c>
      <c r="D634" t="s">
        <v>74</v>
      </c>
      <c r="E634" t="s">
        <v>74</v>
      </c>
      <c r="F634" t="s">
        <v>12224</v>
      </c>
      <c r="G634" t="s">
        <v>74</v>
      </c>
      <c r="H634" t="s">
        <v>74</v>
      </c>
      <c r="I634" t="s">
        <v>12225</v>
      </c>
      <c r="J634" t="s">
        <v>2840</v>
      </c>
      <c r="K634" t="s">
        <v>74</v>
      </c>
      <c r="L634" t="s">
        <v>74</v>
      </c>
      <c r="M634" t="s">
        <v>78</v>
      </c>
      <c r="N634" t="s">
        <v>99</v>
      </c>
      <c r="O634" t="s">
        <v>74</v>
      </c>
      <c r="P634" t="s">
        <v>74</v>
      </c>
      <c r="Q634" t="s">
        <v>74</v>
      </c>
      <c r="R634" t="s">
        <v>74</v>
      </c>
      <c r="S634" t="s">
        <v>74</v>
      </c>
      <c r="T634" t="s">
        <v>74</v>
      </c>
      <c r="U634" t="s">
        <v>12226</v>
      </c>
      <c r="V634" t="s">
        <v>12227</v>
      </c>
      <c r="W634" t="s">
        <v>12228</v>
      </c>
      <c r="X634" t="s">
        <v>12229</v>
      </c>
      <c r="Y634" t="s">
        <v>7073</v>
      </c>
      <c r="Z634" t="s">
        <v>12230</v>
      </c>
      <c r="AA634" t="s">
        <v>12231</v>
      </c>
      <c r="AB634" t="s">
        <v>12232</v>
      </c>
      <c r="AC634" t="s">
        <v>12233</v>
      </c>
      <c r="AD634" t="s">
        <v>7078</v>
      </c>
      <c r="AE634" t="s">
        <v>12234</v>
      </c>
      <c r="AF634" t="s">
        <v>74</v>
      </c>
      <c r="AG634">
        <v>82</v>
      </c>
      <c r="AH634">
        <v>58</v>
      </c>
      <c r="AI634">
        <v>64</v>
      </c>
      <c r="AJ634">
        <v>0</v>
      </c>
      <c r="AK634">
        <v>26</v>
      </c>
      <c r="AL634" t="s">
        <v>1563</v>
      </c>
      <c r="AM634" t="s">
        <v>1564</v>
      </c>
      <c r="AN634" t="s">
        <v>1565</v>
      </c>
      <c r="AO634" t="s">
        <v>2852</v>
      </c>
      <c r="AP634" t="s">
        <v>2853</v>
      </c>
      <c r="AQ634" t="s">
        <v>74</v>
      </c>
      <c r="AR634" t="s">
        <v>2854</v>
      </c>
      <c r="AS634" t="s">
        <v>2855</v>
      </c>
      <c r="AT634" t="s">
        <v>9658</v>
      </c>
      <c r="AU634">
        <v>2014</v>
      </c>
      <c r="AV634">
        <v>44</v>
      </c>
      <c r="AW634">
        <v>12</v>
      </c>
      <c r="AX634" t="s">
        <v>74</v>
      </c>
      <c r="AY634" t="s">
        <v>74</v>
      </c>
      <c r="AZ634" t="s">
        <v>74</v>
      </c>
      <c r="BA634" t="s">
        <v>74</v>
      </c>
      <c r="BB634">
        <v>3099</v>
      </c>
      <c r="BC634">
        <v>3117</v>
      </c>
      <c r="BD634" t="s">
        <v>74</v>
      </c>
      <c r="BE634" t="s">
        <v>12235</v>
      </c>
      <c r="BF634" t="str">
        <f>HYPERLINK("http://dx.doi.org/10.1175/JPO-D-13-0219.1","http://dx.doi.org/10.1175/JPO-D-13-0219.1")</f>
        <v>http://dx.doi.org/10.1175/JPO-D-13-0219.1</v>
      </c>
      <c r="BG634" t="s">
        <v>74</v>
      </c>
      <c r="BH634" t="s">
        <v>74</v>
      </c>
      <c r="BI634">
        <v>19</v>
      </c>
      <c r="BJ634" t="s">
        <v>2054</v>
      </c>
      <c r="BK634" t="s">
        <v>91</v>
      </c>
      <c r="BL634" t="s">
        <v>2054</v>
      </c>
      <c r="BM634" t="s">
        <v>10560</v>
      </c>
      <c r="BN634" t="s">
        <v>74</v>
      </c>
      <c r="BO634" t="s">
        <v>6900</v>
      </c>
      <c r="BP634" t="s">
        <v>74</v>
      </c>
      <c r="BQ634" t="s">
        <v>74</v>
      </c>
      <c r="BR634" t="s">
        <v>93</v>
      </c>
      <c r="BS634" t="s">
        <v>12236</v>
      </c>
      <c r="BT634" t="str">
        <f>HYPERLINK("https%3A%2F%2Fwww.webofscience.com%2Fwos%2Fwoscc%2Ffull-record%2FWOS:000345812300008","View Full Record in Web of Science")</f>
        <v>View Full Record in Web of Science</v>
      </c>
    </row>
    <row r="635" spans="1:72" x14ac:dyDescent="0.15">
      <c r="A635" t="s">
        <v>72</v>
      </c>
      <c r="B635" t="s">
        <v>12237</v>
      </c>
      <c r="C635" t="s">
        <v>74</v>
      </c>
      <c r="D635" t="s">
        <v>74</v>
      </c>
      <c r="E635" t="s">
        <v>74</v>
      </c>
      <c r="F635" t="s">
        <v>12238</v>
      </c>
      <c r="G635" t="s">
        <v>74</v>
      </c>
      <c r="H635" t="s">
        <v>74</v>
      </c>
      <c r="I635" t="s">
        <v>12239</v>
      </c>
      <c r="J635" t="s">
        <v>12240</v>
      </c>
      <c r="K635" t="s">
        <v>74</v>
      </c>
      <c r="L635" t="s">
        <v>74</v>
      </c>
      <c r="M635" t="s">
        <v>78</v>
      </c>
      <c r="N635" t="s">
        <v>12241</v>
      </c>
      <c r="O635" t="s">
        <v>74</v>
      </c>
      <c r="P635" t="s">
        <v>74</v>
      </c>
      <c r="Q635" t="s">
        <v>74</v>
      </c>
      <c r="R635" t="s">
        <v>74</v>
      </c>
      <c r="S635" t="s">
        <v>74</v>
      </c>
      <c r="T635" t="s">
        <v>74</v>
      </c>
      <c r="U635" t="s">
        <v>12242</v>
      </c>
      <c r="V635" t="s">
        <v>74</v>
      </c>
      <c r="W635" t="s">
        <v>12243</v>
      </c>
      <c r="X635" t="s">
        <v>12244</v>
      </c>
      <c r="Y635" t="s">
        <v>12245</v>
      </c>
      <c r="Z635" t="s">
        <v>12246</v>
      </c>
      <c r="AA635" t="s">
        <v>12247</v>
      </c>
      <c r="AB635" t="s">
        <v>8956</v>
      </c>
      <c r="AC635" t="s">
        <v>12248</v>
      </c>
      <c r="AD635" t="s">
        <v>4756</v>
      </c>
      <c r="AE635" t="s">
        <v>74</v>
      </c>
      <c r="AF635" t="s">
        <v>74</v>
      </c>
      <c r="AG635">
        <v>15</v>
      </c>
      <c r="AH635">
        <v>0</v>
      </c>
      <c r="AI635">
        <v>0</v>
      </c>
      <c r="AJ635">
        <v>0</v>
      </c>
      <c r="AK635">
        <v>5</v>
      </c>
      <c r="AL635" t="s">
        <v>1563</v>
      </c>
      <c r="AM635" t="s">
        <v>1564</v>
      </c>
      <c r="AN635" t="s">
        <v>1565</v>
      </c>
      <c r="AO635" t="s">
        <v>12249</v>
      </c>
      <c r="AP635" t="s">
        <v>12250</v>
      </c>
      <c r="AQ635" t="s">
        <v>74</v>
      </c>
      <c r="AR635" t="s">
        <v>12251</v>
      </c>
      <c r="AS635" t="s">
        <v>12252</v>
      </c>
      <c r="AT635" t="s">
        <v>9658</v>
      </c>
      <c r="AU635">
        <v>2014</v>
      </c>
      <c r="AV635">
        <v>71</v>
      </c>
      <c r="AW635">
        <v>12</v>
      </c>
      <c r="AX635" t="s">
        <v>74</v>
      </c>
      <c r="AY635" t="s">
        <v>74</v>
      </c>
      <c r="AZ635" t="s">
        <v>74</v>
      </c>
      <c r="BA635" t="s">
        <v>74</v>
      </c>
      <c r="BB635">
        <v>312</v>
      </c>
      <c r="BC635">
        <v>315</v>
      </c>
      <c r="BD635" t="s">
        <v>74</v>
      </c>
      <c r="BE635" t="s">
        <v>12253</v>
      </c>
      <c r="BF635" t="str">
        <f>HYPERLINK("http://dx.doi.org/10.1175/JAS-D-14-0227.1","http://dx.doi.org/10.1175/JAS-D-14-0227.1")</f>
        <v>http://dx.doi.org/10.1175/JAS-D-14-0227.1</v>
      </c>
      <c r="BG635" t="s">
        <v>74</v>
      </c>
      <c r="BH635" t="s">
        <v>74</v>
      </c>
      <c r="BI635">
        <v>4</v>
      </c>
      <c r="BJ635" t="s">
        <v>226</v>
      </c>
      <c r="BK635" t="s">
        <v>91</v>
      </c>
      <c r="BL635" t="s">
        <v>226</v>
      </c>
      <c r="BM635" t="s">
        <v>12254</v>
      </c>
      <c r="BN635" t="s">
        <v>74</v>
      </c>
      <c r="BO635" t="s">
        <v>134</v>
      </c>
      <c r="BP635" t="s">
        <v>74</v>
      </c>
      <c r="BQ635" t="s">
        <v>74</v>
      </c>
      <c r="BR635" t="s">
        <v>93</v>
      </c>
      <c r="BS635" t="s">
        <v>12255</v>
      </c>
      <c r="BT635" t="str">
        <f>HYPERLINK("https%3A%2F%2Fwww.webofscience.com%2Fwos%2Fwoscc%2Ffull-record%2FWOS:000345886100020","View Full Record in Web of Science")</f>
        <v>View Full Record in Web of Science</v>
      </c>
    </row>
    <row r="636" spans="1:72" x14ac:dyDescent="0.15">
      <c r="A636" t="s">
        <v>72</v>
      </c>
      <c r="B636" t="s">
        <v>12256</v>
      </c>
      <c r="C636" t="s">
        <v>74</v>
      </c>
      <c r="D636" t="s">
        <v>74</v>
      </c>
      <c r="E636" t="s">
        <v>74</v>
      </c>
      <c r="F636" t="s">
        <v>12257</v>
      </c>
      <c r="G636" t="s">
        <v>74</v>
      </c>
      <c r="H636" t="s">
        <v>74</v>
      </c>
      <c r="I636" t="s">
        <v>12258</v>
      </c>
      <c r="J636" t="s">
        <v>3231</v>
      </c>
      <c r="K636" t="s">
        <v>74</v>
      </c>
      <c r="L636" t="s">
        <v>74</v>
      </c>
      <c r="M636" t="s">
        <v>78</v>
      </c>
      <c r="N636" t="s">
        <v>99</v>
      </c>
      <c r="O636" t="s">
        <v>74</v>
      </c>
      <c r="P636" t="s">
        <v>74</v>
      </c>
      <c r="Q636" t="s">
        <v>74</v>
      </c>
      <c r="R636" t="s">
        <v>74</v>
      </c>
      <c r="S636" t="s">
        <v>74</v>
      </c>
      <c r="T636" t="s">
        <v>74</v>
      </c>
      <c r="U636" t="s">
        <v>12259</v>
      </c>
      <c r="V636" t="s">
        <v>12260</v>
      </c>
      <c r="W636" t="s">
        <v>12261</v>
      </c>
      <c r="X636" t="s">
        <v>1211</v>
      </c>
      <c r="Y636" t="s">
        <v>12262</v>
      </c>
      <c r="Z636" t="s">
        <v>12263</v>
      </c>
      <c r="AA636" t="s">
        <v>12264</v>
      </c>
      <c r="AB636" t="s">
        <v>12265</v>
      </c>
      <c r="AC636" t="s">
        <v>12266</v>
      </c>
      <c r="AD636" t="s">
        <v>12267</v>
      </c>
      <c r="AE636" t="s">
        <v>12268</v>
      </c>
      <c r="AF636" t="s">
        <v>74</v>
      </c>
      <c r="AG636">
        <v>51</v>
      </c>
      <c r="AH636">
        <v>26</v>
      </c>
      <c r="AI636">
        <v>28</v>
      </c>
      <c r="AJ636">
        <v>1</v>
      </c>
      <c r="AK636">
        <v>47</v>
      </c>
      <c r="AL636" t="s">
        <v>2486</v>
      </c>
      <c r="AM636" t="s">
        <v>2487</v>
      </c>
      <c r="AN636" t="s">
        <v>2488</v>
      </c>
      <c r="AO636" t="s">
        <v>3243</v>
      </c>
      <c r="AP636" t="s">
        <v>3244</v>
      </c>
      <c r="AQ636" t="s">
        <v>74</v>
      </c>
      <c r="AR636" t="s">
        <v>3245</v>
      </c>
      <c r="AS636" t="s">
        <v>3246</v>
      </c>
      <c r="AT636" t="s">
        <v>9658</v>
      </c>
      <c r="AU636">
        <v>2014</v>
      </c>
      <c r="AV636">
        <v>161</v>
      </c>
      <c r="AW636">
        <v>12</v>
      </c>
      <c r="AX636" t="s">
        <v>74</v>
      </c>
      <c r="AY636" t="s">
        <v>74</v>
      </c>
      <c r="AZ636" t="s">
        <v>74</v>
      </c>
      <c r="BA636" t="s">
        <v>74</v>
      </c>
      <c r="BB636">
        <v>2819</v>
      </c>
      <c r="BC636">
        <v>2829</v>
      </c>
      <c r="BD636" t="s">
        <v>74</v>
      </c>
      <c r="BE636" t="s">
        <v>12269</v>
      </c>
      <c r="BF636" t="str">
        <f>HYPERLINK("http://dx.doi.org/10.1007/s00227-014-2548-x","http://dx.doi.org/10.1007/s00227-014-2548-x")</f>
        <v>http://dx.doi.org/10.1007/s00227-014-2548-x</v>
      </c>
      <c r="BG636" t="s">
        <v>74</v>
      </c>
      <c r="BH636" t="s">
        <v>74</v>
      </c>
      <c r="BI636">
        <v>11</v>
      </c>
      <c r="BJ636" t="s">
        <v>1227</v>
      </c>
      <c r="BK636" t="s">
        <v>91</v>
      </c>
      <c r="BL636" t="s">
        <v>1227</v>
      </c>
      <c r="BM636" t="s">
        <v>10893</v>
      </c>
      <c r="BN636" t="s">
        <v>74</v>
      </c>
      <c r="BO636" t="s">
        <v>574</v>
      </c>
      <c r="BP636" t="s">
        <v>74</v>
      </c>
      <c r="BQ636" t="s">
        <v>74</v>
      </c>
      <c r="BR636" t="s">
        <v>93</v>
      </c>
      <c r="BS636" t="s">
        <v>12270</v>
      </c>
      <c r="BT636" t="str">
        <f>HYPERLINK("https%3A%2F%2Fwww.webofscience.com%2Fwos%2Fwoscc%2Ffull-record%2FWOS:000345050800009","View Full Record in Web of Science")</f>
        <v>View Full Record in Web of Science</v>
      </c>
    </row>
    <row r="637" spans="1:72" x14ac:dyDescent="0.15">
      <c r="A637" t="s">
        <v>72</v>
      </c>
      <c r="B637" t="s">
        <v>12271</v>
      </c>
      <c r="C637" t="s">
        <v>74</v>
      </c>
      <c r="D637" t="s">
        <v>74</v>
      </c>
      <c r="E637" t="s">
        <v>74</v>
      </c>
      <c r="F637" t="s">
        <v>12272</v>
      </c>
      <c r="G637" t="s">
        <v>74</v>
      </c>
      <c r="H637" t="s">
        <v>74</v>
      </c>
      <c r="I637" t="s">
        <v>12273</v>
      </c>
      <c r="J637" t="s">
        <v>3231</v>
      </c>
      <c r="K637" t="s">
        <v>74</v>
      </c>
      <c r="L637" t="s">
        <v>74</v>
      </c>
      <c r="M637" t="s">
        <v>78</v>
      </c>
      <c r="N637" t="s">
        <v>99</v>
      </c>
      <c r="O637" t="s">
        <v>74</v>
      </c>
      <c r="P637" t="s">
        <v>74</v>
      </c>
      <c r="Q637" t="s">
        <v>74</v>
      </c>
      <c r="R637" t="s">
        <v>74</v>
      </c>
      <c r="S637" t="s">
        <v>74</v>
      </c>
      <c r="T637" t="s">
        <v>74</v>
      </c>
      <c r="U637" t="s">
        <v>12274</v>
      </c>
      <c r="V637" t="s">
        <v>12275</v>
      </c>
      <c r="W637" t="s">
        <v>12276</v>
      </c>
      <c r="X637" t="s">
        <v>12277</v>
      </c>
      <c r="Y637" t="s">
        <v>12278</v>
      </c>
      <c r="Z637" t="s">
        <v>12279</v>
      </c>
      <c r="AA637" t="s">
        <v>12280</v>
      </c>
      <c r="AB637" t="s">
        <v>12281</v>
      </c>
      <c r="AC637" t="s">
        <v>12282</v>
      </c>
      <c r="AD637" t="s">
        <v>12283</v>
      </c>
      <c r="AE637" t="s">
        <v>12284</v>
      </c>
      <c r="AF637" t="s">
        <v>74</v>
      </c>
      <c r="AG637">
        <v>18</v>
      </c>
      <c r="AH637">
        <v>37</v>
      </c>
      <c r="AI637">
        <v>41</v>
      </c>
      <c r="AJ637">
        <v>6</v>
      </c>
      <c r="AK637">
        <v>79</v>
      </c>
      <c r="AL637" t="s">
        <v>2486</v>
      </c>
      <c r="AM637" t="s">
        <v>2487</v>
      </c>
      <c r="AN637" t="s">
        <v>2488</v>
      </c>
      <c r="AO637" t="s">
        <v>3243</v>
      </c>
      <c r="AP637" t="s">
        <v>3244</v>
      </c>
      <c r="AQ637" t="s">
        <v>74</v>
      </c>
      <c r="AR637" t="s">
        <v>3245</v>
      </c>
      <c r="AS637" t="s">
        <v>3246</v>
      </c>
      <c r="AT637" t="s">
        <v>9658</v>
      </c>
      <c r="AU637">
        <v>2014</v>
      </c>
      <c r="AV637">
        <v>161</v>
      </c>
      <c r="AW637">
        <v>12</v>
      </c>
      <c r="AX637" t="s">
        <v>74</v>
      </c>
      <c r="AY637" t="s">
        <v>74</v>
      </c>
      <c r="AZ637" t="s">
        <v>74</v>
      </c>
      <c r="BA637" t="s">
        <v>74</v>
      </c>
      <c r="BB637">
        <v>2939</v>
      </c>
      <c r="BC637">
        <v>2944</v>
      </c>
      <c r="BD637" t="s">
        <v>74</v>
      </c>
      <c r="BE637" t="s">
        <v>12285</v>
      </c>
      <c r="BF637" t="str">
        <f>HYPERLINK("http://dx.doi.org/10.1007/s00227-014-2558-8","http://dx.doi.org/10.1007/s00227-014-2558-8")</f>
        <v>http://dx.doi.org/10.1007/s00227-014-2558-8</v>
      </c>
      <c r="BG637" t="s">
        <v>74</v>
      </c>
      <c r="BH637" t="s">
        <v>74</v>
      </c>
      <c r="BI637">
        <v>6</v>
      </c>
      <c r="BJ637" t="s">
        <v>1227</v>
      </c>
      <c r="BK637" t="s">
        <v>91</v>
      </c>
      <c r="BL637" t="s">
        <v>1227</v>
      </c>
      <c r="BM637" t="s">
        <v>10893</v>
      </c>
      <c r="BN637" t="s">
        <v>74</v>
      </c>
      <c r="BO637" t="s">
        <v>74</v>
      </c>
      <c r="BP637" t="s">
        <v>74</v>
      </c>
      <c r="BQ637" t="s">
        <v>74</v>
      </c>
      <c r="BR637" t="s">
        <v>93</v>
      </c>
      <c r="BS637" t="s">
        <v>12286</v>
      </c>
      <c r="BT637" t="str">
        <f>HYPERLINK("https%3A%2F%2Fwww.webofscience.com%2Fwos%2Fwoscc%2Ffull-record%2FWOS:000345050800019","View Full Record in Web of Science")</f>
        <v>View Full Record in Web of Science</v>
      </c>
    </row>
    <row r="638" spans="1:72" x14ac:dyDescent="0.15">
      <c r="A638" t="s">
        <v>72</v>
      </c>
      <c r="B638" t="s">
        <v>12287</v>
      </c>
      <c r="C638" t="s">
        <v>74</v>
      </c>
      <c r="D638" t="s">
        <v>74</v>
      </c>
      <c r="E638" t="s">
        <v>74</v>
      </c>
      <c r="F638" t="s">
        <v>12288</v>
      </c>
      <c r="G638" t="s">
        <v>74</v>
      </c>
      <c r="H638" t="s">
        <v>74</v>
      </c>
      <c r="I638" t="s">
        <v>12289</v>
      </c>
      <c r="J638" t="s">
        <v>12290</v>
      </c>
      <c r="K638" t="s">
        <v>74</v>
      </c>
      <c r="L638" t="s">
        <v>74</v>
      </c>
      <c r="M638" t="s">
        <v>78</v>
      </c>
      <c r="N638" t="s">
        <v>99</v>
      </c>
      <c r="O638" t="s">
        <v>74</v>
      </c>
      <c r="P638" t="s">
        <v>74</v>
      </c>
      <c r="Q638" t="s">
        <v>74</v>
      </c>
      <c r="R638" t="s">
        <v>74</v>
      </c>
      <c r="S638" t="s">
        <v>74</v>
      </c>
      <c r="T638" t="s">
        <v>74</v>
      </c>
      <c r="U638" t="s">
        <v>12291</v>
      </c>
      <c r="V638" t="s">
        <v>12292</v>
      </c>
      <c r="W638" t="s">
        <v>12293</v>
      </c>
      <c r="X638" t="s">
        <v>12294</v>
      </c>
      <c r="Y638" t="s">
        <v>12295</v>
      </c>
      <c r="Z638" t="s">
        <v>74</v>
      </c>
      <c r="AA638" t="s">
        <v>12296</v>
      </c>
      <c r="AB638" t="s">
        <v>12297</v>
      </c>
      <c r="AC638" t="s">
        <v>74</v>
      </c>
      <c r="AD638" t="s">
        <v>74</v>
      </c>
      <c r="AE638" t="s">
        <v>74</v>
      </c>
      <c r="AF638" t="s">
        <v>74</v>
      </c>
      <c r="AG638">
        <v>80</v>
      </c>
      <c r="AH638">
        <v>11</v>
      </c>
      <c r="AI638">
        <v>13</v>
      </c>
      <c r="AJ638">
        <v>0</v>
      </c>
      <c r="AK638">
        <v>1</v>
      </c>
      <c r="AL638" t="s">
        <v>12298</v>
      </c>
      <c r="AM638" t="s">
        <v>415</v>
      </c>
      <c r="AN638" t="s">
        <v>12299</v>
      </c>
      <c r="AO638" t="s">
        <v>12300</v>
      </c>
      <c r="AP638" t="s">
        <v>12301</v>
      </c>
      <c r="AQ638" t="s">
        <v>74</v>
      </c>
      <c r="AR638" t="s">
        <v>12302</v>
      </c>
      <c r="AS638" t="s">
        <v>12303</v>
      </c>
      <c r="AT638" t="s">
        <v>9658</v>
      </c>
      <c r="AU638">
        <v>2014</v>
      </c>
      <c r="AV638">
        <v>15</v>
      </c>
      <c r="AW638">
        <v>2</v>
      </c>
      <c r="AX638" t="s">
        <v>74</v>
      </c>
      <c r="AY638" t="s">
        <v>74</v>
      </c>
      <c r="AZ638" t="s">
        <v>74</v>
      </c>
      <c r="BA638" t="s">
        <v>74</v>
      </c>
      <c r="BB638" t="s">
        <v>74</v>
      </c>
      <c r="BC638" t="s">
        <v>74</v>
      </c>
      <c r="BD638" t="s">
        <v>74</v>
      </c>
      <c r="BE638" t="s">
        <v>74</v>
      </c>
      <c r="BF638" t="s">
        <v>74</v>
      </c>
      <c r="BG638" t="s">
        <v>74</v>
      </c>
      <c r="BH638" t="s">
        <v>74</v>
      </c>
      <c r="BI638">
        <v>29</v>
      </c>
      <c r="BJ638" t="s">
        <v>890</v>
      </c>
      <c r="BK638" t="s">
        <v>202</v>
      </c>
      <c r="BL638" t="s">
        <v>892</v>
      </c>
      <c r="BM638" t="s">
        <v>12304</v>
      </c>
      <c r="BN638" t="s">
        <v>74</v>
      </c>
      <c r="BO638" t="s">
        <v>74</v>
      </c>
      <c r="BP638" t="s">
        <v>74</v>
      </c>
      <c r="BQ638" t="s">
        <v>74</v>
      </c>
      <c r="BR638" t="s">
        <v>93</v>
      </c>
      <c r="BS638" t="s">
        <v>12305</v>
      </c>
      <c r="BT638" t="str">
        <f>HYPERLINK("https%3A%2F%2Fwww.webofscience.com%2Fwos%2Fwoscc%2Ffull-record%2FWOS:000213542100006","View Full Record in Web of Science")</f>
        <v>View Full Record in Web of Science</v>
      </c>
    </row>
    <row r="639" spans="1:72" x14ac:dyDescent="0.15">
      <c r="A639" t="s">
        <v>72</v>
      </c>
      <c r="B639" t="s">
        <v>12306</v>
      </c>
      <c r="C639" t="s">
        <v>74</v>
      </c>
      <c r="D639" t="s">
        <v>74</v>
      </c>
      <c r="E639" t="s">
        <v>74</v>
      </c>
      <c r="F639" t="s">
        <v>12307</v>
      </c>
      <c r="G639" t="s">
        <v>74</v>
      </c>
      <c r="H639" t="s">
        <v>74</v>
      </c>
      <c r="I639" t="s">
        <v>12308</v>
      </c>
      <c r="J639" t="s">
        <v>7514</v>
      </c>
      <c r="K639" t="s">
        <v>74</v>
      </c>
      <c r="L639" t="s">
        <v>74</v>
      </c>
      <c r="M639" t="s">
        <v>78</v>
      </c>
      <c r="N639" t="s">
        <v>99</v>
      </c>
      <c r="O639" t="s">
        <v>74</v>
      </c>
      <c r="P639" t="s">
        <v>74</v>
      </c>
      <c r="Q639" t="s">
        <v>74</v>
      </c>
      <c r="R639" t="s">
        <v>74</v>
      </c>
      <c r="S639" t="s">
        <v>74</v>
      </c>
      <c r="T639" t="s">
        <v>74</v>
      </c>
      <c r="U639" t="s">
        <v>12309</v>
      </c>
      <c r="V639" t="s">
        <v>12310</v>
      </c>
      <c r="W639" t="s">
        <v>12311</v>
      </c>
      <c r="X639" t="s">
        <v>12312</v>
      </c>
      <c r="Y639" t="s">
        <v>12313</v>
      </c>
      <c r="Z639" t="s">
        <v>12314</v>
      </c>
      <c r="AA639" t="s">
        <v>12315</v>
      </c>
      <c r="AB639" t="s">
        <v>12316</v>
      </c>
      <c r="AC639" t="s">
        <v>12317</v>
      </c>
      <c r="AD639" t="s">
        <v>12318</v>
      </c>
      <c r="AE639" t="s">
        <v>12319</v>
      </c>
      <c r="AF639" t="s">
        <v>74</v>
      </c>
      <c r="AG639">
        <v>26</v>
      </c>
      <c r="AH639">
        <v>79</v>
      </c>
      <c r="AI639">
        <v>90</v>
      </c>
      <c r="AJ639">
        <v>0</v>
      </c>
      <c r="AK639">
        <v>44</v>
      </c>
      <c r="AL639" t="s">
        <v>7503</v>
      </c>
      <c r="AM639" t="s">
        <v>342</v>
      </c>
      <c r="AN639" t="s">
        <v>7524</v>
      </c>
      <c r="AO639" t="s">
        <v>7525</v>
      </c>
      <c r="AP639" t="s">
        <v>7526</v>
      </c>
      <c r="AQ639" t="s">
        <v>74</v>
      </c>
      <c r="AR639" t="s">
        <v>7527</v>
      </c>
      <c r="AS639" t="s">
        <v>7528</v>
      </c>
      <c r="AT639" t="s">
        <v>9658</v>
      </c>
      <c r="AU639">
        <v>2014</v>
      </c>
      <c r="AV639">
        <v>7</v>
      </c>
      <c r="AW639">
        <v>12</v>
      </c>
      <c r="AX639" t="s">
        <v>74</v>
      </c>
      <c r="AY639" t="s">
        <v>74</v>
      </c>
      <c r="AZ639" t="s">
        <v>74</v>
      </c>
      <c r="BA639" t="s">
        <v>74</v>
      </c>
      <c r="BB639">
        <v>874</v>
      </c>
      <c r="BC639">
        <v>878</v>
      </c>
      <c r="BD639" t="s">
        <v>74</v>
      </c>
      <c r="BE639" t="s">
        <v>12320</v>
      </c>
      <c r="BF639" t="str">
        <f>HYPERLINK("http://dx.doi.org/10.1038/NGEO2290","http://dx.doi.org/10.1038/NGEO2290")</f>
        <v>http://dx.doi.org/10.1038/NGEO2290</v>
      </c>
      <c r="BG639" t="s">
        <v>74</v>
      </c>
      <c r="BH639" t="s">
        <v>74</v>
      </c>
      <c r="BI639">
        <v>5</v>
      </c>
      <c r="BJ639" t="s">
        <v>1953</v>
      </c>
      <c r="BK639" t="s">
        <v>91</v>
      </c>
      <c r="BL639" t="s">
        <v>1954</v>
      </c>
      <c r="BM639" t="s">
        <v>12321</v>
      </c>
      <c r="BN639" t="s">
        <v>74</v>
      </c>
      <c r="BO639" t="s">
        <v>74</v>
      </c>
      <c r="BP639" t="s">
        <v>74</v>
      </c>
      <c r="BQ639" t="s">
        <v>74</v>
      </c>
      <c r="BR639" t="s">
        <v>93</v>
      </c>
      <c r="BS639" t="s">
        <v>12322</v>
      </c>
      <c r="BT639" t="str">
        <f>HYPERLINK("https%3A%2F%2Fwww.webofscience.com%2Fwos%2Fwoscc%2Ffull-record%2FWOS:000345915300013","View Full Record in Web of Science")</f>
        <v>View Full Record in Web of Science</v>
      </c>
    </row>
    <row r="640" spans="1:72" x14ac:dyDescent="0.15">
      <c r="A640" t="s">
        <v>72</v>
      </c>
      <c r="B640" t="s">
        <v>12323</v>
      </c>
      <c r="C640" t="s">
        <v>74</v>
      </c>
      <c r="D640" t="s">
        <v>74</v>
      </c>
      <c r="E640" t="s">
        <v>74</v>
      </c>
      <c r="F640" t="s">
        <v>12324</v>
      </c>
      <c r="G640" t="s">
        <v>74</v>
      </c>
      <c r="H640" t="s">
        <v>74</v>
      </c>
      <c r="I640" t="s">
        <v>12325</v>
      </c>
      <c r="J640" t="s">
        <v>7514</v>
      </c>
      <c r="K640" t="s">
        <v>74</v>
      </c>
      <c r="L640" t="s">
        <v>74</v>
      </c>
      <c r="M640" t="s">
        <v>78</v>
      </c>
      <c r="N640" t="s">
        <v>99</v>
      </c>
      <c r="O640" t="s">
        <v>74</v>
      </c>
      <c r="P640" t="s">
        <v>74</v>
      </c>
      <c r="Q640" t="s">
        <v>74</v>
      </c>
      <c r="R640" t="s">
        <v>74</v>
      </c>
      <c r="S640" t="s">
        <v>74</v>
      </c>
      <c r="T640" t="s">
        <v>74</v>
      </c>
      <c r="U640" t="s">
        <v>12326</v>
      </c>
      <c r="V640" t="s">
        <v>12327</v>
      </c>
      <c r="W640" t="s">
        <v>12328</v>
      </c>
      <c r="X640" t="s">
        <v>12329</v>
      </c>
      <c r="Y640" t="s">
        <v>12330</v>
      </c>
      <c r="Z640" t="s">
        <v>12331</v>
      </c>
      <c r="AA640" t="s">
        <v>12332</v>
      </c>
      <c r="AB640" t="s">
        <v>12333</v>
      </c>
      <c r="AC640" t="s">
        <v>12334</v>
      </c>
      <c r="AD640" t="s">
        <v>12335</v>
      </c>
      <c r="AE640" t="s">
        <v>12336</v>
      </c>
      <c r="AF640" t="s">
        <v>74</v>
      </c>
      <c r="AG640">
        <v>30</v>
      </c>
      <c r="AH640">
        <v>81</v>
      </c>
      <c r="AI640">
        <v>95</v>
      </c>
      <c r="AJ640">
        <v>0</v>
      </c>
      <c r="AK640">
        <v>52</v>
      </c>
      <c r="AL640" t="s">
        <v>7503</v>
      </c>
      <c r="AM640" t="s">
        <v>342</v>
      </c>
      <c r="AN640" t="s">
        <v>7524</v>
      </c>
      <c r="AO640" t="s">
        <v>7525</v>
      </c>
      <c r="AP640" t="s">
        <v>7526</v>
      </c>
      <c r="AQ640" t="s">
        <v>74</v>
      </c>
      <c r="AR640" t="s">
        <v>7527</v>
      </c>
      <c r="AS640" t="s">
        <v>7528</v>
      </c>
      <c r="AT640" t="s">
        <v>9658</v>
      </c>
      <c r="AU640">
        <v>2014</v>
      </c>
      <c r="AV640">
        <v>7</v>
      </c>
      <c r="AW640">
        <v>12</v>
      </c>
      <c r="AX640" t="s">
        <v>74</v>
      </c>
      <c r="AY640" t="s">
        <v>74</v>
      </c>
      <c r="AZ640" t="s">
        <v>74</v>
      </c>
      <c r="BA640" t="s">
        <v>74</v>
      </c>
      <c r="BB640">
        <v>879</v>
      </c>
      <c r="BC640">
        <v>884</v>
      </c>
      <c r="BD640" t="s">
        <v>74</v>
      </c>
      <c r="BE640" t="s">
        <v>12337</v>
      </c>
      <c r="BF640" t="str">
        <f>HYPERLINK("http://dx.doi.org/10.1038/NGEO2289","http://dx.doi.org/10.1038/NGEO2289")</f>
        <v>http://dx.doi.org/10.1038/NGEO2289</v>
      </c>
      <c r="BG640" t="s">
        <v>74</v>
      </c>
      <c r="BH640" t="s">
        <v>74</v>
      </c>
      <c r="BI640">
        <v>6</v>
      </c>
      <c r="BJ640" t="s">
        <v>1953</v>
      </c>
      <c r="BK640" t="s">
        <v>91</v>
      </c>
      <c r="BL640" t="s">
        <v>1954</v>
      </c>
      <c r="BM640" t="s">
        <v>12321</v>
      </c>
      <c r="BN640" t="s">
        <v>74</v>
      </c>
      <c r="BO640" t="s">
        <v>4631</v>
      </c>
      <c r="BP640" t="s">
        <v>74</v>
      </c>
      <c r="BQ640" t="s">
        <v>74</v>
      </c>
      <c r="BR640" t="s">
        <v>93</v>
      </c>
      <c r="BS640" t="s">
        <v>12338</v>
      </c>
      <c r="BT640" t="str">
        <f>HYPERLINK("https%3A%2F%2Fwww.webofscience.com%2Fwos%2Fwoscc%2Ffull-record%2FWOS:000345915300015","View Full Record in Web of Science")</f>
        <v>View Full Record in Web of Science</v>
      </c>
    </row>
    <row r="641" spans="1:72" x14ac:dyDescent="0.15">
      <c r="A641" t="s">
        <v>72</v>
      </c>
      <c r="B641" t="s">
        <v>12339</v>
      </c>
      <c r="C641" t="s">
        <v>74</v>
      </c>
      <c r="D641" t="s">
        <v>74</v>
      </c>
      <c r="E641" t="s">
        <v>74</v>
      </c>
      <c r="F641" t="s">
        <v>12340</v>
      </c>
      <c r="G641" t="s">
        <v>74</v>
      </c>
      <c r="H641" t="s">
        <v>74</v>
      </c>
      <c r="I641" t="s">
        <v>12341</v>
      </c>
      <c r="J641" t="s">
        <v>7514</v>
      </c>
      <c r="K641" t="s">
        <v>74</v>
      </c>
      <c r="L641" t="s">
        <v>74</v>
      </c>
      <c r="M641" t="s">
        <v>78</v>
      </c>
      <c r="N641" t="s">
        <v>99</v>
      </c>
      <c r="O641" t="s">
        <v>74</v>
      </c>
      <c r="P641" t="s">
        <v>74</v>
      </c>
      <c r="Q641" t="s">
        <v>74</v>
      </c>
      <c r="R641" t="s">
        <v>74</v>
      </c>
      <c r="S641" t="s">
        <v>74</v>
      </c>
      <c r="T641" t="s">
        <v>74</v>
      </c>
      <c r="U641" t="s">
        <v>12342</v>
      </c>
      <c r="V641" t="s">
        <v>12343</v>
      </c>
      <c r="W641" t="s">
        <v>12344</v>
      </c>
      <c r="X641" t="s">
        <v>12345</v>
      </c>
      <c r="Y641" t="s">
        <v>12346</v>
      </c>
      <c r="Z641" t="s">
        <v>12347</v>
      </c>
      <c r="AA641" t="s">
        <v>12348</v>
      </c>
      <c r="AB641" t="s">
        <v>12349</v>
      </c>
      <c r="AC641" t="s">
        <v>12350</v>
      </c>
      <c r="AD641" t="s">
        <v>12351</v>
      </c>
      <c r="AE641" t="s">
        <v>12352</v>
      </c>
      <c r="AF641" t="s">
        <v>74</v>
      </c>
      <c r="AG641">
        <v>33</v>
      </c>
      <c r="AH641">
        <v>59</v>
      </c>
      <c r="AI641">
        <v>61</v>
      </c>
      <c r="AJ641">
        <v>4</v>
      </c>
      <c r="AK641">
        <v>69</v>
      </c>
      <c r="AL641" t="s">
        <v>7503</v>
      </c>
      <c r="AM641" t="s">
        <v>342</v>
      </c>
      <c r="AN641" t="s">
        <v>7524</v>
      </c>
      <c r="AO641" t="s">
        <v>7525</v>
      </c>
      <c r="AP641" t="s">
        <v>7526</v>
      </c>
      <c r="AQ641" t="s">
        <v>74</v>
      </c>
      <c r="AR641" t="s">
        <v>7527</v>
      </c>
      <c r="AS641" t="s">
        <v>7528</v>
      </c>
      <c r="AT641" t="s">
        <v>9658</v>
      </c>
      <c r="AU641">
        <v>2014</v>
      </c>
      <c r="AV641">
        <v>7</v>
      </c>
      <c r="AW641">
        <v>12</v>
      </c>
      <c r="AX641" t="s">
        <v>74</v>
      </c>
      <c r="AY641" t="s">
        <v>74</v>
      </c>
      <c r="AZ641" t="s">
        <v>74</v>
      </c>
      <c r="BA641" t="s">
        <v>74</v>
      </c>
      <c r="BB641">
        <v>885</v>
      </c>
      <c r="BC641">
        <v>889</v>
      </c>
      <c r="BD641" t="s">
        <v>74</v>
      </c>
      <c r="BE641" t="s">
        <v>12353</v>
      </c>
      <c r="BF641" t="str">
        <f>HYPERLINK("http://dx.doi.org/10.1038/NGEO2285","http://dx.doi.org/10.1038/NGEO2285")</f>
        <v>http://dx.doi.org/10.1038/NGEO2285</v>
      </c>
      <c r="BG641" t="s">
        <v>74</v>
      </c>
      <c r="BH641" t="s">
        <v>74</v>
      </c>
      <c r="BI641">
        <v>5</v>
      </c>
      <c r="BJ641" t="s">
        <v>1953</v>
      </c>
      <c r="BK641" t="s">
        <v>91</v>
      </c>
      <c r="BL641" t="s">
        <v>1954</v>
      </c>
      <c r="BM641" t="s">
        <v>12321</v>
      </c>
      <c r="BN641" t="s">
        <v>74</v>
      </c>
      <c r="BO641" t="s">
        <v>7051</v>
      </c>
      <c r="BP641" t="s">
        <v>74</v>
      </c>
      <c r="BQ641" t="s">
        <v>74</v>
      </c>
      <c r="BR641" t="s">
        <v>93</v>
      </c>
      <c r="BS641" t="s">
        <v>12354</v>
      </c>
      <c r="BT641" t="str">
        <f>HYPERLINK("https%3A%2F%2Fwww.webofscience.com%2Fwos%2Fwoscc%2Ffull-record%2FWOS:000345915300016","View Full Record in Web of Science")</f>
        <v>View Full Record in Web of Science</v>
      </c>
    </row>
    <row r="642" spans="1:72" x14ac:dyDescent="0.15">
      <c r="A642" t="s">
        <v>72</v>
      </c>
      <c r="B642" t="s">
        <v>12355</v>
      </c>
      <c r="C642" t="s">
        <v>74</v>
      </c>
      <c r="D642" t="s">
        <v>74</v>
      </c>
      <c r="E642" t="s">
        <v>74</v>
      </c>
      <c r="F642" t="s">
        <v>12356</v>
      </c>
      <c r="G642" t="s">
        <v>74</v>
      </c>
      <c r="H642" t="s">
        <v>74</v>
      </c>
      <c r="I642" t="s">
        <v>12357</v>
      </c>
      <c r="J642" t="s">
        <v>12358</v>
      </c>
      <c r="K642" t="s">
        <v>74</v>
      </c>
      <c r="L642" t="s">
        <v>74</v>
      </c>
      <c r="M642" t="s">
        <v>78</v>
      </c>
      <c r="N642" t="s">
        <v>5947</v>
      </c>
      <c r="O642" t="s">
        <v>74</v>
      </c>
      <c r="P642" t="s">
        <v>74</v>
      </c>
      <c r="Q642" t="s">
        <v>74</v>
      </c>
      <c r="R642" t="s">
        <v>74</v>
      </c>
      <c r="S642" t="s">
        <v>74</v>
      </c>
      <c r="T642" t="s">
        <v>74</v>
      </c>
      <c r="U642" t="s">
        <v>12359</v>
      </c>
      <c r="V642" t="s">
        <v>12360</v>
      </c>
      <c r="W642" t="s">
        <v>12361</v>
      </c>
      <c r="X642" t="s">
        <v>12362</v>
      </c>
      <c r="Y642" t="s">
        <v>12363</v>
      </c>
      <c r="Z642" t="s">
        <v>12364</v>
      </c>
      <c r="AA642" t="s">
        <v>74</v>
      </c>
      <c r="AB642" t="s">
        <v>74</v>
      </c>
      <c r="AC642" t="s">
        <v>74</v>
      </c>
      <c r="AD642" t="s">
        <v>74</v>
      </c>
      <c r="AE642" t="s">
        <v>74</v>
      </c>
      <c r="AF642" t="s">
        <v>74</v>
      </c>
      <c r="AG642">
        <v>8</v>
      </c>
      <c r="AH642">
        <v>1</v>
      </c>
      <c r="AI642">
        <v>1</v>
      </c>
      <c r="AJ642">
        <v>0</v>
      </c>
      <c r="AK642">
        <v>16</v>
      </c>
      <c r="AL642" t="s">
        <v>7503</v>
      </c>
      <c r="AM642" t="s">
        <v>219</v>
      </c>
      <c r="AN642" t="s">
        <v>7504</v>
      </c>
      <c r="AO642" t="s">
        <v>12365</v>
      </c>
      <c r="AP642" t="s">
        <v>12366</v>
      </c>
      <c r="AQ642" t="s">
        <v>74</v>
      </c>
      <c r="AR642" t="s">
        <v>12367</v>
      </c>
      <c r="AS642" t="s">
        <v>12368</v>
      </c>
      <c r="AT642" t="s">
        <v>9658</v>
      </c>
      <c r="AU642">
        <v>2014</v>
      </c>
      <c r="AV642">
        <v>11</v>
      </c>
      <c r="AW642">
        <v>12</v>
      </c>
      <c r="AX642" t="s">
        <v>74</v>
      </c>
      <c r="AY642" t="s">
        <v>74</v>
      </c>
      <c r="AZ642" t="s">
        <v>74</v>
      </c>
      <c r="BA642" t="s">
        <v>74</v>
      </c>
      <c r="BB642">
        <v>1217</v>
      </c>
      <c r="BC642">
        <v>1218</v>
      </c>
      <c r="BD642" t="s">
        <v>74</v>
      </c>
      <c r="BE642" t="s">
        <v>12369</v>
      </c>
      <c r="BF642" t="str">
        <f>HYPERLINK("http://dx.doi.org/10.1038/nmeth.3195","http://dx.doi.org/10.1038/nmeth.3195")</f>
        <v>http://dx.doi.org/10.1038/nmeth.3195</v>
      </c>
      <c r="BG642" t="s">
        <v>74</v>
      </c>
      <c r="BH642" t="s">
        <v>74</v>
      </c>
      <c r="BI642">
        <v>2</v>
      </c>
      <c r="BJ642" t="s">
        <v>12370</v>
      </c>
      <c r="BK642" t="s">
        <v>91</v>
      </c>
      <c r="BL642" t="s">
        <v>6507</v>
      </c>
      <c r="BM642" t="s">
        <v>12371</v>
      </c>
      <c r="BN642">
        <v>25423018</v>
      </c>
      <c r="BO642" t="s">
        <v>74</v>
      </c>
      <c r="BP642" t="s">
        <v>74</v>
      </c>
      <c r="BQ642" t="s">
        <v>74</v>
      </c>
      <c r="BR642" t="s">
        <v>93</v>
      </c>
      <c r="BS642" t="s">
        <v>12372</v>
      </c>
      <c r="BT642" t="str">
        <f>HYPERLINK("https%3A%2F%2Fwww.webofscience.com%2Fwos%2Fwoscc%2Ffull-record%2FWOS:000345564600014","View Full Record in Web of Science")</f>
        <v>View Full Record in Web of Science</v>
      </c>
    </row>
    <row r="643" spans="1:72" x14ac:dyDescent="0.15">
      <c r="A643" t="s">
        <v>72</v>
      </c>
      <c r="B643" t="s">
        <v>12373</v>
      </c>
      <c r="C643" t="s">
        <v>74</v>
      </c>
      <c r="D643" t="s">
        <v>74</v>
      </c>
      <c r="E643" t="s">
        <v>74</v>
      </c>
      <c r="F643" t="s">
        <v>12374</v>
      </c>
      <c r="G643" t="s">
        <v>74</v>
      </c>
      <c r="H643" t="s">
        <v>74</v>
      </c>
      <c r="I643" t="s">
        <v>12375</v>
      </c>
      <c r="J643" t="s">
        <v>12358</v>
      </c>
      <c r="K643" t="s">
        <v>74</v>
      </c>
      <c r="L643" t="s">
        <v>74</v>
      </c>
      <c r="M643" t="s">
        <v>78</v>
      </c>
      <c r="N643" t="s">
        <v>99</v>
      </c>
      <c r="O643" t="s">
        <v>74</v>
      </c>
      <c r="P643" t="s">
        <v>74</v>
      </c>
      <c r="Q643" t="s">
        <v>74</v>
      </c>
      <c r="R643" t="s">
        <v>74</v>
      </c>
      <c r="S643" t="s">
        <v>74</v>
      </c>
      <c r="T643" t="s">
        <v>74</v>
      </c>
      <c r="U643" t="s">
        <v>12376</v>
      </c>
      <c r="V643" t="s">
        <v>12377</v>
      </c>
      <c r="W643" t="s">
        <v>12378</v>
      </c>
      <c r="X643" t="s">
        <v>12379</v>
      </c>
      <c r="Y643" t="s">
        <v>12380</v>
      </c>
      <c r="Z643" t="s">
        <v>12381</v>
      </c>
      <c r="AA643" t="s">
        <v>12382</v>
      </c>
      <c r="AB643" t="s">
        <v>12383</v>
      </c>
      <c r="AC643" t="s">
        <v>12384</v>
      </c>
      <c r="AD643" t="s">
        <v>12385</v>
      </c>
      <c r="AE643" t="s">
        <v>12386</v>
      </c>
      <c r="AF643" t="s">
        <v>74</v>
      </c>
      <c r="AG643">
        <v>25</v>
      </c>
      <c r="AH643">
        <v>35</v>
      </c>
      <c r="AI643">
        <v>39</v>
      </c>
      <c r="AJ643">
        <v>1</v>
      </c>
      <c r="AK643">
        <v>82</v>
      </c>
      <c r="AL643" t="s">
        <v>7503</v>
      </c>
      <c r="AM643" t="s">
        <v>219</v>
      </c>
      <c r="AN643" t="s">
        <v>7504</v>
      </c>
      <c r="AO643" t="s">
        <v>12365</v>
      </c>
      <c r="AP643" t="s">
        <v>12366</v>
      </c>
      <c r="AQ643" t="s">
        <v>74</v>
      </c>
      <c r="AR643" t="s">
        <v>12367</v>
      </c>
      <c r="AS643" t="s">
        <v>12368</v>
      </c>
      <c r="AT643" t="s">
        <v>9658</v>
      </c>
      <c r="AU643">
        <v>2014</v>
      </c>
      <c r="AV643">
        <v>11</v>
      </c>
      <c r="AW643">
        <v>12</v>
      </c>
      <c r="AX643" t="s">
        <v>74</v>
      </c>
      <c r="AY643" t="s">
        <v>74</v>
      </c>
      <c r="AZ643" t="s">
        <v>74</v>
      </c>
      <c r="BA643" t="s">
        <v>74</v>
      </c>
      <c r="BB643">
        <v>1242</v>
      </c>
      <c r="BC643" t="s">
        <v>7272</v>
      </c>
      <c r="BD643" t="s">
        <v>74</v>
      </c>
      <c r="BE643" t="s">
        <v>12387</v>
      </c>
      <c r="BF643" t="str">
        <f>HYPERLINK("http://dx.doi.org/10.1038/NMETH.3173","http://dx.doi.org/10.1038/NMETH.3173")</f>
        <v>http://dx.doi.org/10.1038/NMETH.3173</v>
      </c>
      <c r="BG643" t="s">
        <v>74</v>
      </c>
      <c r="BH643" t="s">
        <v>74</v>
      </c>
      <c r="BI643">
        <v>6</v>
      </c>
      <c r="BJ643" t="s">
        <v>12370</v>
      </c>
      <c r="BK643" t="s">
        <v>91</v>
      </c>
      <c r="BL643" t="s">
        <v>6507</v>
      </c>
      <c r="BM643" t="s">
        <v>12371</v>
      </c>
      <c r="BN643">
        <v>25362361</v>
      </c>
      <c r="BO643" t="s">
        <v>74</v>
      </c>
      <c r="BP643" t="s">
        <v>74</v>
      </c>
      <c r="BQ643" t="s">
        <v>74</v>
      </c>
      <c r="BR643" t="s">
        <v>93</v>
      </c>
      <c r="BS643" t="s">
        <v>12388</v>
      </c>
      <c r="BT643" t="str">
        <f>HYPERLINK("https%3A%2F%2Fwww.webofscience.com%2Fwos%2Fwoscc%2Ffull-record%2FWOS:000345564600019","View Full Record in Web of Science")</f>
        <v>View Full Record in Web of Science</v>
      </c>
    </row>
    <row r="644" spans="1:72" x14ac:dyDescent="0.15">
      <c r="A644" t="s">
        <v>72</v>
      </c>
      <c r="B644" t="s">
        <v>12389</v>
      </c>
      <c r="C644" t="s">
        <v>74</v>
      </c>
      <c r="D644" t="s">
        <v>74</v>
      </c>
      <c r="E644" t="s">
        <v>74</v>
      </c>
      <c r="F644" t="s">
        <v>12390</v>
      </c>
      <c r="G644" t="s">
        <v>74</v>
      </c>
      <c r="H644" t="s">
        <v>74</v>
      </c>
      <c r="I644" t="s">
        <v>12391</v>
      </c>
      <c r="J644" t="s">
        <v>12392</v>
      </c>
      <c r="K644" t="s">
        <v>74</v>
      </c>
      <c r="L644" t="s">
        <v>74</v>
      </c>
      <c r="M644" t="s">
        <v>78</v>
      </c>
      <c r="N644" t="s">
        <v>10939</v>
      </c>
      <c r="O644" t="s">
        <v>74</v>
      </c>
      <c r="P644" t="s">
        <v>74</v>
      </c>
      <c r="Q644" t="s">
        <v>74</v>
      </c>
      <c r="R644" t="s">
        <v>74</v>
      </c>
      <c r="S644" t="s">
        <v>74</v>
      </c>
      <c r="T644" t="s">
        <v>74</v>
      </c>
      <c r="U644" t="s">
        <v>74</v>
      </c>
      <c r="V644" t="s">
        <v>74</v>
      </c>
      <c r="W644" t="s">
        <v>12393</v>
      </c>
      <c r="X644" t="s">
        <v>4616</v>
      </c>
      <c r="Y644" t="s">
        <v>12394</v>
      </c>
      <c r="Z644" t="s">
        <v>4752</v>
      </c>
      <c r="AA644" t="s">
        <v>74</v>
      </c>
      <c r="AB644" t="s">
        <v>74</v>
      </c>
      <c r="AC644" t="s">
        <v>74</v>
      </c>
      <c r="AD644" t="s">
        <v>74</v>
      </c>
      <c r="AE644" t="s">
        <v>74</v>
      </c>
      <c r="AF644" t="s">
        <v>74</v>
      </c>
      <c r="AG644">
        <v>0</v>
      </c>
      <c r="AH644">
        <v>0</v>
      </c>
      <c r="AI644">
        <v>0</v>
      </c>
      <c r="AJ644">
        <v>0</v>
      </c>
      <c r="AK644">
        <v>1</v>
      </c>
      <c r="AL644" t="s">
        <v>12395</v>
      </c>
      <c r="AM644" t="s">
        <v>12396</v>
      </c>
      <c r="AN644" t="s">
        <v>12397</v>
      </c>
      <c r="AO644" t="s">
        <v>12398</v>
      </c>
      <c r="AP644" t="s">
        <v>74</v>
      </c>
      <c r="AQ644" t="s">
        <v>74</v>
      </c>
      <c r="AR644" t="s">
        <v>12392</v>
      </c>
      <c r="AS644" t="s">
        <v>2054</v>
      </c>
      <c r="AT644" t="s">
        <v>9658</v>
      </c>
      <c r="AU644">
        <v>2014</v>
      </c>
      <c r="AV644">
        <v>27</v>
      </c>
      <c r="AW644">
        <v>4</v>
      </c>
      <c r="AX644" t="s">
        <v>74</v>
      </c>
      <c r="AY644" t="s">
        <v>840</v>
      </c>
      <c r="AZ644" t="s">
        <v>74</v>
      </c>
      <c r="BA644" t="s">
        <v>74</v>
      </c>
      <c r="BB644">
        <v>167</v>
      </c>
      <c r="BC644">
        <v>167</v>
      </c>
      <c r="BD644" t="s">
        <v>74</v>
      </c>
      <c r="BE644" t="s">
        <v>74</v>
      </c>
      <c r="BF644" t="s">
        <v>74</v>
      </c>
      <c r="BG644" t="s">
        <v>74</v>
      </c>
      <c r="BH644" t="s">
        <v>74</v>
      </c>
      <c r="BI644">
        <v>1</v>
      </c>
      <c r="BJ644" t="s">
        <v>2054</v>
      </c>
      <c r="BK644" t="s">
        <v>91</v>
      </c>
      <c r="BL644" t="s">
        <v>2054</v>
      </c>
      <c r="BM644" t="s">
        <v>12399</v>
      </c>
      <c r="BN644" t="s">
        <v>74</v>
      </c>
      <c r="BO644" t="s">
        <v>74</v>
      </c>
      <c r="BP644" t="s">
        <v>74</v>
      </c>
      <c r="BQ644" t="s">
        <v>74</v>
      </c>
      <c r="BR644" t="s">
        <v>93</v>
      </c>
      <c r="BS644" t="s">
        <v>12400</v>
      </c>
      <c r="BT644" t="str">
        <f>HYPERLINK("https%3A%2F%2Fwww.webofscience.com%2Fwos%2Fwoscc%2Ffull-record%2FWOS:000209724700128","View Full Record in Web of Science")</f>
        <v>View Full Record in Web of Science</v>
      </c>
    </row>
    <row r="645" spans="1:72" x14ac:dyDescent="0.15">
      <c r="A645" t="s">
        <v>72</v>
      </c>
      <c r="B645" t="s">
        <v>12401</v>
      </c>
      <c r="C645" t="s">
        <v>74</v>
      </c>
      <c r="D645" t="s">
        <v>74</v>
      </c>
      <c r="E645" t="s">
        <v>74</v>
      </c>
      <c r="F645" t="s">
        <v>12402</v>
      </c>
      <c r="G645" t="s">
        <v>74</v>
      </c>
      <c r="H645" t="s">
        <v>74</v>
      </c>
      <c r="I645" t="s">
        <v>12403</v>
      </c>
      <c r="J645" t="s">
        <v>9922</v>
      </c>
      <c r="K645" t="s">
        <v>74</v>
      </c>
      <c r="L645" t="s">
        <v>74</v>
      </c>
      <c r="M645" t="s">
        <v>78</v>
      </c>
      <c r="N645" t="s">
        <v>99</v>
      </c>
      <c r="O645" t="s">
        <v>74</v>
      </c>
      <c r="P645" t="s">
        <v>74</v>
      </c>
      <c r="Q645" t="s">
        <v>74</v>
      </c>
      <c r="R645" t="s">
        <v>74</v>
      </c>
      <c r="S645" t="s">
        <v>74</v>
      </c>
      <c r="T645" t="s">
        <v>12404</v>
      </c>
      <c r="U645" t="s">
        <v>12405</v>
      </c>
      <c r="V645" t="s">
        <v>12406</v>
      </c>
      <c r="W645" t="s">
        <v>12407</v>
      </c>
      <c r="X645" t="s">
        <v>12408</v>
      </c>
      <c r="Y645" t="s">
        <v>12409</v>
      </c>
      <c r="Z645" t="s">
        <v>12410</v>
      </c>
      <c r="AA645" t="s">
        <v>74</v>
      </c>
      <c r="AB645" t="s">
        <v>12411</v>
      </c>
      <c r="AC645" t="s">
        <v>12412</v>
      </c>
      <c r="AD645" t="s">
        <v>12413</v>
      </c>
      <c r="AE645" t="s">
        <v>12414</v>
      </c>
      <c r="AF645" t="s">
        <v>74</v>
      </c>
      <c r="AG645">
        <v>77</v>
      </c>
      <c r="AH645">
        <v>14</v>
      </c>
      <c r="AI645">
        <v>16</v>
      </c>
      <c r="AJ645">
        <v>3</v>
      </c>
      <c r="AK645">
        <v>58</v>
      </c>
      <c r="AL645" t="s">
        <v>1945</v>
      </c>
      <c r="AM645" t="s">
        <v>1946</v>
      </c>
      <c r="AN645" t="s">
        <v>1947</v>
      </c>
      <c r="AO645" t="s">
        <v>9933</v>
      </c>
      <c r="AP645" t="s">
        <v>9934</v>
      </c>
      <c r="AQ645" t="s">
        <v>74</v>
      </c>
      <c r="AR645" t="s">
        <v>9922</v>
      </c>
      <c r="AS645" t="s">
        <v>9935</v>
      </c>
      <c r="AT645" t="s">
        <v>9658</v>
      </c>
      <c r="AU645">
        <v>2014</v>
      </c>
      <c r="AV645">
        <v>29</v>
      </c>
      <c r="AW645">
        <v>12</v>
      </c>
      <c r="AX645" t="s">
        <v>74</v>
      </c>
      <c r="AY645" t="s">
        <v>74</v>
      </c>
      <c r="AZ645" t="s">
        <v>74</v>
      </c>
      <c r="BA645" t="s">
        <v>74</v>
      </c>
      <c r="BB645">
        <v>1179</v>
      </c>
      <c r="BC645">
        <v>1195</v>
      </c>
      <c r="BD645" t="s">
        <v>74</v>
      </c>
      <c r="BE645" t="s">
        <v>12415</v>
      </c>
      <c r="BF645" t="str">
        <f>HYPERLINK("http://dx.doi.org/10.1002/2014PA002686","http://dx.doi.org/10.1002/2014PA002686")</f>
        <v>http://dx.doi.org/10.1002/2014PA002686</v>
      </c>
      <c r="BG645" t="s">
        <v>74</v>
      </c>
      <c r="BH645" t="s">
        <v>74</v>
      </c>
      <c r="BI645">
        <v>17</v>
      </c>
      <c r="BJ645" t="s">
        <v>9937</v>
      </c>
      <c r="BK645" t="s">
        <v>91</v>
      </c>
      <c r="BL645" t="s">
        <v>9938</v>
      </c>
      <c r="BM645" t="s">
        <v>9939</v>
      </c>
      <c r="BN645" t="s">
        <v>74</v>
      </c>
      <c r="BO645" t="s">
        <v>375</v>
      </c>
      <c r="BP645" t="s">
        <v>74</v>
      </c>
      <c r="BQ645" t="s">
        <v>74</v>
      </c>
      <c r="BR645" t="s">
        <v>93</v>
      </c>
      <c r="BS645" t="s">
        <v>12416</v>
      </c>
      <c r="BT645" t="str">
        <f>HYPERLINK("https%3A%2F%2Fwww.webofscience.com%2Fwos%2Fwoscc%2Ffull-record%2FWOS:000348536600005","View Full Record in Web of Science")</f>
        <v>View Full Record in Web of Science</v>
      </c>
    </row>
    <row r="646" spans="1:72" x14ac:dyDescent="0.15">
      <c r="A646" t="s">
        <v>72</v>
      </c>
      <c r="B646" t="s">
        <v>12417</v>
      </c>
      <c r="C646" t="s">
        <v>74</v>
      </c>
      <c r="D646" t="s">
        <v>74</v>
      </c>
      <c r="E646" t="s">
        <v>74</v>
      </c>
      <c r="F646" t="s">
        <v>12418</v>
      </c>
      <c r="G646" t="s">
        <v>74</v>
      </c>
      <c r="H646" t="s">
        <v>74</v>
      </c>
      <c r="I646" t="s">
        <v>12419</v>
      </c>
      <c r="J646" t="s">
        <v>9922</v>
      </c>
      <c r="K646" t="s">
        <v>74</v>
      </c>
      <c r="L646" t="s">
        <v>74</v>
      </c>
      <c r="M646" t="s">
        <v>78</v>
      </c>
      <c r="N646" t="s">
        <v>99</v>
      </c>
      <c r="O646" t="s">
        <v>74</v>
      </c>
      <c r="P646" t="s">
        <v>74</v>
      </c>
      <c r="Q646" t="s">
        <v>74</v>
      </c>
      <c r="R646" t="s">
        <v>74</v>
      </c>
      <c r="S646" t="s">
        <v>74</v>
      </c>
      <c r="T646" t="s">
        <v>12420</v>
      </c>
      <c r="U646" t="s">
        <v>12421</v>
      </c>
      <c r="V646" t="s">
        <v>12422</v>
      </c>
      <c r="W646" t="s">
        <v>12423</v>
      </c>
      <c r="X646" t="s">
        <v>12424</v>
      </c>
      <c r="Y646" t="s">
        <v>12425</v>
      </c>
      <c r="Z646" t="s">
        <v>3011</v>
      </c>
      <c r="AA646" t="s">
        <v>12426</v>
      </c>
      <c r="AB646" t="s">
        <v>12427</v>
      </c>
      <c r="AC646" t="s">
        <v>74</v>
      </c>
      <c r="AD646" t="s">
        <v>74</v>
      </c>
      <c r="AE646" t="s">
        <v>74</v>
      </c>
      <c r="AF646" t="s">
        <v>74</v>
      </c>
      <c r="AG646">
        <v>36</v>
      </c>
      <c r="AH646">
        <v>10</v>
      </c>
      <c r="AI646">
        <v>12</v>
      </c>
      <c r="AJ646">
        <v>5</v>
      </c>
      <c r="AK646">
        <v>46</v>
      </c>
      <c r="AL646" t="s">
        <v>1945</v>
      </c>
      <c r="AM646" t="s">
        <v>1946</v>
      </c>
      <c r="AN646" t="s">
        <v>1947</v>
      </c>
      <c r="AO646" t="s">
        <v>9933</v>
      </c>
      <c r="AP646" t="s">
        <v>9934</v>
      </c>
      <c r="AQ646" t="s">
        <v>74</v>
      </c>
      <c r="AR646" t="s">
        <v>9922</v>
      </c>
      <c r="AS646" t="s">
        <v>9935</v>
      </c>
      <c r="AT646" t="s">
        <v>9658</v>
      </c>
      <c r="AU646">
        <v>2014</v>
      </c>
      <c r="AV646">
        <v>29</v>
      </c>
      <c r="AW646">
        <v>12</v>
      </c>
      <c r="AX646" t="s">
        <v>74</v>
      </c>
      <c r="AY646" t="s">
        <v>74</v>
      </c>
      <c r="AZ646" t="s">
        <v>74</v>
      </c>
      <c r="BA646" t="s">
        <v>74</v>
      </c>
      <c r="BB646">
        <v>1249</v>
      </c>
      <c r="BC646">
        <v>1255</v>
      </c>
      <c r="BD646" t="s">
        <v>74</v>
      </c>
      <c r="BE646" t="s">
        <v>12428</v>
      </c>
      <c r="BF646" t="str">
        <f>HYPERLINK("http://dx.doi.org/10.1002/2014PA002693","http://dx.doi.org/10.1002/2014PA002693")</f>
        <v>http://dx.doi.org/10.1002/2014PA002693</v>
      </c>
      <c r="BG646" t="s">
        <v>74</v>
      </c>
      <c r="BH646" t="s">
        <v>74</v>
      </c>
      <c r="BI646">
        <v>7</v>
      </c>
      <c r="BJ646" t="s">
        <v>9937</v>
      </c>
      <c r="BK646" t="s">
        <v>91</v>
      </c>
      <c r="BL646" t="s">
        <v>9938</v>
      </c>
      <c r="BM646" t="s">
        <v>9939</v>
      </c>
      <c r="BN646" t="s">
        <v>74</v>
      </c>
      <c r="BO646" t="s">
        <v>3478</v>
      </c>
      <c r="BP646" t="s">
        <v>74</v>
      </c>
      <c r="BQ646" t="s">
        <v>74</v>
      </c>
      <c r="BR646" t="s">
        <v>93</v>
      </c>
      <c r="BS646" t="s">
        <v>12429</v>
      </c>
      <c r="BT646" t="str">
        <f>HYPERLINK("https%3A%2F%2Fwww.webofscience.com%2Fwos%2Fwoscc%2Ffull-record%2FWOS:000348536600009","View Full Record in Web of Science")</f>
        <v>View Full Record in Web of Science</v>
      </c>
    </row>
    <row r="647" spans="1:72" x14ac:dyDescent="0.15">
      <c r="A647" t="s">
        <v>72</v>
      </c>
      <c r="B647" t="s">
        <v>12430</v>
      </c>
      <c r="C647" t="s">
        <v>74</v>
      </c>
      <c r="D647" t="s">
        <v>74</v>
      </c>
      <c r="E647" t="s">
        <v>74</v>
      </c>
      <c r="F647" t="s">
        <v>12431</v>
      </c>
      <c r="G647" t="s">
        <v>74</v>
      </c>
      <c r="H647" t="s">
        <v>74</v>
      </c>
      <c r="I647" t="s">
        <v>12432</v>
      </c>
      <c r="J647" t="s">
        <v>12433</v>
      </c>
      <c r="K647" t="s">
        <v>74</v>
      </c>
      <c r="L647" t="s">
        <v>74</v>
      </c>
      <c r="M647" t="s">
        <v>78</v>
      </c>
      <c r="N647" t="s">
        <v>99</v>
      </c>
      <c r="O647" t="s">
        <v>74</v>
      </c>
      <c r="P647" t="s">
        <v>74</v>
      </c>
      <c r="Q647" t="s">
        <v>74</v>
      </c>
      <c r="R647" t="s">
        <v>74</v>
      </c>
      <c r="S647" t="s">
        <v>74</v>
      </c>
      <c r="T647" t="s">
        <v>12434</v>
      </c>
      <c r="U647" t="s">
        <v>12435</v>
      </c>
      <c r="V647" t="s">
        <v>12436</v>
      </c>
      <c r="W647" t="s">
        <v>12437</v>
      </c>
      <c r="X647" t="s">
        <v>12438</v>
      </c>
      <c r="Y647" t="s">
        <v>12439</v>
      </c>
      <c r="Z647" t="s">
        <v>12440</v>
      </c>
      <c r="AA647" t="s">
        <v>12441</v>
      </c>
      <c r="AB647" t="s">
        <v>12442</v>
      </c>
      <c r="AC647" t="s">
        <v>74</v>
      </c>
      <c r="AD647" t="s">
        <v>74</v>
      </c>
      <c r="AE647" t="s">
        <v>74</v>
      </c>
      <c r="AF647" t="s">
        <v>74</v>
      </c>
      <c r="AG647">
        <v>51</v>
      </c>
      <c r="AH647">
        <v>15</v>
      </c>
      <c r="AI647">
        <v>16</v>
      </c>
      <c r="AJ647">
        <v>0</v>
      </c>
      <c r="AK647">
        <v>71</v>
      </c>
      <c r="AL647" t="s">
        <v>2666</v>
      </c>
      <c r="AM647" t="s">
        <v>6414</v>
      </c>
      <c r="AN647" t="s">
        <v>6415</v>
      </c>
      <c r="AO647" t="s">
        <v>12443</v>
      </c>
      <c r="AP647" t="s">
        <v>12444</v>
      </c>
      <c r="AQ647" t="s">
        <v>74</v>
      </c>
      <c r="AR647" t="s">
        <v>12433</v>
      </c>
      <c r="AS647" t="s">
        <v>12445</v>
      </c>
      <c r="AT647" t="s">
        <v>9658</v>
      </c>
      <c r="AU647">
        <v>2014</v>
      </c>
      <c r="AV647">
        <v>52</v>
      </c>
      <c r="AW647">
        <v>4</v>
      </c>
      <c r="AX647" t="s">
        <v>74</v>
      </c>
      <c r="AY647" t="s">
        <v>74</v>
      </c>
      <c r="AZ647" t="s">
        <v>74</v>
      </c>
      <c r="BA647" t="s">
        <v>74</v>
      </c>
      <c r="BB647">
        <v>538</v>
      </c>
      <c r="BC647">
        <v>547</v>
      </c>
      <c r="BD647" t="s">
        <v>74</v>
      </c>
      <c r="BE647" t="s">
        <v>12446</v>
      </c>
      <c r="BF647" t="str">
        <f>HYPERLINK("http://dx.doi.org/10.1007/s11099-014-0060-7","http://dx.doi.org/10.1007/s11099-014-0060-7")</f>
        <v>http://dx.doi.org/10.1007/s11099-014-0060-7</v>
      </c>
      <c r="BG647" t="s">
        <v>74</v>
      </c>
      <c r="BH647" t="s">
        <v>74</v>
      </c>
      <c r="BI647">
        <v>10</v>
      </c>
      <c r="BJ647" t="s">
        <v>1015</v>
      </c>
      <c r="BK647" t="s">
        <v>91</v>
      </c>
      <c r="BL647" t="s">
        <v>1015</v>
      </c>
      <c r="BM647" t="s">
        <v>12447</v>
      </c>
      <c r="BN647" t="s">
        <v>74</v>
      </c>
      <c r="BO647" t="s">
        <v>375</v>
      </c>
      <c r="BP647" t="s">
        <v>74</v>
      </c>
      <c r="BQ647" t="s">
        <v>74</v>
      </c>
      <c r="BR647" t="s">
        <v>93</v>
      </c>
      <c r="BS647" t="s">
        <v>12448</v>
      </c>
      <c r="BT647" t="str">
        <f>HYPERLINK("https%3A%2F%2Fwww.webofscience.com%2Fwos%2Fwoscc%2Ffull-record%2FWOS:000345394500008","View Full Record in Web of Science")</f>
        <v>View Full Record in Web of Science</v>
      </c>
    </row>
    <row r="648" spans="1:72" x14ac:dyDescent="0.15">
      <c r="A648" t="s">
        <v>72</v>
      </c>
      <c r="B648" t="s">
        <v>12449</v>
      </c>
      <c r="C648" t="s">
        <v>74</v>
      </c>
      <c r="D648" t="s">
        <v>74</v>
      </c>
      <c r="E648" t="s">
        <v>74</v>
      </c>
      <c r="F648" t="s">
        <v>12450</v>
      </c>
      <c r="G648" t="s">
        <v>74</v>
      </c>
      <c r="H648" t="s">
        <v>74</v>
      </c>
      <c r="I648" t="s">
        <v>12451</v>
      </c>
      <c r="J648" t="s">
        <v>11121</v>
      </c>
      <c r="K648" t="s">
        <v>74</v>
      </c>
      <c r="L648" t="s">
        <v>74</v>
      </c>
      <c r="M648" t="s">
        <v>78</v>
      </c>
      <c r="N648" t="s">
        <v>99</v>
      </c>
      <c r="O648" t="s">
        <v>74</v>
      </c>
      <c r="P648" t="s">
        <v>74</v>
      </c>
      <c r="Q648" t="s">
        <v>74</v>
      </c>
      <c r="R648" t="s">
        <v>74</v>
      </c>
      <c r="S648" t="s">
        <v>74</v>
      </c>
      <c r="T648" t="s">
        <v>12452</v>
      </c>
      <c r="U648" t="s">
        <v>12453</v>
      </c>
      <c r="V648" t="s">
        <v>12454</v>
      </c>
      <c r="W648" t="s">
        <v>12455</v>
      </c>
      <c r="X648" t="s">
        <v>12456</v>
      </c>
      <c r="Y648" t="s">
        <v>12457</v>
      </c>
      <c r="Z648" t="s">
        <v>12458</v>
      </c>
      <c r="AA648" t="s">
        <v>12459</v>
      </c>
      <c r="AB648" t="s">
        <v>12460</v>
      </c>
      <c r="AC648" t="s">
        <v>12461</v>
      </c>
      <c r="AD648" t="s">
        <v>12462</v>
      </c>
      <c r="AE648" t="s">
        <v>12463</v>
      </c>
      <c r="AF648" t="s">
        <v>74</v>
      </c>
      <c r="AG648">
        <v>54</v>
      </c>
      <c r="AH648">
        <v>12</v>
      </c>
      <c r="AI648">
        <v>12</v>
      </c>
      <c r="AJ648">
        <v>0</v>
      </c>
      <c r="AK648">
        <v>22</v>
      </c>
      <c r="AL648" t="s">
        <v>2666</v>
      </c>
      <c r="AM648" t="s">
        <v>342</v>
      </c>
      <c r="AN648" t="s">
        <v>2667</v>
      </c>
      <c r="AO648" t="s">
        <v>11134</v>
      </c>
      <c r="AP648" t="s">
        <v>11135</v>
      </c>
      <c r="AQ648" t="s">
        <v>74</v>
      </c>
      <c r="AR648" t="s">
        <v>11136</v>
      </c>
      <c r="AS648" t="s">
        <v>11137</v>
      </c>
      <c r="AT648" t="s">
        <v>9658</v>
      </c>
      <c r="AU648">
        <v>2014</v>
      </c>
      <c r="AV648">
        <v>37</v>
      </c>
      <c r="AW648">
        <v>12</v>
      </c>
      <c r="AX648" t="s">
        <v>74</v>
      </c>
      <c r="AY648" t="s">
        <v>74</v>
      </c>
      <c r="AZ648" t="s">
        <v>74</v>
      </c>
      <c r="BA648" t="s">
        <v>74</v>
      </c>
      <c r="BB648">
        <v>1741</v>
      </c>
      <c r="BC648">
        <v>1754</v>
      </c>
      <c r="BD648" t="s">
        <v>74</v>
      </c>
      <c r="BE648" t="s">
        <v>12464</v>
      </c>
      <c r="BF648" t="str">
        <f>HYPERLINK("http://dx.doi.org/10.1007/s00300-014-1558-y","http://dx.doi.org/10.1007/s00300-014-1558-y")</f>
        <v>http://dx.doi.org/10.1007/s00300-014-1558-y</v>
      </c>
      <c r="BG648" t="s">
        <v>74</v>
      </c>
      <c r="BH648" t="s">
        <v>74</v>
      </c>
      <c r="BI648">
        <v>14</v>
      </c>
      <c r="BJ648" t="s">
        <v>3475</v>
      </c>
      <c r="BK648" t="s">
        <v>91</v>
      </c>
      <c r="BL648" t="s">
        <v>3476</v>
      </c>
      <c r="BM648" t="s">
        <v>11139</v>
      </c>
      <c r="BN648" t="s">
        <v>74</v>
      </c>
      <c r="BO648" t="s">
        <v>4631</v>
      </c>
      <c r="BP648" t="s">
        <v>74</v>
      </c>
      <c r="BQ648" t="s">
        <v>74</v>
      </c>
      <c r="BR648" t="s">
        <v>93</v>
      </c>
      <c r="BS648" t="s">
        <v>12465</v>
      </c>
      <c r="BT648" t="str">
        <f>HYPERLINK("https%3A%2F%2Fwww.webofscience.com%2Fwos%2Fwoscc%2Ffull-record%2FWOS:000344728400003","View Full Record in Web of Science")</f>
        <v>View Full Record in Web of Science</v>
      </c>
    </row>
    <row r="649" spans="1:72" x14ac:dyDescent="0.15">
      <c r="A649" t="s">
        <v>72</v>
      </c>
      <c r="B649" t="s">
        <v>12466</v>
      </c>
      <c r="C649" t="s">
        <v>74</v>
      </c>
      <c r="D649" t="s">
        <v>74</v>
      </c>
      <c r="E649" t="s">
        <v>74</v>
      </c>
      <c r="F649" t="s">
        <v>12467</v>
      </c>
      <c r="G649" t="s">
        <v>74</v>
      </c>
      <c r="H649" t="s">
        <v>74</v>
      </c>
      <c r="I649" t="s">
        <v>12468</v>
      </c>
      <c r="J649" t="s">
        <v>11121</v>
      </c>
      <c r="K649" t="s">
        <v>74</v>
      </c>
      <c r="L649" t="s">
        <v>74</v>
      </c>
      <c r="M649" t="s">
        <v>78</v>
      </c>
      <c r="N649" t="s">
        <v>99</v>
      </c>
      <c r="O649" t="s">
        <v>74</v>
      </c>
      <c r="P649" t="s">
        <v>74</v>
      </c>
      <c r="Q649" t="s">
        <v>74</v>
      </c>
      <c r="R649" t="s">
        <v>74</v>
      </c>
      <c r="S649" t="s">
        <v>74</v>
      </c>
      <c r="T649" t="s">
        <v>12469</v>
      </c>
      <c r="U649" t="s">
        <v>12470</v>
      </c>
      <c r="V649" t="s">
        <v>12471</v>
      </c>
      <c r="W649" t="s">
        <v>12472</v>
      </c>
      <c r="X649" t="s">
        <v>12473</v>
      </c>
      <c r="Y649" t="s">
        <v>12474</v>
      </c>
      <c r="Z649" t="s">
        <v>12475</v>
      </c>
      <c r="AA649" t="s">
        <v>12476</v>
      </c>
      <c r="AB649" t="s">
        <v>12477</v>
      </c>
      <c r="AC649" t="s">
        <v>12478</v>
      </c>
      <c r="AD649" t="s">
        <v>12479</v>
      </c>
      <c r="AE649" t="s">
        <v>12480</v>
      </c>
      <c r="AF649" t="s">
        <v>74</v>
      </c>
      <c r="AG649">
        <v>46</v>
      </c>
      <c r="AH649">
        <v>33</v>
      </c>
      <c r="AI649">
        <v>33</v>
      </c>
      <c r="AJ649">
        <v>2</v>
      </c>
      <c r="AK649">
        <v>38</v>
      </c>
      <c r="AL649" t="s">
        <v>2666</v>
      </c>
      <c r="AM649" t="s">
        <v>342</v>
      </c>
      <c r="AN649" t="s">
        <v>2761</v>
      </c>
      <c r="AO649" t="s">
        <v>11134</v>
      </c>
      <c r="AP649" t="s">
        <v>11135</v>
      </c>
      <c r="AQ649" t="s">
        <v>74</v>
      </c>
      <c r="AR649" t="s">
        <v>11136</v>
      </c>
      <c r="AS649" t="s">
        <v>11137</v>
      </c>
      <c r="AT649" t="s">
        <v>9658</v>
      </c>
      <c r="AU649">
        <v>2014</v>
      </c>
      <c r="AV649">
        <v>37</v>
      </c>
      <c r="AW649">
        <v>12</v>
      </c>
      <c r="AX649" t="s">
        <v>74</v>
      </c>
      <c r="AY649" t="s">
        <v>74</v>
      </c>
      <c r="AZ649" t="s">
        <v>74</v>
      </c>
      <c r="BA649" t="s">
        <v>74</v>
      </c>
      <c r="BB649">
        <v>1823</v>
      </c>
      <c r="BC649">
        <v>1833</v>
      </c>
      <c r="BD649" t="s">
        <v>74</v>
      </c>
      <c r="BE649" t="s">
        <v>12481</v>
      </c>
      <c r="BF649" t="str">
        <f>HYPERLINK("http://dx.doi.org/10.1007/s00300-014-1564-0","http://dx.doi.org/10.1007/s00300-014-1564-0")</f>
        <v>http://dx.doi.org/10.1007/s00300-014-1564-0</v>
      </c>
      <c r="BG649" t="s">
        <v>74</v>
      </c>
      <c r="BH649" t="s">
        <v>74</v>
      </c>
      <c r="BI649">
        <v>11</v>
      </c>
      <c r="BJ649" t="s">
        <v>3475</v>
      </c>
      <c r="BK649" t="s">
        <v>91</v>
      </c>
      <c r="BL649" t="s">
        <v>3476</v>
      </c>
      <c r="BM649" t="s">
        <v>11139</v>
      </c>
      <c r="BN649" t="s">
        <v>74</v>
      </c>
      <c r="BO649" t="s">
        <v>574</v>
      </c>
      <c r="BP649" t="s">
        <v>74</v>
      </c>
      <c r="BQ649" t="s">
        <v>74</v>
      </c>
      <c r="BR649" t="s">
        <v>93</v>
      </c>
      <c r="BS649" t="s">
        <v>12482</v>
      </c>
      <c r="BT649" t="str">
        <f>HYPERLINK("https%3A%2F%2Fwww.webofscience.com%2Fwos%2Fwoscc%2Ffull-record%2FWOS:000344728400009","View Full Record in Web of Science")</f>
        <v>View Full Record in Web of Science</v>
      </c>
    </row>
    <row r="650" spans="1:72" x14ac:dyDescent="0.15">
      <c r="A650" t="s">
        <v>72</v>
      </c>
      <c r="B650" t="s">
        <v>12483</v>
      </c>
      <c r="C650" t="s">
        <v>74</v>
      </c>
      <c r="D650" t="s">
        <v>74</v>
      </c>
      <c r="E650" t="s">
        <v>74</v>
      </c>
      <c r="F650" t="s">
        <v>12484</v>
      </c>
      <c r="G650" t="s">
        <v>74</v>
      </c>
      <c r="H650" t="s">
        <v>74</v>
      </c>
      <c r="I650" t="s">
        <v>12485</v>
      </c>
      <c r="J650" t="s">
        <v>11121</v>
      </c>
      <c r="K650" t="s">
        <v>74</v>
      </c>
      <c r="L650" t="s">
        <v>74</v>
      </c>
      <c r="M650" t="s">
        <v>78</v>
      </c>
      <c r="N650" t="s">
        <v>99</v>
      </c>
      <c r="O650" t="s">
        <v>74</v>
      </c>
      <c r="P650" t="s">
        <v>74</v>
      </c>
      <c r="Q650" t="s">
        <v>74</v>
      </c>
      <c r="R650" t="s">
        <v>74</v>
      </c>
      <c r="S650" t="s">
        <v>74</v>
      </c>
      <c r="T650" t="s">
        <v>12486</v>
      </c>
      <c r="U650" t="s">
        <v>12487</v>
      </c>
      <c r="V650" t="s">
        <v>12488</v>
      </c>
      <c r="W650" t="s">
        <v>12489</v>
      </c>
      <c r="X650" t="s">
        <v>4616</v>
      </c>
      <c r="Y650" t="s">
        <v>12490</v>
      </c>
      <c r="Z650" t="s">
        <v>12491</v>
      </c>
      <c r="AA650" t="s">
        <v>12492</v>
      </c>
      <c r="AB650" t="s">
        <v>12493</v>
      </c>
      <c r="AC650" t="s">
        <v>12494</v>
      </c>
      <c r="AD650" t="s">
        <v>7684</v>
      </c>
      <c r="AE650" t="s">
        <v>74</v>
      </c>
      <c r="AF650" t="s">
        <v>74</v>
      </c>
      <c r="AG650">
        <v>38</v>
      </c>
      <c r="AH650">
        <v>14</v>
      </c>
      <c r="AI650">
        <v>14</v>
      </c>
      <c r="AJ650">
        <v>3</v>
      </c>
      <c r="AK650">
        <v>78</v>
      </c>
      <c r="AL650" t="s">
        <v>2666</v>
      </c>
      <c r="AM650" t="s">
        <v>342</v>
      </c>
      <c r="AN650" t="s">
        <v>2761</v>
      </c>
      <c r="AO650" t="s">
        <v>11134</v>
      </c>
      <c r="AP650" t="s">
        <v>11135</v>
      </c>
      <c r="AQ650" t="s">
        <v>74</v>
      </c>
      <c r="AR650" t="s">
        <v>11136</v>
      </c>
      <c r="AS650" t="s">
        <v>11137</v>
      </c>
      <c r="AT650" t="s">
        <v>9658</v>
      </c>
      <c r="AU650">
        <v>2014</v>
      </c>
      <c r="AV650">
        <v>37</v>
      </c>
      <c r="AW650">
        <v>12</v>
      </c>
      <c r="AX650" t="s">
        <v>74</v>
      </c>
      <c r="AY650" t="s">
        <v>74</v>
      </c>
      <c r="AZ650" t="s">
        <v>74</v>
      </c>
      <c r="BA650" t="s">
        <v>74</v>
      </c>
      <c r="BB650">
        <v>1849</v>
      </c>
      <c r="BC650">
        <v>1855</v>
      </c>
      <c r="BD650" t="s">
        <v>74</v>
      </c>
      <c r="BE650" t="s">
        <v>12495</v>
      </c>
      <c r="BF650" t="str">
        <f>HYPERLINK("http://dx.doi.org/10.1007/s00300-014-1566-y","http://dx.doi.org/10.1007/s00300-014-1566-y")</f>
        <v>http://dx.doi.org/10.1007/s00300-014-1566-y</v>
      </c>
      <c r="BG650" t="s">
        <v>74</v>
      </c>
      <c r="BH650" t="s">
        <v>74</v>
      </c>
      <c r="BI650">
        <v>7</v>
      </c>
      <c r="BJ650" t="s">
        <v>3475</v>
      </c>
      <c r="BK650" t="s">
        <v>91</v>
      </c>
      <c r="BL650" t="s">
        <v>3476</v>
      </c>
      <c r="BM650" t="s">
        <v>11139</v>
      </c>
      <c r="BN650" t="s">
        <v>74</v>
      </c>
      <c r="BO650" t="s">
        <v>4631</v>
      </c>
      <c r="BP650" t="s">
        <v>74</v>
      </c>
      <c r="BQ650" t="s">
        <v>74</v>
      </c>
      <c r="BR650" t="s">
        <v>93</v>
      </c>
      <c r="BS650" t="s">
        <v>12496</v>
      </c>
      <c r="BT650" t="str">
        <f>HYPERLINK("https%3A%2F%2Fwww.webofscience.com%2Fwos%2Fwoscc%2Ffull-record%2FWOS:000344728400011","View Full Record in Web of Science")</f>
        <v>View Full Record in Web of Science</v>
      </c>
    </row>
    <row r="651" spans="1:72" x14ac:dyDescent="0.15">
      <c r="A651" t="s">
        <v>72</v>
      </c>
      <c r="B651" t="s">
        <v>12497</v>
      </c>
      <c r="C651" t="s">
        <v>74</v>
      </c>
      <c r="D651" t="s">
        <v>74</v>
      </c>
      <c r="E651" t="s">
        <v>74</v>
      </c>
      <c r="F651" t="s">
        <v>12498</v>
      </c>
      <c r="G651" t="s">
        <v>74</v>
      </c>
      <c r="H651" t="s">
        <v>74</v>
      </c>
      <c r="I651" t="s">
        <v>12499</v>
      </c>
      <c r="J651" t="s">
        <v>11121</v>
      </c>
      <c r="K651" t="s">
        <v>74</v>
      </c>
      <c r="L651" t="s">
        <v>74</v>
      </c>
      <c r="M651" t="s">
        <v>78</v>
      </c>
      <c r="N651" t="s">
        <v>99</v>
      </c>
      <c r="O651" t="s">
        <v>74</v>
      </c>
      <c r="P651" t="s">
        <v>74</v>
      </c>
      <c r="Q651" t="s">
        <v>74</v>
      </c>
      <c r="R651" t="s">
        <v>74</v>
      </c>
      <c r="S651" t="s">
        <v>74</v>
      </c>
      <c r="T651" t="s">
        <v>12500</v>
      </c>
      <c r="U651" t="s">
        <v>12501</v>
      </c>
      <c r="V651" t="s">
        <v>12502</v>
      </c>
      <c r="W651" t="s">
        <v>12503</v>
      </c>
      <c r="X651" t="s">
        <v>12504</v>
      </c>
      <c r="Y651" t="s">
        <v>12505</v>
      </c>
      <c r="Z651" t="s">
        <v>12506</v>
      </c>
      <c r="AA651" t="s">
        <v>12507</v>
      </c>
      <c r="AB651" t="s">
        <v>12508</v>
      </c>
      <c r="AC651" t="s">
        <v>12509</v>
      </c>
      <c r="AD651" t="s">
        <v>12510</v>
      </c>
      <c r="AE651" t="s">
        <v>12511</v>
      </c>
      <c r="AF651" t="s">
        <v>74</v>
      </c>
      <c r="AG651">
        <v>64</v>
      </c>
      <c r="AH651">
        <v>11</v>
      </c>
      <c r="AI651">
        <v>12</v>
      </c>
      <c r="AJ651">
        <v>1</v>
      </c>
      <c r="AK651">
        <v>21</v>
      </c>
      <c r="AL651" t="s">
        <v>2666</v>
      </c>
      <c r="AM651" t="s">
        <v>342</v>
      </c>
      <c r="AN651" t="s">
        <v>2667</v>
      </c>
      <c r="AO651" t="s">
        <v>11134</v>
      </c>
      <c r="AP651" t="s">
        <v>11135</v>
      </c>
      <c r="AQ651" t="s">
        <v>74</v>
      </c>
      <c r="AR651" t="s">
        <v>11136</v>
      </c>
      <c r="AS651" t="s">
        <v>11137</v>
      </c>
      <c r="AT651" t="s">
        <v>9658</v>
      </c>
      <c r="AU651">
        <v>2014</v>
      </c>
      <c r="AV651">
        <v>37</v>
      </c>
      <c r="AW651">
        <v>12</v>
      </c>
      <c r="AX651" t="s">
        <v>74</v>
      </c>
      <c r="AY651" t="s">
        <v>74</v>
      </c>
      <c r="AZ651" t="s">
        <v>74</v>
      </c>
      <c r="BA651" t="s">
        <v>74</v>
      </c>
      <c r="BB651">
        <v>1857</v>
      </c>
      <c r="BC651">
        <v>1864</v>
      </c>
      <c r="BD651" t="s">
        <v>74</v>
      </c>
      <c r="BE651" t="s">
        <v>12512</v>
      </c>
      <c r="BF651" t="str">
        <f>HYPERLINK("http://dx.doi.org/10.1007/s00300-014-1567-x","http://dx.doi.org/10.1007/s00300-014-1567-x")</f>
        <v>http://dx.doi.org/10.1007/s00300-014-1567-x</v>
      </c>
      <c r="BG651" t="s">
        <v>74</v>
      </c>
      <c r="BH651" t="s">
        <v>74</v>
      </c>
      <c r="BI651">
        <v>8</v>
      </c>
      <c r="BJ651" t="s">
        <v>3475</v>
      </c>
      <c r="BK651" t="s">
        <v>91</v>
      </c>
      <c r="BL651" t="s">
        <v>3476</v>
      </c>
      <c r="BM651" t="s">
        <v>11139</v>
      </c>
      <c r="BN651" t="s">
        <v>74</v>
      </c>
      <c r="BO651" t="s">
        <v>74</v>
      </c>
      <c r="BP651" t="s">
        <v>74</v>
      </c>
      <c r="BQ651" t="s">
        <v>74</v>
      </c>
      <c r="BR651" t="s">
        <v>93</v>
      </c>
      <c r="BS651" t="s">
        <v>12513</v>
      </c>
      <c r="BT651" t="str">
        <f>HYPERLINK("https%3A%2F%2Fwww.webofscience.com%2Fwos%2Fwoscc%2Ffull-record%2FWOS:000344728400012","View Full Record in Web of Science")</f>
        <v>View Full Record in Web of Science</v>
      </c>
    </row>
    <row r="652" spans="1:72" x14ac:dyDescent="0.15">
      <c r="A652" t="s">
        <v>72</v>
      </c>
      <c r="B652" t="s">
        <v>12514</v>
      </c>
      <c r="C652" t="s">
        <v>74</v>
      </c>
      <c r="D652" t="s">
        <v>74</v>
      </c>
      <c r="E652" t="s">
        <v>74</v>
      </c>
      <c r="F652" t="s">
        <v>12515</v>
      </c>
      <c r="G652" t="s">
        <v>74</v>
      </c>
      <c r="H652" t="s">
        <v>74</v>
      </c>
      <c r="I652" t="s">
        <v>12516</v>
      </c>
      <c r="J652" t="s">
        <v>10234</v>
      </c>
      <c r="K652" t="s">
        <v>74</v>
      </c>
      <c r="L652" t="s">
        <v>74</v>
      </c>
      <c r="M652" t="s">
        <v>78</v>
      </c>
      <c r="N652" t="s">
        <v>99</v>
      </c>
      <c r="O652" t="s">
        <v>74</v>
      </c>
      <c r="P652" t="s">
        <v>74</v>
      </c>
      <c r="Q652" t="s">
        <v>74</v>
      </c>
      <c r="R652" t="s">
        <v>74</v>
      </c>
      <c r="S652" t="s">
        <v>74</v>
      </c>
      <c r="T652" t="s">
        <v>12517</v>
      </c>
      <c r="U652" t="s">
        <v>12518</v>
      </c>
      <c r="V652" t="s">
        <v>12519</v>
      </c>
      <c r="W652" t="s">
        <v>12520</v>
      </c>
      <c r="X652" t="s">
        <v>12521</v>
      </c>
      <c r="Y652" t="s">
        <v>12522</v>
      </c>
      <c r="Z652" t="s">
        <v>12523</v>
      </c>
      <c r="AA652" t="s">
        <v>74</v>
      </c>
      <c r="AB652" t="s">
        <v>12524</v>
      </c>
      <c r="AC652" t="s">
        <v>12525</v>
      </c>
      <c r="AD652" t="s">
        <v>12526</v>
      </c>
      <c r="AE652" t="s">
        <v>12527</v>
      </c>
      <c r="AF652" t="s">
        <v>74</v>
      </c>
      <c r="AG652">
        <v>35</v>
      </c>
      <c r="AH652">
        <v>22</v>
      </c>
      <c r="AI652">
        <v>23</v>
      </c>
      <c r="AJ652">
        <v>0</v>
      </c>
      <c r="AK652">
        <v>5</v>
      </c>
      <c r="AL652" t="s">
        <v>2640</v>
      </c>
      <c r="AM652" t="s">
        <v>1176</v>
      </c>
      <c r="AN652" t="s">
        <v>2641</v>
      </c>
      <c r="AO652" t="s">
        <v>10247</v>
      </c>
      <c r="AP652" t="s">
        <v>10248</v>
      </c>
      <c r="AQ652" t="s">
        <v>74</v>
      </c>
      <c r="AR652" t="s">
        <v>10249</v>
      </c>
      <c r="AS652" t="s">
        <v>10250</v>
      </c>
      <c r="AT652" t="s">
        <v>9658</v>
      </c>
      <c r="AU652">
        <v>2014</v>
      </c>
      <c r="AV652">
        <v>8</v>
      </c>
      <c r="AW652">
        <v>4</v>
      </c>
      <c r="AX652" t="s">
        <v>74</v>
      </c>
      <c r="AY652" t="s">
        <v>74</v>
      </c>
      <c r="AZ652" t="s">
        <v>74</v>
      </c>
      <c r="BA652" t="s">
        <v>74</v>
      </c>
      <c r="BB652">
        <v>357</v>
      </c>
      <c r="BC652">
        <v>369</v>
      </c>
      <c r="BD652" t="s">
        <v>74</v>
      </c>
      <c r="BE652" t="s">
        <v>12528</v>
      </c>
      <c r="BF652" t="str">
        <f>HYPERLINK("http://dx.doi.org/10.1016/j.polar.2014.06.001","http://dx.doi.org/10.1016/j.polar.2014.06.001")</f>
        <v>http://dx.doi.org/10.1016/j.polar.2014.06.001</v>
      </c>
      <c r="BG652" t="s">
        <v>74</v>
      </c>
      <c r="BH652" t="s">
        <v>74</v>
      </c>
      <c r="BI652">
        <v>13</v>
      </c>
      <c r="BJ652" t="s">
        <v>613</v>
      </c>
      <c r="BK652" t="s">
        <v>91</v>
      </c>
      <c r="BL652" t="s">
        <v>614</v>
      </c>
      <c r="BM652" t="s">
        <v>10252</v>
      </c>
      <c r="BN652" t="s">
        <v>74</v>
      </c>
      <c r="BO652" t="s">
        <v>134</v>
      </c>
      <c r="BP652" t="s">
        <v>74</v>
      </c>
      <c r="BQ652" t="s">
        <v>74</v>
      </c>
      <c r="BR652" t="s">
        <v>93</v>
      </c>
      <c r="BS652" t="s">
        <v>12529</v>
      </c>
      <c r="BT652" t="str">
        <f>HYPERLINK("https%3A%2F%2Fwww.webofscience.com%2Fwos%2Fwoscc%2Ffull-record%2FWOS:000346894800004","View Full Record in Web of Science")</f>
        <v>View Full Record in Web of Science</v>
      </c>
    </row>
    <row r="653" spans="1:72" x14ac:dyDescent="0.15">
      <c r="A653" t="s">
        <v>72</v>
      </c>
      <c r="B653" t="s">
        <v>12530</v>
      </c>
      <c r="C653" t="s">
        <v>74</v>
      </c>
      <c r="D653" t="s">
        <v>74</v>
      </c>
      <c r="E653" t="s">
        <v>74</v>
      </c>
      <c r="F653" t="s">
        <v>12531</v>
      </c>
      <c r="G653" t="s">
        <v>74</v>
      </c>
      <c r="H653" t="s">
        <v>74</v>
      </c>
      <c r="I653" t="s">
        <v>12532</v>
      </c>
      <c r="J653" t="s">
        <v>12533</v>
      </c>
      <c r="K653" t="s">
        <v>74</v>
      </c>
      <c r="L653" t="s">
        <v>74</v>
      </c>
      <c r="M653" t="s">
        <v>78</v>
      </c>
      <c r="N653" t="s">
        <v>99</v>
      </c>
      <c r="O653" t="s">
        <v>74</v>
      </c>
      <c r="P653" t="s">
        <v>74</v>
      </c>
      <c r="Q653" t="s">
        <v>74</v>
      </c>
      <c r="R653" t="s">
        <v>74</v>
      </c>
      <c r="S653" t="s">
        <v>74</v>
      </c>
      <c r="T653" t="s">
        <v>12534</v>
      </c>
      <c r="U653" t="s">
        <v>12535</v>
      </c>
      <c r="V653" t="s">
        <v>12536</v>
      </c>
      <c r="W653" t="s">
        <v>12537</v>
      </c>
      <c r="X653" t="s">
        <v>12538</v>
      </c>
      <c r="Y653" t="s">
        <v>12539</v>
      </c>
      <c r="Z653" t="s">
        <v>12540</v>
      </c>
      <c r="AA653" t="s">
        <v>74</v>
      </c>
      <c r="AB653" t="s">
        <v>12541</v>
      </c>
      <c r="AC653" t="s">
        <v>74</v>
      </c>
      <c r="AD653" t="s">
        <v>74</v>
      </c>
      <c r="AE653" t="s">
        <v>74</v>
      </c>
      <c r="AF653" t="s">
        <v>74</v>
      </c>
      <c r="AG653">
        <v>53</v>
      </c>
      <c r="AH653">
        <v>46</v>
      </c>
      <c r="AI653">
        <v>52</v>
      </c>
      <c r="AJ653">
        <v>1</v>
      </c>
      <c r="AK653">
        <v>25</v>
      </c>
      <c r="AL653" t="s">
        <v>2458</v>
      </c>
      <c r="AM653" t="s">
        <v>1411</v>
      </c>
      <c r="AN653" t="s">
        <v>2459</v>
      </c>
      <c r="AO653" t="s">
        <v>12542</v>
      </c>
      <c r="AP653" t="s">
        <v>12543</v>
      </c>
      <c r="AQ653" t="s">
        <v>74</v>
      </c>
      <c r="AR653" t="s">
        <v>12544</v>
      </c>
      <c r="AS653" t="s">
        <v>12545</v>
      </c>
      <c r="AT653" t="s">
        <v>9658</v>
      </c>
      <c r="AU653">
        <v>2014</v>
      </c>
      <c r="AV653">
        <v>49</v>
      </c>
      <c r="AW653">
        <v>12</v>
      </c>
      <c r="AX653" t="s">
        <v>74</v>
      </c>
      <c r="AY653" t="s">
        <v>74</v>
      </c>
      <c r="AZ653" t="s">
        <v>74</v>
      </c>
      <c r="BA653" t="s">
        <v>74</v>
      </c>
      <c r="BB653">
        <v>2122</v>
      </c>
      <c r="BC653">
        <v>2133</v>
      </c>
      <c r="BD653" t="s">
        <v>74</v>
      </c>
      <c r="BE653" t="s">
        <v>12546</v>
      </c>
      <c r="BF653" t="str">
        <f>HYPERLINK("http://dx.doi.org/10.1016/j.procbio.2014.09.018","http://dx.doi.org/10.1016/j.procbio.2014.09.018")</f>
        <v>http://dx.doi.org/10.1016/j.procbio.2014.09.018</v>
      </c>
      <c r="BG653" t="s">
        <v>74</v>
      </c>
      <c r="BH653" t="s">
        <v>74</v>
      </c>
      <c r="BI653">
        <v>12</v>
      </c>
      <c r="BJ653" t="s">
        <v>12547</v>
      </c>
      <c r="BK653" t="s">
        <v>91</v>
      </c>
      <c r="BL653" t="s">
        <v>12548</v>
      </c>
      <c r="BM653" t="s">
        <v>12549</v>
      </c>
      <c r="BN653" t="s">
        <v>74</v>
      </c>
      <c r="BO653" t="s">
        <v>134</v>
      </c>
      <c r="BP653" t="s">
        <v>74</v>
      </c>
      <c r="BQ653" t="s">
        <v>74</v>
      </c>
      <c r="BR653" t="s">
        <v>93</v>
      </c>
      <c r="BS653" t="s">
        <v>12550</v>
      </c>
      <c r="BT653" t="str">
        <f>HYPERLINK("https%3A%2F%2Fwww.webofscience.com%2Fwos%2Fwoscc%2Ffull-record%2FWOS:000347761100014","View Full Record in Web of Science")</f>
        <v>View Full Record in Web of Science</v>
      </c>
    </row>
    <row r="654" spans="1:72" x14ac:dyDescent="0.15">
      <c r="A654" t="s">
        <v>72</v>
      </c>
      <c r="B654" t="s">
        <v>12551</v>
      </c>
      <c r="C654" t="s">
        <v>74</v>
      </c>
      <c r="D654" t="s">
        <v>74</v>
      </c>
      <c r="E654" t="s">
        <v>74</v>
      </c>
      <c r="F654" t="s">
        <v>12552</v>
      </c>
      <c r="G654" t="s">
        <v>74</v>
      </c>
      <c r="H654" t="s">
        <v>74</v>
      </c>
      <c r="I654" t="s">
        <v>12553</v>
      </c>
      <c r="J654" t="s">
        <v>8197</v>
      </c>
      <c r="K654" t="s">
        <v>74</v>
      </c>
      <c r="L654" t="s">
        <v>74</v>
      </c>
      <c r="M654" t="s">
        <v>78</v>
      </c>
      <c r="N654" t="s">
        <v>99</v>
      </c>
      <c r="O654" t="s">
        <v>74</v>
      </c>
      <c r="P654" t="s">
        <v>74</v>
      </c>
      <c r="Q654" t="s">
        <v>74</v>
      </c>
      <c r="R654" t="s">
        <v>74</v>
      </c>
      <c r="S654" t="s">
        <v>74</v>
      </c>
      <c r="T654" t="s">
        <v>12554</v>
      </c>
      <c r="U654" t="s">
        <v>12555</v>
      </c>
      <c r="V654" t="s">
        <v>12556</v>
      </c>
      <c r="W654" t="s">
        <v>12557</v>
      </c>
      <c r="X654" t="s">
        <v>12558</v>
      </c>
      <c r="Y654" t="s">
        <v>12559</v>
      </c>
      <c r="Z654" t="s">
        <v>12560</v>
      </c>
      <c r="AA654" t="s">
        <v>12561</v>
      </c>
      <c r="AB654" t="s">
        <v>12562</v>
      </c>
      <c r="AC654" t="s">
        <v>12563</v>
      </c>
      <c r="AD654" t="s">
        <v>12564</v>
      </c>
      <c r="AE654" t="s">
        <v>12565</v>
      </c>
      <c r="AF654" t="s">
        <v>74</v>
      </c>
      <c r="AG654">
        <v>31</v>
      </c>
      <c r="AH654">
        <v>28</v>
      </c>
      <c r="AI654">
        <v>30</v>
      </c>
      <c r="AJ654">
        <v>0</v>
      </c>
      <c r="AK654">
        <v>3</v>
      </c>
      <c r="AL654" t="s">
        <v>1945</v>
      </c>
      <c r="AM654" t="s">
        <v>1946</v>
      </c>
      <c r="AN654" t="s">
        <v>1947</v>
      </c>
      <c r="AO654" t="s">
        <v>8210</v>
      </c>
      <c r="AP654" t="s">
        <v>8211</v>
      </c>
      <c r="AQ654" t="s">
        <v>74</v>
      </c>
      <c r="AR654" t="s">
        <v>8212</v>
      </c>
      <c r="AS654" t="s">
        <v>8213</v>
      </c>
      <c r="AT654" t="s">
        <v>9658</v>
      </c>
      <c r="AU654">
        <v>2014</v>
      </c>
      <c r="AV654">
        <v>49</v>
      </c>
      <c r="AW654">
        <v>12</v>
      </c>
      <c r="AX654" t="s">
        <v>74</v>
      </c>
      <c r="AY654" t="s">
        <v>74</v>
      </c>
      <c r="AZ654" t="s">
        <v>74</v>
      </c>
      <c r="BA654" t="s">
        <v>74</v>
      </c>
      <c r="BB654">
        <v>1254</v>
      </c>
      <c r="BC654">
        <v>1264</v>
      </c>
      <c r="BD654" t="s">
        <v>74</v>
      </c>
      <c r="BE654" t="s">
        <v>12566</v>
      </c>
      <c r="BF654" t="str">
        <f>HYPERLINK("http://dx.doi.org/10.1002/2013RS005336","http://dx.doi.org/10.1002/2013RS005336")</f>
        <v>http://dx.doi.org/10.1002/2013RS005336</v>
      </c>
      <c r="BG654" t="s">
        <v>74</v>
      </c>
      <c r="BH654" t="s">
        <v>74</v>
      </c>
      <c r="BI654">
        <v>11</v>
      </c>
      <c r="BJ654" t="s">
        <v>8215</v>
      </c>
      <c r="BK654" t="s">
        <v>91</v>
      </c>
      <c r="BL654" t="s">
        <v>8215</v>
      </c>
      <c r="BM654" t="s">
        <v>12567</v>
      </c>
      <c r="BN654" t="s">
        <v>74</v>
      </c>
      <c r="BO654" t="s">
        <v>74</v>
      </c>
      <c r="BP654" t="s">
        <v>74</v>
      </c>
      <c r="BQ654" t="s">
        <v>74</v>
      </c>
      <c r="BR654" t="s">
        <v>93</v>
      </c>
      <c r="BS654" t="s">
        <v>12568</v>
      </c>
      <c r="BT654" t="str">
        <f>HYPERLINK("https%3A%2F%2Fwww.webofscience.com%2Fwos%2Fwoscc%2Ffull-record%2FWOS:000348637600011","View Full Record in Web of Science")</f>
        <v>View Full Record in Web of Science</v>
      </c>
    </row>
    <row r="655" spans="1:72" x14ac:dyDescent="0.15">
      <c r="A655" t="s">
        <v>72</v>
      </c>
      <c r="B655" t="s">
        <v>12569</v>
      </c>
      <c r="C655" t="s">
        <v>74</v>
      </c>
      <c r="D655" t="s">
        <v>74</v>
      </c>
      <c r="E655" t="s">
        <v>74</v>
      </c>
      <c r="F655" t="s">
        <v>12570</v>
      </c>
      <c r="G655" t="s">
        <v>74</v>
      </c>
      <c r="H655" t="s">
        <v>74</v>
      </c>
      <c r="I655" t="s">
        <v>12571</v>
      </c>
      <c r="J655" t="s">
        <v>10746</v>
      </c>
      <c r="K655" t="s">
        <v>74</v>
      </c>
      <c r="L655" t="s">
        <v>74</v>
      </c>
      <c r="M655" t="s">
        <v>3714</v>
      </c>
      <c r="N655" t="s">
        <v>99</v>
      </c>
      <c r="O655" t="s">
        <v>74</v>
      </c>
      <c r="P655" t="s">
        <v>74</v>
      </c>
      <c r="Q655" t="s">
        <v>74</v>
      </c>
      <c r="R655" t="s">
        <v>74</v>
      </c>
      <c r="S655" t="s">
        <v>74</v>
      </c>
      <c r="T655" t="s">
        <v>12572</v>
      </c>
      <c r="U655" t="s">
        <v>12573</v>
      </c>
      <c r="V655" t="s">
        <v>12574</v>
      </c>
      <c r="W655" t="s">
        <v>12575</v>
      </c>
      <c r="X655" t="s">
        <v>12576</v>
      </c>
      <c r="Y655" t="s">
        <v>12577</v>
      </c>
      <c r="Z655" t="s">
        <v>12578</v>
      </c>
      <c r="AA655" t="s">
        <v>12579</v>
      </c>
      <c r="AB655" t="s">
        <v>12580</v>
      </c>
      <c r="AC655" t="s">
        <v>74</v>
      </c>
      <c r="AD655" t="s">
        <v>74</v>
      </c>
      <c r="AE655" t="s">
        <v>74</v>
      </c>
      <c r="AF655" t="s">
        <v>74</v>
      </c>
      <c r="AG655">
        <v>81</v>
      </c>
      <c r="AH655">
        <v>24</v>
      </c>
      <c r="AI655">
        <v>33</v>
      </c>
      <c r="AJ655">
        <v>2</v>
      </c>
      <c r="AK655">
        <v>48</v>
      </c>
      <c r="AL655" t="s">
        <v>10758</v>
      </c>
      <c r="AM655" t="s">
        <v>10759</v>
      </c>
      <c r="AN655" t="s">
        <v>10760</v>
      </c>
      <c r="AO655" t="s">
        <v>10761</v>
      </c>
      <c r="AP655" t="s">
        <v>10762</v>
      </c>
      <c r="AQ655" t="s">
        <v>74</v>
      </c>
      <c r="AR655" t="s">
        <v>10763</v>
      </c>
      <c r="AS655" t="s">
        <v>10764</v>
      </c>
      <c r="AT655" t="s">
        <v>9658</v>
      </c>
      <c r="AU655">
        <v>2014</v>
      </c>
      <c r="AV655">
        <v>49</v>
      </c>
      <c r="AW655">
        <v>3</v>
      </c>
      <c r="AX655" t="s">
        <v>74</v>
      </c>
      <c r="AY655" t="s">
        <v>74</v>
      </c>
      <c r="AZ655" t="s">
        <v>74</v>
      </c>
      <c r="BA655" t="s">
        <v>74</v>
      </c>
      <c r="BB655">
        <v>493</v>
      </c>
      <c r="BC655">
        <v>509</v>
      </c>
      <c r="BD655" t="s">
        <v>74</v>
      </c>
      <c r="BE655" t="s">
        <v>12581</v>
      </c>
      <c r="BF655" t="str">
        <f>HYPERLINK("http://dx.doi.org/10.4067/S0718-19572014000300007","http://dx.doi.org/10.4067/S0718-19572014000300007")</f>
        <v>http://dx.doi.org/10.4067/S0718-19572014000300007</v>
      </c>
      <c r="BG655" t="s">
        <v>74</v>
      </c>
      <c r="BH655" t="s">
        <v>74</v>
      </c>
      <c r="BI655">
        <v>17</v>
      </c>
      <c r="BJ655" t="s">
        <v>2393</v>
      </c>
      <c r="BK655" t="s">
        <v>91</v>
      </c>
      <c r="BL655" t="s">
        <v>2393</v>
      </c>
      <c r="BM655" t="s">
        <v>10766</v>
      </c>
      <c r="BN655" t="s">
        <v>74</v>
      </c>
      <c r="BO655" t="s">
        <v>255</v>
      </c>
      <c r="BP655" t="s">
        <v>74</v>
      </c>
      <c r="BQ655" t="s">
        <v>74</v>
      </c>
      <c r="BR655" t="s">
        <v>93</v>
      </c>
      <c r="BS655" t="s">
        <v>12582</v>
      </c>
      <c r="BT655" t="str">
        <f>HYPERLINK("https%3A%2F%2Fwww.webofscience.com%2Fwos%2Fwoscc%2Ffull-record%2FWOS:000345746000007","View Full Record in Web of Science")</f>
        <v>View Full Record in Web of Science</v>
      </c>
    </row>
    <row r="656" spans="1:72" x14ac:dyDescent="0.15">
      <c r="A656" t="s">
        <v>72</v>
      </c>
      <c r="B656" t="s">
        <v>12583</v>
      </c>
      <c r="C656" t="s">
        <v>74</v>
      </c>
      <c r="D656" t="s">
        <v>74</v>
      </c>
      <c r="E656" t="s">
        <v>74</v>
      </c>
      <c r="F656" t="s">
        <v>12584</v>
      </c>
      <c r="G656" t="s">
        <v>74</v>
      </c>
      <c r="H656" t="s">
        <v>74</v>
      </c>
      <c r="I656" t="s">
        <v>12585</v>
      </c>
      <c r="J656" t="s">
        <v>12586</v>
      </c>
      <c r="K656" t="s">
        <v>74</v>
      </c>
      <c r="L656" t="s">
        <v>74</v>
      </c>
      <c r="M656" t="s">
        <v>78</v>
      </c>
      <c r="N656" t="s">
        <v>126</v>
      </c>
      <c r="O656" t="s">
        <v>74</v>
      </c>
      <c r="P656" t="s">
        <v>74</v>
      </c>
      <c r="Q656" t="s">
        <v>74</v>
      </c>
      <c r="R656" t="s">
        <v>74</v>
      </c>
      <c r="S656" t="s">
        <v>74</v>
      </c>
      <c r="T656" t="s">
        <v>74</v>
      </c>
      <c r="U656" t="s">
        <v>74</v>
      </c>
      <c r="V656" t="s">
        <v>74</v>
      </c>
      <c r="W656" t="s">
        <v>74</v>
      </c>
      <c r="X656" t="s">
        <v>74</v>
      </c>
      <c r="Y656" t="s">
        <v>74</v>
      </c>
      <c r="Z656" t="s">
        <v>74</v>
      </c>
      <c r="AA656" t="s">
        <v>12587</v>
      </c>
      <c r="AB656" t="s">
        <v>12588</v>
      </c>
      <c r="AC656" t="s">
        <v>74</v>
      </c>
      <c r="AD656" t="s">
        <v>74</v>
      </c>
      <c r="AE656" t="s">
        <v>74</v>
      </c>
      <c r="AF656" t="s">
        <v>74</v>
      </c>
      <c r="AG656">
        <v>1</v>
      </c>
      <c r="AH656">
        <v>0</v>
      </c>
      <c r="AI656">
        <v>0</v>
      </c>
      <c r="AJ656">
        <v>0</v>
      </c>
      <c r="AK656">
        <v>0</v>
      </c>
      <c r="AL656" t="s">
        <v>8896</v>
      </c>
      <c r="AM656" t="s">
        <v>219</v>
      </c>
      <c r="AN656" t="s">
        <v>8897</v>
      </c>
      <c r="AO656" t="s">
        <v>12589</v>
      </c>
      <c r="AP656" t="s">
        <v>74</v>
      </c>
      <c r="AQ656" t="s">
        <v>74</v>
      </c>
      <c r="AR656" t="s">
        <v>12590</v>
      </c>
      <c r="AS656" t="s">
        <v>12591</v>
      </c>
      <c r="AT656" t="s">
        <v>9658</v>
      </c>
      <c r="AU656">
        <v>2014</v>
      </c>
      <c r="AV656">
        <v>1</v>
      </c>
      <c r="AW656">
        <v>4</v>
      </c>
      <c r="AX656" t="s">
        <v>74</v>
      </c>
      <c r="AY656" t="s">
        <v>74</v>
      </c>
      <c r="AZ656" t="s">
        <v>74</v>
      </c>
      <c r="BA656" t="s">
        <v>74</v>
      </c>
      <c r="BB656" t="s">
        <v>74</v>
      </c>
      <c r="BC656" t="s">
        <v>74</v>
      </c>
      <c r="BD656">
        <v>140464</v>
      </c>
      <c r="BE656" t="s">
        <v>12592</v>
      </c>
      <c r="BF656" t="str">
        <f>HYPERLINK("http://dx.doi.org/10.1098/rsos.140464","http://dx.doi.org/10.1098/rsos.140464")</f>
        <v>http://dx.doi.org/10.1098/rsos.140464</v>
      </c>
      <c r="BG656" t="s">
        <v>74</v>
      </c>
      <c r="BH656" t="s">
        <v>74</v>
      </c>
      <c r="BI656">
        <v>1</v>
      </c>
      <c r="BJ656" t="s">
        <v>201</v>
      </c>
      <c r="BK656" t="s">
        <v>91</v>
      </c>
      <c r="BL656" t="s">
        <v>203</v>
      </c>
      <c r="BM656" t="s">
        <v>12593</v>
      </c>
      <c r="BN656">
        <v>26068892</v>
      </c>
      <c r="BO656" t="s">
        <v>1971</v>
      </c>
      <c r="BP656" t="s">
        <v>74</v>
      </c>
      <c r="BQ656" t="s">
        <v>74</v>
      </c>
      <c r="BR656" t="s">
        <v>93</v>
      </c>
      <c r="BS656" t="s">
        <v>12594</v>
      </c>
      <c r="BT656" t="str">
        <f>HYPERLINK("https%3A%2F%2Fwww.webofscience.com%2Fwos%2Fwoscc%2Ffull-record%2FWOS:000209732100008","View Full Record in Web of Science")</f>
        <v>View Full Record in Web of Science</v>
      </c>
    </row>
    <row r="657" spans="1:72" x14ac:dyDescent="0.15">
      <c r="A657" t="s">
        <v>72</v>
      </c>
      <c r="B657" t="s">
        <v>12595</v>
      </c>
      <c r="C657" t="s">
        <v>74</v>
      </c>
      <c r="D657" t="s">
        <v>74</v>
      </c>
      <c r="E657" t="s">
        <v>74</v>
      </c>
      <c r="F657" t="s">
        <v>12596</v>
      </c>
      <c r="G657" t="s">
        <v>74</v>
      </c>
      <c r="H657" t="s">
        <v>74</v>
      </c>
      <c r="I657" t="s">
        <v>12597</v>
      </c>
      <c r="J657" t="s">
        <v>12598</v>
      </c>
      <c r="K657" t="s">
        <v>74</v>
      </c>
      <c r="L657" t="s">
        <v>74</v>
      </c>
      <c r="M657" t="s">
        <v>78</v>
      </c>
      <c r="N657" t="s">
        <v>99</v>
      </c>
      <c r="O657" t="s">
        <v>74</v>
      </c>
      <c r="P657" t="s">
        <v>74</v>
      </c>
      <c r="Q657" t="s">
        <v>74</v>
      </c>
      <c r="R657" t="s">
        <v>74</v>
      </c>
      <c r="S657" t="s">
        <v>74</v>
      </c>
      <c r="T657" t="s">
        <v>74</v>
      </c>
      <c r="U657" t="s">
        <v>74</v>
      </c>
      <c r="V657" t="s">
        <v>12599</v>
      </c>
      <c r="W657" t="s">
        <v>12600</v>
      </c>
      <c r="X657" t="s">
        <v>12601</v>
      </c>
      <c r="Y657" t="s">
        <v>12602</v>
      </c>
      <c r="Z657" t="s">
        <v>12603</v>
      </c>
      <c r="AA657" t="s">
        <v>12604</v>
      </c>
      <c r="AB657" t="s">
        <v>12605</v>
      </c>
      <c r="AC657" t="s">
        <v>12606</v>
      </c>
      <c r="AD657" t="s">
        <v>12607</v>
      </c>
      <c r="AE657" t="s">
        <v>12608</v>
      </c>
      <c r="AF657" t="s">
        <v>74</v>
      </c>
      <c r="AG657">
        <v>4</v>
      </c>
      <c r="AH657">
        <v>7</v>
      </c>
      <c r="AI657">
        <v>8</v>
      </c>
      <c r="AJ657">
        <v>0</v>
      </c>
      <c r="AK657">
        <v>0</v>
      </c>
      <c r="AL657" t="s">
        <v>244</v>
      </c>
      <c r="AM657" t="s">
        <v>245</v>
      </c>
      <c r="AN657" t="s">
        <v>246</v>
      </c>
      <c r="AO657" t="s">
        <v>12609</v>
      </c>
      <c r="AP657" t="s">
        <v>12610</v>
      </c>
      <c r="AQ657" t="s">
        <v>74</v>
      </c>
      <c r="AR657" t="s">
        <v>12611</v>
      </c>
      <c r="AS657" t="s">
        <v>12612</v>
      </c>
      <c r="AT657" t="s">
        <v>9658</v>
      </c>
      <c r="AU657">
        <v>2014</v>
      </c>
      <c r="AV657">
        <v>18</v>
      </c>
      <c r="AW657" t="s">
        <v>74</v>
      </c>
      <c r="AX657" t="s">
        <v>74</v>
      </c>
      <c r="AY657" t="s">
        <v>74</v>
      </c>
      <c r="AZ657" t="s">
        <v>74</v>
      </c>
      <c r="BA657" t="s">
        <v>74</v>
      </c>
      <c r="BB657">
        <v>5</v>
      </c>
      <c r="BC657">
        <v>9</v>
      </c>
      <c r="BD657" t="s">
        <v>74</v>
      </c>
      <c r="BE657" t="s">
        <v>12613</v>
      </c>
      <c r="BF657" t="str">
        <f>HYPERLINK("http://dx.doi.org/10.5194/sd-18-5-2014","http://dx.doi.org/10.5194/sd-18-5-2014")</f>
        <v>http://dx.doi.org/10.5194/sd-18-5-2014</v>
      </c>
      <c r="BG657" t="s">
        <v>74</v>
      </c>
      <c r="BH657" t="s">
        <v>74</v>
      </c>
      <c r="BI657">
        <v>5</v>
      </c>
      <c r="BJ657" t="s">
        <v>1953</v>
      </c>
      <c r="BK657" t="s">
        <v>202</v>
      </c>
      <c r="BL657" t="s">
        <v>1954</v>
      </c>
      <c r="BM657" t="s">
        <v>12614</v>
      </c>
      <c r="BN657" t="s">
        <v>74</v>
      </c>
      <c r="BO657" t="s">
        <v>255</v>
      </c>
      <c r="BP657" t="s">
        <v>74</v>
      </c>
      <c r="BQ657" t="s">
        <v>74</v>
      </c>
      <c r="BR657" t="s">
        <v>93</v>
      </c>
      <c r="BS657" t="s">
        <v>12615</v>
      </c>
      <c r="BT657" t="str">
        <f>HYPERLINK("https%3A%2F%2Fwww.webofscience.com%2Fwos%2Fwoscc%2Ffull-record%2FWOS:000210346400003","View Full Record in Web of Science")</f>
        <v>View Full Record in Web of Science</v>
      </c>
    </row>
    <row r="658" spans="1:72" x14ac:dyDescent="0.15">
      <c r="A658" t="s">
        <v>72</v>
      </c>
      <c r="B658" t="s">
        <v>12616</v>
      </c>
      <c r="C658" t="s">
        <v>74</v>
      </c>
      <c r="D658" t="s">
        <v>74</v>
      </c>
      <c r="E658" t="s">
        <v>74</v>
      </c>
      <c r="F658" t="s">
        <v>12617</v>
      </c>
      <c r="G658" t="s">
        <v>74</v>
      </c>
      <c r="H658" t="s">
        <v>74</v>
      </c>
      <c r="I658" t="s">
        <v>12618</v>
      </c>
      <c r="J658" t="s">
        <v>12619</v>
      </c>
      <c r="K658" t="s">
        <v>74</v>
      </c>
      <c r="L658" t="s">
        <v>74</v>
      </c>
      <c r="M658" t="s">
        <v>78</v>
      </c>
      <c r="N658" t="s">
        <v>99</v>
      </c>
      <c r="O658" t="s">
        <v>74</v>
      </c>
      <c r="P658" t="s">
        <v>74</v>
      </c>
      <c r="Q658" t="s">
        <v>74</v>
      </c>
      <c r="R658" t="s">
        <v>74</v>
      </c>
      <c r="S658" t="s">
        <v>74</v>
      </c>
      <c r="T658" t="s">
        <v>12620</v>
      </c>
      <c r="U658" t="s">
        <v>12621</v>
      </c>
      <c r="V658" t="s">
        <v>12622</v>
      </c>
      <c r="W658" t="s">
        <v>12623</v>
      </c>
      <c r="X658" t="s">
        <v>12624</v>
      </c>
      <c r="Y658" t="s">
        <v>12625</v>
      </c>
      <c r="Z658" t="s">
        <v>12626</v>
      </c>
      <c r="AA658" t="s">
        <v>12627</v>
      </c>
      <c r="AB658" t="s">
        <v>12628</v>
      </c>
      <c r="AC658" t="s">
        <v>12629</v>
      </c>
      <c r="AD658" t="s">
        <v>12630</v>
      </c>
      <c r="AE658" t="s">
        <v>12631</v>
      </c>
      <c r="AF658" t="s">
        <v>74</v>
      </c>
      <c r="AG658">
        <v>110</v>
      </c>
      <c r="AH658">
        <v>30</v>
      </c>
      <c r="AI658">
        <v>32</v>
      </c>
      <c r="AJ658">
        <v>0</v>
      </c>
      <c r="AK658">
        <v>22</v>
      </c>
      <c r="AL658" t="s">
        <v>1945</v>
      </c>
      <c r="AM658" t="s">
        <v>1946</v>
      </c>
      <c r="AN658" t="s">
        <v>1947</v>
      </c>
      <c r="AO658" t="s">
        <v>12632</v>
      </c>
      <c r="AP658" t="s">
        <v>12633</v>
      </c>
      <c r="AQ658" t="s">
        <v>74</v>
      </c>
      <c r="AR658" t="s">
        <v>12619</v>
      </c>
      <c r="AS658" t="s">
        <v>12634</v>
      </c>
      <c r="AT658" t="s">
        <v>9658</v>
      </c>
      <c r="AU658">
        <v>2014</v>
      </c>
      <c r="AV658">
        <v>33</v>
      </c>
      <c r="AW658">
        <v>12</v>
      </c>
      <c r="AX658" t="s">
        <v>74</v>
      </c>
      <c r="AY658" t="s">
        <v>74</v>
      </c>
      <c r="AZ658" t="s">
        <v>74</v>
      </c>
      <c r="BA658" t="s">
        <v>74</v>
      </c>
      <c r="BB658">
        <v>2526</v>
      </c>
      <c r="BC658">
        <v>2551</v>
      </c>
      <c r="BD658" t="s">
        <v>74</v>
      </c>
      <c r="BE658" t="s">
        <v>12635</v>
      </c>
      <c r="BF658" t="str">
        <f>HYPERLINK("http://dx.doi.org/10.1002/2014TC003555","http://dx.doi.org/10.1002/2014TC003555")</f>
        <v>http://dx.doi.org/10.1002/2014TC003555</v>
      </c>
      <c r="BG658" t="s">
        <v>74</v>
      </c>
      <c r="BH658" t="s">
        <v>74</v>
      </c>
      <c r="BI658">
        <v>26</v>
      </c>
      <c r="BJ658" t="s">
        <v>1902</v>
      </c>
      <c r="BK658" t="s">
        <v>91</v>
      </c>
      <c r="BL658" t="s">
        <v>1902</v>
      </c>
      <c r="BM658" t="s">
        <v>12636</v>
      </c>
      <c r="BN658" t="s">
        <v>74</v>
      </c>
      <c r="BO658" t="s">
        <v>12637</v>
      </c>
      <c r="BP658" t="s">
        <v>74</v>
      </c>
      <c r="BQ658" t="s">
        <v>74</v>
      </c>
      <c r="BR658" t="s">
        <v>93</v>
      </c>
      <c r="BS658" t="s">
        <v>12638</v>
      </c>
      <c r="BT658" t="str">
        <f>HYPERLINK("https%3A%2F%2Fwww.webofscience.com%2Fwos%2Fwoscc%2Ffull-record%2FWOS:000348713100012","View Full Record in Web of Science")</f>
        <v>View Full Record in Web of Science</v>
      </c>
    </row>
    <row r="659" spans="1:72" x14ac:dyDescent="0.15">
      <c r="A659" t="s">
        <v>72</v>
      </c>
      <c r="B659" t="s">
        <v>12639</v>
      </c>
      <c r="C659" t="s">
        <v>74</v>
      </c>
      <c r="D659" t="s">
        <v>74</v>
      </c>
      <c r="E659" t="s">
        <v>74</v>
      </c>
      <c r="F659" t="s">
        <v>12640</v>
      </c>
      <c r="G659" t="s">
        <v>74</v>
      </c>
      <c r="H659" t="s">
        <v>74</v>
      </c>
      <c r="I659" t="s">
        <v>12641</v>
      </c>
      <c r="J659" t="s">
        <v>12642</v>
      </c>
      <c r="K659" t="s">
        <v>74</v>
      </c>
      <c r="L659" t="s">
        <v>74</v>
      </c>
      <c r="M659" t="s">
        <v>78</v>
      </c>
      <c r="N659" t="s">
        <v>99</v>
      </c>
      <c r="O659" t="s">
        <v>74</v>
      </c>
      <c r="P659" t="s">
        <v>74</v>
      </c>
      <c r="Q659" t="s">
        <v>74</v>
      </c>
      <c r="R659" t="s">
        <v>74</v>
      </c>
      <c r="S659" t="s">
        <v>74</v>
      </c>
      <c r="T659" t="s">
        <v>12643</v>
      </c>
      <c r="U659" t="s">
        <v>12644</v>
      </c>
      <c r="V659" t="s">
        <v>12645</v>
      </c>
      <c r="W659" t="s">
        <v>12646</v>
      </c>
      <c r="X659" t="s">
        <v>12647</v>
      </c>
      <c r="Y659" t="s">
        <v>12648</v>
      </c>
      <c r="Z659" t="s">
        <v>12649</v>
      </c>
      <c r="AA659" t="s">
        <v>12650</v>
      </c>
      <c r="AB659" t="s">
        <v>12651</v>
      </c>
      <c r="AC659" t="s">
        <v>12652</v>
      </c>
      <c r="AD659" t="s">
        <v>12653</v>
      </c>
      <c r="AE659" t="s">
        <v>12654</v>
      </c>
      <c r="AF659" t="s">
        <v>74</v>
      </c>
      <c r="AG659">
        <v>39</v>
      </c>
      <c r="AH659">
        <v>3</v>
      </c>
      <c r="AI659">
        <v>3</v>
      </c>
      <c r="AJ659">
        <v>0</v>
      </c>
      <c r="AK659">
        <v>60</v>
      </c>
      <c r="AL659" t="s">
        <v>12655</v>
      </c>
      <c r="AM659" t="s">
        <v>1946</v>
      </c>
      <c r="AN659" t="s">
        <v>12656</v>
      </c>
      <c r="AO659" t="s">
        <v>12657</v>
      </c>
      <c r="AP659" t="s">
        <v>12658</v>
      </c>
      <c r="AQ659" t="s">
        <v>74</v>
      </c>
      <c r="AR659" t="s">
        <v>12642</v>
      </c>
      <c r="AS659" t="s">
        <v>12659</v>
      </c>
      <c r="AT659" t="s">
        <v>9658</v>
      </c>
      <c r="AU659">
        <v>2014</v>
      </c>
      <c r="AV659">
        <v>37</v>
      </c>
      <c r="AW659">
        <v>4</v>
      </c>
      <c r="AX659" t="s">
        <v>74</v>
      </c>
      <c r="AY659" t="s">
        <v>74</v>
      </c>
      <c r="AZ659" t="s">
        <v>74</v>
      </c>
      <c r="BA659" t="s">
        <v>74</v>
      </c>
      <c r="BB659">
        <v>410</v>
      </c>
      <c r="BC659">
        <v>418</v>
      </c>
      <c r="BD659" t="s">
        <v>74</v>
      </c>
      <c r="BE659" t="s">
        <v>74</v>
      </c>
      <c r="BF659" t="s">
        <v>74</v>
      </c>
      <c r="BG659" t="s">
        <v>74</v>
      </c>
      <c r="BH659" t="s">
        <v>74</v>
      </c>
      <c r="BI659">
        <v>9</v>
      </c>
      <c r="BJ659" t="s">
        <v>422</v>
      </c>
      <c r="BK659" t="s">
        <v>91</v>
      </c>
      <c r="BL659" t="s">
        <v>423</v>
      </c>
      <c r="BM659" t="s">
        <v>12660</v>
      </c>
      <c r="BN659" t="s">
        <v>74</v>
      </c>
      <c r="BO659" t="s">
        <v>74</v>
      </c>
      <c r="BP659" t="s">
        <v>74</v>
      </c>
      <c r="BQ659" t="s">
        <v>74</v>
      </c>
      <c r="BR659" t="s">
        <v>93</v>
      </c>
      <c r="BS659" t="s">
        <v>12661</v>
      </c>
      <c r="BT659" t="str">
        <f>HYPERLINK("https%3A%2F%2Fwww.webofscience.com%2Fwos%2Fwoscc%2Ffull-record%2FWOS:000347436500007","View Full Record in Web of Science")</f>
        <v>View Full Record in Web of Science</v>
      </c>
    </row>
    <row r="660" spans="1:72" x14ac:dyDescent="0.15">
      <c r="A660" t="s">
        <v>72</v>
      </c>
      <c r="B660" t="s">
        <v>12662</v>
      </c>
      <c r="C660" t="s">
        <v>74</v>
      </c>
      <c r="D660" t="s">
        <v>74</v>
      </c>
      <c r="E660" t="s">
        <v>74</v>
      </c>
      <c r="F660" t="s">
        <v>12663</v>
      </c>
      <c r="G660" t="s">
        <v>74</v>
      </c>
      <c r="H660" t="s">
        <v>74</v>
      </c>
      <c r="I660" t="s">
        <v>12664</v>
      </c>
      <c r="J660" t="s">
        <v>12665</v>
      </c>
      <c r="K660" t="s">
        <v>74</v>
      </c>
      <c r="L660" t="s">
        <v>74</v>
      </c>
      <c r="M660" t="s">
        <v>78</v>
      </c>
      <c r="N660" t="s">
        <v>99</v>
      </c>
      <c r="O660" t="s">
        <v>74</v>
      </c>
      <c r="P660" t="s">
        <v>74</v>
      </c>
      <c r="Q660" t="s">
        <v>74</v>
      </c>
      <c r="R660" t="s">
        <v>74</v>
      </c>
      <c r="S660" t="s">
        <v>74</v>
      </c>
      <c r="T660" t="s">
        <v>12666</v>
      </c>
      <c r="U660" t="s">
        <v>12667</v>
      </c>
      <c r="V660" t="s">
        <v>12668</v>
      </c>
      <c r="W660" t="s">
        <v>12669</v>
      </c>
      <c r="X660" t="s">
        <v>12670</v>
      </c>
      <c r="Y660" t="s">
        <v>12671</v>
      </c>
      <c r="Z660" t="s">
        <v>12672</v>
      </c>
      <c r="AA660" t="s">
        <v>74</v>
      </c>
      <c r="AB660" t="s">
        <v>74</v>
      </c>
      <c r="AC660" t="s">
        <v>12673</v>
      </c>
      <c r="AD660" t="s">
        <v>12674</v>
      </c>
      <c r="AE660" t="s">
        <v>12675</v>
      </c>
      <c r="AF660" t="s">
        <v>74</v>
      </c>
      <c r="AG660">
        <v>48</v>
      </c>
      <c r="AH660">
        <v>11</v>
      </c>
      <c r="AI660">
        <v>11</v>
      </c>
      <c r="AJ660">
        <v>0</v>
      </c>
      <c r="AK660">
        <v>42</v>
      </c>
      <c r="AL660" t="s">
        <v>3052</v>
      </c>
      <c r="AM660" t="s">
        <v>342</v>
      </c>
      <c r="AN660" t="s">
        <v>12676</v>
      </c>
      <c r="AO660" t="s">
        <v>12677</v>
      </c>
      <c r="AP660" t="s">
        <v>12678</v>
      </c>
      <c r="AQ660" t="s">
        <v>74</v>
      </c>
      <c r="AR660" t="s">
        <v>12679</v>
      </c>
      <c r="AS660" t="s">
        <v>12680</v>
      </c>
      <c r="AT660" t="s">
        <v>9658</v>
      </c>
      <c r="AU660">
        <v>2014</v>
      </c>
      <c r="AV660">
        <v>178</v>
      </c>
      <c r="AW660" t="s">
        <v>74</v>
      </c>
      <c r="AX660" t="s">
        <v>74</v>
      </c>
      <c r="AY660" t="s">
        <v>74</v>
      </c>
      <c r="AZ660" t="s">
        <v>74</v>
      </c>
      <c r="BA660" t="s">
        <v>74</v>
      </c>
      <c r="BB660">
        <v>30</v>
      </c>
      <c r="BC660">
        <v>36</v>
      </c>
      <c r="BD660" t="s">
        <v>74</v>
      </c>
      <c r="BE660" t="s">
        <v>12681</v>
      </c>
      <c r="BF660" t="str">
        <f>HYPERLINK("http://dx.doi.org/10.1016/j.cbpa.2014.08.003","http://dx.doi.org/10.1016/j.cbpa.2014.08.003")</f>
        <v>http://dx.doi.org/10.1016/j.cbpa.2014.08.003</v>
      </c>
      <c r="BG660" t="s">
        <v>74</v>
      </c>
      <c r="BH660" t="s">
        <v>74</v>
      </c>
      <c r="BI660">
        <v>7</v>
      </c>
      <c r="BJ660" t="s">
        <v>12682</v>
      </c>
      <c r="BK660" t="s">
        <v>91</v>
      </c>
      <c r="BL660" t="s">
        <v>12682</v>
      </c>
      <c r="BM660" t="s">
        <v>12683</v>
      </c>
      <c r="BN660">
        <v>25151023</v>
      </c>
      <c r="BO660" t="s">
        <v>74</v>
      </c>
      <c r="BP660" t="s">
        <v>74</v>
      </c>
      <c r="BQ660" t="s">
        <v>74</v>
      </c>
      <c r="BR660" t="s">
        <v>93</v>
      </c>
      <c r="BS660" t="s">
        <v>12684</v>
      </c>
      <c r="BT660" t="str">
        <f>HYPERLINK("https%3A%2F%2Fwww.webofscience.com%2Fwos%2Fwoscc%2Ffull-record%2FWOS:000343616700005","View Full Record in Web of Science")</f>
        <v>View Full Record in Web of Science</v>
      </c>
    </row>
    <row r="661" spans="1:72" x14ac:dyDescent="0.15">
      <c r="A661" t="s">
        <v>72</v>
      </c>
      <c r="B661" t="s">
        <v>12685</v>
      </c>
      <c r="C661" t="s">
        <v>74</v>
      </c>
      <c r="D661" t="s">
        <v>74</v>
      </c>
      <c r="E661" t="s">
        <v>74</v>
      </c>
      <c r="F661" t="s">
        <v>12686</v>
      </c>
      <c r="G661" t="s">
        <v>74</v>
      </c>
      <c r="H661" t="s">
        <v>74</v>
      </c>
      <c r="I661" t="s">
        <v>12687</v>
      </c>
      <c r="J661" t="s">
        <v>12665</v>
      </c>
      <c r="K661" t="s">
        <v>74</v>
      </c>
      <c r="L661" t="s">
        <v>74</v>
      </c>
      <c r="M661" t="s">
        <v>78</v>
      </c>
      <c r="N661" t="s">
        <v>99</v>
      </c>
      <c r="O661" t="s">
        <v>74</v>
      </c>
      <c r="P661" t="s">
        <v>74</v>
      </c>
      <c r="Q661" t="s">
        <v>74</v>
      </c>
      <c r="R661" t="s">
        <v>74</v>
      </c>
      <c r="S661" t="s">
        <v>74</v>
      </c>
      <c r="T661" t="s">
        <v>12688</v>
      </c>
      <c r="U661" t="s">
        <v>12689</v>
      </c>
      <c r="V661" t="s">
        <v>12690</v>
      </c>
      <c r="W661" t="s">
        <v>12691</v>
      </c>
      <c r="X661" t="s">
        <v>12692</v>
      </c>
      <c r="Y661" t="s">
        <v>12693</v>
      </c>
      <c r="Z661" t="s">
        <v>12694</v>
      </c>
      <c r="AA661" t="s">
        <v>12695</v>
      </c>
      <c r="AB661" t="s">
        <v>12696</v>
      </c>
      <c r="AC661" t="s">
        <v>12697</v>
      </c>
      <c r="AD661" t="s">
        <v>12698</v>
      </c>
      <c r="AE661" t="s">
        <v>12699</v>
      </c>
      <c r="AF661" t="s">
        <v>74</v>
      </c>
      <c r="AG661">
        <v>82</v>
      </c>
      <c r="AH661">
        <v>13</v>
      </c>
      <c r="AI661">
        <v>16</v>
      </c>
      <c r="AJ661">
        <v>3</v>
      </c>
      <c r="AK661">
        <v>97</v>
      </c>
      <c r="AL661" t="s">
        <v>3052</v>
      </c>
      <c r="AM661" t="s">
        <v>342</v>
      </c>
      <c r="AN661" t="s">
        <v>3053</v>
      </c>
      <c r="AO661" t="s">
        <v>12677</v>
      </c>
      <c r="AP661" t="s">
        <v>12678</v>
      </c>
      <c r="AQ661" t="s">
        <v>74</v>
      </c>
      <c r="AR661" t="s">
        <v>12679</v>
      </c>
      <c r="AS661" t="s">
        <v>12680</v>
      </c>
      <c r="AT661" t="s">
        <v>9658</v>
      </c>
      <c r="AU661">
        <v>2014</v>
      </c>
      <c r="AV661">
        <v>178</v>
      </c>
      <c r="AW661" t="s">
        <v>74</v>
      </c>
      <c r="AX661" t="s">
        <v>74</v>
      </c>
      <c r="AY661" t="s">
        <v>74</v>
      </c>
      <c r="AZ661" t="s">
        <v>74</v>
      </c>
      <c r="BA661" t="s">
        <v>74</v>
      </c>
      <c r="BB661">
        <v>59</v>
      </c>
      <c r="BC661">
        <v>67</v>
      </c>
      <c r="BD661" t="s">
        <v>74</v>
      </c>
      <c r="BE661" t="s">
        <v>12700</v>
      </c>
      <c r="BF661" t="str">
        <f>HYPERLINK("http://dx.doi.org/10.1016/j.cbpa.2014.08.006","http://dx.doi.org/10.1016/j.cbpa.2014.08.006")</f>
        <v>http://dx.doi.org/10.1016/j.cbpa.2014.08.006</v>
      </c>
      <c r="BG661" t="s">
        <v>74</v>
      </c>
      <c r="BH661" t="s">
        <v>74</v>
      </c>
      <c r="BI661">
        <v>9</v>
      </c>
      <c r="BJ661" t="s">
        <v>12682</v>
      </c>
      <c r="BK661" t="s">
        <v>91</v>
      </c>
      <c r="BL661" t="s">
        <v>12682</v>
      </c>
      <c r="BM661" t="s">
        <v>12683</v>
      </c>
      <c r="BN661">
        <v>25151642</v>
      </c>
      <c r="BO661" t="s">
        <v>74</v>
      </c>
      <c r="BP661" t="s">
        <v>74</v>
      </c>
      <c r="BQ661" t="s">
        <v>74</v>
      </c>
      <c r="BR661" t="s">
        <v>93</v>
      </c>
      <c r="BS661" t="s">
        <v>12701</v>
      </c>
      <c r="BT661" t="str">
        <f>HYPERLINK("https%3A%2F%2Fwww.webofscience.com%2Fwos%2Fwoscc%2Ffull-record%2FWOS:000343616700009","View Full Record in Web of Science")</f>
        <v>View Full Record in Web of Science</v>
      </c>
    </row>
    <row r="662" spans="1:72" x14ac:dyDescent="0.15">
      <c r="A662" t="s">
        <v>72</v>
      </c>
      <c r="B662" t="s">
        <v>12702</v>
      </c>
      <c r="C662" t="s">
        <v>74</v>
      </c>
      <c r="D662" t="s">
        <v>74</v>
      </c>
      <c r="E662" t="s">
        <v>74</v>
      </c>
      <c r="F662" t="s">
        <v>12703</v>
      </c>
      <c r="G662" t="s">
        <v>74</v>
      </c>
      <c r="H662" t="s">
        <v>74</v>
      </c>
      <c r="I662" t="s">
        <v>12704</v>
      </c>
      <c r="J662" t="s">
        <v>12705</v>
      </c>
      <c r="K662" t="s">
        <v>74</v>
      </c>
      <c r="L662" t="s">
        <v>74</v>
      </c>
      <c r="M662" t="s">
        <v>78</v>
      </c>
      <c r="N662" t="s">
        <v>99</v>
      </c>
      <c r="O662" t="s">
        <v>74</v>
      </c>
      <c r="P662" t="s">
        <v>74</v>
      </c>
      <c r="Q662" t="s">
        <v>74</v>
      </c>
      <c r="R662" t="s">
        <v>74</v>
      </c>
      <c r="S662" t="s">
        <v>74</v>
      </c>
      <c r="T662" t="s">
        <v>12706</v>
      </c>
      <c r="U662" t="s">
        <v>12707</v>
      </c>
      <c r="V662" t="s">
        <v>12708</v>
      </c>
      <c r="W662" t="s">
        <v>12709</v>
      </c>
      <c r="X662" t="s">
        <v>12710</v>
      </c>
      <c r="Y662" t="s">
        <v>12711</v>
      </c>
      <c r="Z662" t="s">
        <v>12712</v>
      </c>
      <c r="AA662" t="s">
        <v>74</v>
      </c>
      <c r="AB662" t="s">
        <v>74</v>
      </c>
      <c r="AC662" t="s">
        <v>74</v>
      </c>
      <c r="AD662" t="s">
        <v>74</v>
      </c>
      <c r="AE662" t="s">
        <v>74</v>
      </c>
      <c r="AF662" t="s">
        <v>74</v>
      </c>
      <c r="AG662">
        <v>21</v>
      </c>
      <c r="AH662">
        <v>7</v>
      </c>
      <c r="AI662">
        <v>7</v>
      </c>
      <c r="AJ662">
        <v>3</v>
      </c>
      <c r="AK662">
        <v>34</v>
      </c>
      <c r="AL662" t="s">
        <v>1175</v>
      </c>
      <c r="AM662" t="s">
        <v>1176</v>
      </c>
      <c r="AN662" t="s">
        <v>2938</v>
      </c>
      <c r="AO662" t="s">
        <v>12713</v>
      </c>
      <c r="AP662" t="s">
        <v>12714</v>
      </c>
      <c r="AQ662" t="s">
        <v>74</v>
      </c>
      <c r="AR662" t="s">
        <v>12705</v>
      </c>
      <c r="AS662" t="s">
        <v>12715</v>
      </c>
      <c r="AT662" t="s">
        <v>9658</v>
      </c>
      <c r="AU662">
        <v>2014</v>
      </c>
      <c r="AV662">
        <v>235</v>
      </c>
      <c r="AW662" t="s">
        <v>74</v>
      </c>
      <c r="AX662" t="s">
        <v>74</v>
      </c>
      <c r="AY662" t="s">
        <v>74</v>
      </c>
      <c r="AZ662" t="s">
        <v>74</v>
      </c>
      <c r="BA662" t="s">
        <v>74</v>
      </c>
      <c r="BB662">
        <v>329</v>
      </c>
      <c r="BC662">
        <v>333</v>
      </c>
      <c r="BD662" t="s">
        <v>74</v>
      </c>
      <c r="BE662" t="s">
        <v>12716</v>
      </c>
      <c r="BF662" t="str">
        <f>HYPERLINK("http://dx.doi.org/10.1016/j.geoderma.2014.07.021","http://dx.doi.org/10.1016/j.geoderma.2014.07.021")</f>
        <v>http://dx.doi.org/10.1016/j.geoderma.2014.07.021</v>
      </c>
      <c r="BG662" t="s">
        <v>74</v>
      </c>
      <c r="BH662" t="s">
        <v>74</v>
      </c>
      <c r="BI662">
        <v>5</v>
      </c>
      <c r="BJ662" t="s">
        <v>5149</v>
      </c>
      <c r="BK662" t="s">
        <v>91</v>
      </c>
      <c r="BL662" t="s">
        <v>5150</v>
      </c>
      <c r="BM662" t="s">
        <v>12717</v>
      </c>
      <c r="BN662" t="s">
        <v>74</v>
      </c>
      <c r="BO662" t="s">
        <v>74</v>
      </c>
      <c r="BP662" t="s">
        <v>74</v>
      </c>
      <c r="BQ662" t="s">
        <v>74</v>
      </c>
      <c r="BR662" t="s">
        <v>93</v>
      </c>
      <c r="BS662" t="s">
        <v>12718</v>
      </c>
      <c r="BT662" t="str">
        <f>HYPERLINK("https%3A%2F%2Fwww.webofscience.com%2Fwos%2Fwoscc%2Ffull-record%2FWOS:000342552800035","View Full Record in Web of Science")</f>
        <v>View Full Record in Web of Science</v>
      </c>
    </row>
    <row r="663" spans="1:72" x14ac:dyDescent="0.15">
      <c r="A663" t="s">
        <v>72</v>
      </c>
      <c r="B663" t="s">
        <v>12719</v>
      </c>
      <c r="C663" t="s">
        <v>74</v>
      </c>
      <c r="D663" t="s">
        <v>74</v>
      </c>
      <c r="E663" t="s">
        <v>74</v>
      </c>
      <c r="F663" t="s">
        <v>12720</v>
      </c>
      <c r="G663" t="s">
        <v>74</v>
      </c>
      <c r="H663" t="s">
        <v>74</v>
      </c>
      <c r="I663" t="s">
        <v>12721</v>
      </c>
      <c r="J663" t="s">
        <v>12722</v>
      </c>
      <c r="K663" t="s">
        <v>74</v>
      </c>
      <c r="L663" t="s">
        <v>74</v>
      </c>
      <c r="M663" t="s">
        <v>78</v>
      </c>
      <c r="N663" t="s">
        <v>1562</v>
      </c>
      <c r="O663" t="s">
        <v>74</v>
      </c>
      <c r="P663" t="s">
        <v>74</v>
      </c>
      <c r="Q663" t="s">
        <v>74</v>
      </c>
      <c r="R663" t="s">
        <v>74</v>
      </c>
      <c r="S663" t="s">
        <v>74</v>
      </c>
      <c r="T663" t="s">
        <v>74</v>
      </c>
      <c r="U663" t="s">
        <v>74</v>
      </c>
      <c r="V663" t="s">
        <v>74</v>
      </c>
      <c r="W663" t="s">
        <v>74</v>
      </c>
      <c r="X663" t="s">
        <v>74</v>
      </c>
      <c r="Y663" t="s">
        <v>74</v>
      </c>
      <c r="Z663" t="s">
        <v>74</v>
      </c>
      <c r="AA663" t="s">
        <v>74</v>
      </c>
      <c r="AB663" t="s">
        <v>74</v>
      </c>
      <c r="AC663" t="s">
        <v>74</v>
      </c>
      <c r="AD663" t="s">
        <v>74</v>
      </c>
      <c r="AE663" t="s">
        <v>74</v>
      </c>
      <c r="AF663" t="s">
        <v>74</v>
      </c>
      <c r="AG663">
        <v>0</v>
      </c>
      <c r="AH663">
        <v>0</v>
      </c>
      <c r="AI663">
        <v>0</v>
      </c>
      <c r="AJ663">
        <v>0</v>
      </c>
      <c r="AK663">
        <v>0</v>
      </c>
      <c r="AL663" t="s">
        <v>12723</v>
      </c>
      <c r="AM663" t="s">
        <v>12724</v>
      </c>
      <c r="AN663" t="s">
        <v>12725</v>
      </c>
      <c r="AO663" t="s">
        <v>12726</v>
      </c>
      <c r="AP663" t="s">
        <v>74</v>
      </c>
      <c r="AQ663" t="s">
        <v>74</v>
      </c>
      <c r="AR663" t="s">
        <v>12727</v>
      </c>
      <c r="AS663" t="s">
        <v>12728</v>
      </c>
      <c r="AT663" t="s">
        <v>12729</v>
      </c>
      <c r="AU663">
        <v>2014</v>
      </c>
      <c r="AV663">
        <v>224</v>
      </c>
      <c r="AW663">
        <v>2997</v>
      </c>
      <c r="AX663" t="s">
        <v>74</v>
      </c>
      <c r="AY663" t="s">
        <v>74</v>
      </c>
      <c r="AZ663" t="s">
        <v>74</v>
      </c>
      <c r="BA663" t="s">
        <v>74</v>
      </c>
      <c r="BB663">
        <v>12</v>
      </c>
      <c r="BC663">
        <v>12</v>
      </c>
      <c r="BD663" t="s">
        <v>74</v>
      </c>
      <c r="BE663" t="s">
        <v>74</v>
      </c>
      <c r="BF663" t="s">
        <v>74</v>
      </c>
      <c r="BG663" t="s">
        <v>74</v>
      </c>
      <c r="BH663" t="s">
        <v>74</v>
      </c>
      <c r="BI663">
        <v>1</v>
      </c>
      <c r="BJ663" t="s">
        <v>201</v>
      </c>
      <c r="BK663" t="s">
        <v>91</v>
      </c>
      <c r="BL663" t="s">
        <v>203</v>
      </c>
      <c r="BM663" t="s">
        <v>12730</v>
      </c>
      <c r="BN663" t="s">
        <v>74</v>
      </c>
      <c r="BO663" t="s">
        <v>74</v>
      </c>
      <c r="BP663" t="s">
        <v>74</v>
      </c>
      <c r="BQ663" t="s">
        <v>74</v>
      </c>
      <c r="BR663" t="s">
        <v>93</v>
      </c>
      <c r="BS663" t="s">
        <v>12731</v>
      </c>
      <c r="BT663" t="str">
        <f>HYPERLINK("https%3A%2F%2Fwww.webofscience.com%2Fwos%2Fwoscc%2Ffull-record%2FWOS:000345735700007","View Full Record in Web of Science")</f>
        <v>View Full Record in Web of Science</v>
      </c>
    </row>
    <row r="664" spans="1:72" x14ac:dyDescent="0.15">
      <c r="A664" t="s">
        <v>72</v>
      </c>
      <c r="B664" t="s">
        <v>12732</v>
      </c>
      <c r="C664" t="s">
        <v>74</v>
      </c>
      <c r="D664" t="s">
        <v>74</v>
      </c>
      <c r="E664" t="s">
        <v>74</v>
      </c>
      <c r="F664" t="s">
        <v>12733</v>
      </c>
      <c r="G664" t="s">
        <v>74</v>
      </c>
      <c r="H664" t="s">
        <v>74</v>
      </c>
      <c r="I664" t="s">
        <v>12734</v>
      </c>
      <c r="J664" t="s">
        <v>8813</v>
      </c>
      <c r="K664" t="s">
        <v>74</v>
      </c>
      <c r="L664" t="s">
        <v>74</v>
      </c>
      <c r="M664" t="s">
        <v>78</v>
      </c>
      <c r="N664" t="s">
        <v>99</v>
      </c>
      <c r="O664" t="s">
        <v>74</v>
      </c>
      <c r="P664" t="s">
        <v>74</v>
      </c>
      <c r="Q664" t="s">
        <v>74</v>
      </c>
      <c r="R664" t="s">
        <v>74</v>
      </c>
      <c r="S664" t="s">
        <v>74</v>
      </c>
      <c r="T664" t="s">
        <v>12735</v>
      </c>
      <c r="U664" t="s">
        <v>12736</v>
      </c>
      <c r="V664" t="s">
        <v>12737</v>
      </c>
      <c r="W664" t="s">
        <v>12738</v>
      </c>
      <c r="X664" t="s">
        <v>12739</v>
      </c>
      <c r="Y664" t="s">
        <v>12740</v>
      </c>
      <c r="Z664" t="s">
        <v>12741</v>
      </c>
      <c r="AA664" t="s">
        <v>361</v>
      </c>
      <c r="AB664" t="s">
        <v>12742</v>
      </c>
      <c r="AC664" t="s">
        <v>12743</v>
      </c>
      <c r="AD664" t="s">
        <v>12744</v>
      </c>
      <c r="AE664" t="s">
        <v>12745</v>
      </c>
      <c r="AF664" t="s">
        <v>74</v>
      </c>
      <c r="AG664">
        <v>38</v>
      </c>
      <c r="AH664">
        <v>16</v>
      </c>
      <c r="AI664">
        <v>18</v>
      </c>
      <c r="AJ664">
        <v>1</v>
      </c>
      <c r="AK664">
        <v>14</v>
      </c>
      <c r="AL664" t="s">
        <v>1945</v>
      </c>
      <c r="AM664" t="s">
        <v>1946</v>
      </c>
      <c r="AN664" t="s">
        <v>1947</v>
      </c>
      <c r="AO664" t="s">
        <v>8826</v>
      </c>
      <c r="AP664" t="s">
        <v>8827</v>
      </c>
      <c r="AQ664" t="s">
        <v>74</v>
      </c>
      <c r="AR664" t="s">
        <v>8828</v>
      </c>
      <c r="AS664" t="s">
        <v>8829</v>
      </c>
      <c r="AT664" t="s">
        <v>12746</v>
      </c>
      <c r="AU664">
        <v>2014</v>
      </c>
      <c r="AV664">
        <v>41</v>
      </c>
      <c r="AW664">
        <v>22</v>
      </c>
      <c r="AX664" t="s">
        <v>74</v>
      </c>
      <c r="AY664" t="s">
        <v>74</v>
      </c>
      <c r="AZ664" t="s">
        <v>74</v>
      </c>
      <c r="BA664" t="s">
        <v>74</v>
      </c>
      <c r="BB664">
        <v>8138</v>
      </c>
      <c r="BC664">
        <v>8146</v>
      </c>
      <c r="BD664" t="s">
        <v>74</v>
      </c>
      <c r="BE664" t="s">
        <v>12747</v>
      </c>
      <c r="BF664" t="str">
        <f>HYPERLINK("http://dx.doi.org/10.1002/2014GL061782","http://dx.doi.org/10.1002/2014GL061782")</f>
        <v>http://dx.doi.org/10.1002/2014GL061782</v>
      </c>
      <c r="BG664" t="s">
        <v>74</v>
      </c>
      <c r="BH664" t="s">
        <v>74</v>
      </c>
      <c r="BI664">
        <v>9</v>
      </c>
      <c r="BJ664" t="s">
        <v>1953</v>
      </c>
      <c r="BK664" t="s">
        <v>91</v>
      </c>
      <c r="BL664" t="s">
        <v>1954</v>
      </c>
      <c r="BM664" t="s">
        <v>12748</v>
      </c>
      <c r="BN664" t="s">
        <v>74</v>
      </c>
      <c r="BO664" t="s">
        <v>375</v>
      </c>
      <c r="BP664" t="s">
        <v>74</v>
      </c>
      <c r="BQ664" t="s">
        <v>74</v>
      </c>
      <c r="BR664" t="s">
        <v>93</v>
      </c>
      <c r="BS664" t="s">
        <v>12749</v>
      </c>
      <c r="BT664" t="str">
        <f>HYPERLINK("https%3A%2F%2Fwww.webofscience.com%2Fwos%2Fwoscc%2Ffull-record%2FWOS:000346644600049","View Full Record in Web of Science")</f>
        <v>View Full Record in Web of Science</v>
      </c>
    </row>
    <row r="665" spans="1:72" x14ac:dyDescent="0.15">
      <c r="A665" t="s">
        <v>72</v>
      </c>
      <c r="B665" t="s">
        <v>12750</v>
      </c>
      <c r="C665" t="s">
        <v>74</v>
      </c>
      <c r="D665" t="s">
        <v>74</v>
      </c>
      <c r="E665" t="s">
        <v>74</v>
      </c>
      <c r="F665" t="s">
        <v>12751</v>
      </c>
      <c r="G665" t="s">
        <v>74</v>
      </c>
      <c r="H665" t="s">
        <v>74</v>
      </c>
      <c r="I665" t="s">
        <v>12752</v>
      </c>
      <c r="J665" t="s">
        <v>8813</v>
      </c>
      <c r="K665" t="s">
        <v>74</v>
      </c>
      <c r="L665" t="s">
        <v>74</v>
      </c>
      <c r="M665" t="s">
        <v>78</v>
      </c>
      <c r="N665" t="s">
        <v>99</v>
      </c>
      <c r="O665" t="s">
        <v>74</v>
      </c>
      <c r="P665" t="s">
        <v>74</v>
      </c>
      <c r="Q665" t="s">
        <v>74</v>
      </c>
      <c r="R665" t="s">
        <v>74</v>
      </c>
      <c r="S665" t="s">
        <v>74</v>
      </c>
      <c r="T665" t="s">
        <v>12753</v>
      </c>
      <c r="U665" t="s">
        <v>12754</v>
      </c>
      <c r="V665" t="s">
        <v>12755</v>
      </c>
      <c r="W665" t="s">
        <v>12756</v>
      </c>
      <c r="X665" t="s">
        <v>12757</v>
      </c>
      <c r="Y665" t="s">
        <v>12758</v>
      </c>
      <c r="Z665" t="s">
        <v>12759</v>
      </c>
      <c r="AA665" t="s">
        <v>12760</v>
      </c>
      <c r="AB665" t="s">
        <v>12761</v>
      </c>
      <c r="AC665" t="s">
        <v>12762</v>
      </c>
      <c r="AD665" t="s">
        <v>12763</v>
      </c>
      <c r="AE665" t="s">
        <v>12764</v>
      </c>
      <c r="AF665" t="s">
        <v>74</v>
      </c>
      <c r="AG665">
        <v>24</v>
      </c>
      <c r="AH665">
        <v>15</v>
      </c>
      <c r="AI665">
        <v>17</v>
      </c>
      <c r="AJ665">
        <v>1</v>
      </c>
      <c r="AK665">
        <v>11</v>
      </c>
      <c r="AL665" t="s">
        <v>1945</v>
      </c>
      <c r="AM665" t="s">
        <v>1946</v>
      </c>
      <c r="AN665" t="s">
        <v>1947</v>
      </c>
      <c r="AO665" t="s">
        <v>8826</v>
      </c>
      <c r="AP665" t="s">
        <v>8827</v>
      </c>
      <c r="AQ665" t="s">
        <v>74</v>
      </c>
      <c r="AR665" t="s">
        <v>8828</v>
      </c>
      <c r="AS665" t="s">
        <v>8829</v>
      </c>
      <c r="AT665" t="s">
        <v>12746</v>
      </c>
      <c r="AU665">
        <v>2014</v>
      </c>
      <c r="AV665">
        <v>41</v>
      </c>
      <c r="AW665">
        <v>22</v>
      </c>
      <c r="AX665" t="s">
        <v>74</v>
      </c>
      <c r="AY665" t="s">
        <v>74</v>
      </c>
      <c r="AZ665" t="s">
        <v>74</v>
      </c>
      <c r="BA665" t="s">
        <v>74</v>
      </c>
      <c r="BB665">
        <v>7950</v>
      </c>
      <c r="BC665">
        <v>7956</v>
      </c>
      <c r="BD665" t="s">
        <v>74</v>
      </c>
      <c r="BE665" t="s">
        <v>12765</v>
      </c>
      <c r="BF665" t="str">
        <f>HYPERLINK("http://dx.doi.org/10.1002/2014GL061538","http://dx.doi.org/10.1002/2014GL061538")</f>
        <v>http://dx.doi.org/10.1002/2014GL061538</v>
      </c>
      <c r="BG665" t="s">
        <v>74</v>
      </c>
      <c r="BH665" t="s">
        <v>74</v>
      </c>
      <c r="BI665">
        <v>7</v>
      </c>
      <c r="BJ665" t="s">
        <v>1953</v>
      </c>
      <c r="BK665" t="s">
        <v>91</v>
      </c>
      <c r="BL665" t="s">
        <v>1954</v>
      </c>
      <c r="BM665" t="s">
        <v>12748</v>
      </c>
      <c r="BN665" t="s">
        <v>74</v>
      </c>
      <c r="BO665" t="s">
        <v>12766</v>
      </c>
      <c r="BP665" t="s">
        <v>74</v>
      </c>
      <c r="BQ665" t="s">
        <v>74</v>
      </c>
      <c r="BR665" t="s">
        <v>93</v>
      </c>
      <c r="BS665" t="s">
        <v>12767</v>
      </c>
      <c r="BT665" t="str">
        <f>HYPERLINK("https%3A%2F%2Fwww.webofscience.com%2Fwos%2Fwoscc%2Ffull-record%2FWOS:000346644600025","View Full Record in Web of Science")</f>
        <v>View Full Record in Web of Science</v>
      </c>
    </row>
    <row r="666" spans="1:72" x14ac:dyDescent="0.15">
      <c r="A666" t="s">
        <v>72</v>
      </c>
      <c r="B666" t="s">
        <v>12768</v>
      </c>
      <c r="C666" t="s">
        <v>74</v>
      </c>
      <c r="D666" t="s">
        <v>74</v>
      </c>
      <c r="E666" t="s">
        <v>74</v>
      </c>
      <c r="F666" t="s">
        <v>12769</v>
      </c>
      <c r="G666" t="s">
        <v>74</v>
      </c>
      <c r="H666" t="s">
        <v>74</v>
      </c>
      <c r="I666" t="s">
        <v>12770</v>
      </c>
      <c r="J666" t="s">
        <v>8813</v>
      </c>
      <c r="K666" t="s">
        <v>74</v>
      </c>
      <c r="L666" t="s">
        <v>74</v>
      </c>
      <c r="M666" t="s">
        <v>78</v>
      </c>
      <c r="N666" t="s">
        <v>99</v>
      </c>
      <c r="O666" t="s">
        <v>74</v>
      </c>
      <c r="P666" t="s">
        <v>74</v>
      </c>
      <c r="Q666" t="s">
        <v>74</v>
      </c>
      <c r="R666" t="s">
        <v>74</v>
      </c>
      <c r="S666" t="s">
        <v>74</v>
      </c>
      <c r="T666" t="s">
        <v>12771</v>
      </c>
      <c r="U666" t="s">
        <v>12772</v>
      </c>
      <c r="V666" t="s">
        <v>12773</v>
      </c>
      <c r="W666" t="s">
        <v>12774</v>
      </c>
      <c r="X666" t="s">
        <v>12775</v>
      </c>
      <c r="Y666" t="s">
        <v>12776</v>
      </c>
      <c r="Z666" t="s">
        <v>12777</v>
      </c>
      <c r="AA666" t="s">
        <v>12778</v>
      </c>
      <c r="AB666" t="s">
        <v>12779</v>
      </c>
      <c r="AC666" t="s">
        <v>12780</v>
      </c>
      <c r="AD666" t="s">
        <v>12781</v>
      </c>
      <c r="AE666" t="s">
        <v>12782</v>
      </c>
      <c r="AF666" t="s">
        <v>74</v>
      </c>
      <c r="AG666">
        <v>42</v>
      </c>
      <c r="AH666">
        <v>34</v>
      </c>
      <c r="AI666">
        <v>38</v>
      </c>
      <c r="AJ666">
        <v>1</v>
      </c>
      <c r="AK666">
        <v>20</v>
      </c>
      <c r="AL666" t="s">
        <v>1945</v>
      </c>
      <c r="AM666" t="s">
        <v>1946</v>
      </c>
      <c r="AN666" t="s">
        <v>1947</v>
      </c>
      <c r="AO666" t="s">
        <v>8826</v>
      </c>
      <c r="AP666" t="s">
        <v>8827</v>
      </c>
      <c r="AQ666" t="s">
        <v>74</v>
      </c>
      <c r="AR666" t="s">
        <v>8828</v>
      </c>
      <c r="AS666" t="s">
        <v>8829</v>
      </c>
      <c r="AT666" t="s">
        <v>12746</v>
      </c>
      <c r="AU666">
        <v>2014</v>
      </c>
      <c r="AV666">
        <v>41</v>
      </c>
      <c r="AW666">
        <v>22</v>
      </c>
      <c r="AX666" t="s">
        <v>74</v>
      </c>
      <c r="AY666" t="s">
        <v>74</v>
      </c>
      <c r="AZ666" t="s">
        <v>74</v>
      </c>
      <c r="BA666" t="s">
        <v>74</v>
      </c>
      <c r="BB666">
        <v>8114</v>
      </c>
      <c r="BC666">
        <v>8122</v>
      </c>
      <c r="BD666" t="s">
        <v>74</v>
      </c>
      <c r="BE666" t="s">
        <v>12783</v>
      </c>
      <c r="BF666" t="str">
        <f>HYPERLINK("http://dx.doi.org/10.1002/2014GL061491","http://dx.doi.org/10.1002/2014GL061491")</f>
        <v>http://dx.doi.org/10.1002/2014GL061491</v>
      </c>
      <c r="BG666" t="s">
        <v>74</v>
      </c>
      <c r="BH666" t="s">
        <v>74</v>
      </c>
      <c r="BI666">
        <v>9</v>
      </c>
      <c r="BJ666" t="s">
        <v>1953</v>
      </c>
      <c r="BK666" t="s">
        <v>91</v>
      </c>
      <c r="BL666" t="s">
        <v>1954</v>
      </c>
      <c r="BM666" t="s">
        <v>12748</v>
      </c>
      <c r="BN666" t="s">
        <v>74</v>
      </c>
      <c r="BO666" t="s">
        <v>12766</v>
      </c>
      <c r="BP666" t="s">
        <v>74</v>
      </c>
      <c r="BQ666" t="s">
        <v>74</v>
      </c>
      <c r="BR666" t="s">
        <v>93</v>
      </c>
      <c r="BS666" t="s">
        <v>12784</v>
      </c>
      <c r="BT666" t="str">
        <f>HYPERLINK("https%3A%2F%2Fwww.webofscience.com%2Fwos%2Fwoscc%2Ffull-record%2FWOS:000346644600046","View Full Record in Web of Science")</f>
        <v>View Full Record in Web of Science</v>
      </c>
    </row>
    <row r="667" spans="1:72" x14ac:dyDescent="0.15">
      <c r="A667" t="s">
        <v>72</v>
      </c>
      <c r="B667" t="s">
        <v>12785</v>
      </c>
      <c r="C667" t="s">
        <v>74</v>
      </c>
      <c r="D667" t="s">
        <v>74</v>
      </c>
      <c r="E667" t="s">
        <v>74</v>
      </c>
      <c r="F667" t="s">
        <v>12786</v>
      </c>
      <c r="G667" t="s">
        <v>74</v>
      </c>
      <c r="H667" t="s">
        <v>74</v>
      </c>
      <c r="I667" t="s">
        <v>12787</v>
      </c>
      <c r="J667" t="s">
        <v>8813</v>
      </c>
      <c r="K667" t="s">
        <v>74</v>
      </c>
      <c r="L667" t="s">
        <v>74</v>
      </c>
      <c r="M667" t="s">
        <v>78</v>
      </c>
      <c r="N667" t="s">
        <v>99</v>
      </c>
      <c r="O667" t="s">
        <v>74</v>
      </c>
      <c r="P667" t="s">
        <v>74</v>
      </c>
      <c r="Q667" t="s">
        <v>74</v>
      </c>
      <c r="R667" t="s">
        <v>74</v>
      </c>
      <c r="S667" t="s">
        <v>74</v>
      </c>
      <c r="T667" t="s">
        <v>12788</v>
      </c>
      <c r="U667" t="s">
        <v>12789</v>
      </c>
      <c r="V667" t="s">
        <v>12790</v>
      </c>
      <c r="W667" t="s">
        <v>12791</v>
      </c>
      <c r="X667" t="s">
        <v>12792</v>
      </c>
      <c r="Y667" t="s">
        <v>12793</v>
      </c>
      <c r="Z667" t="s">
        <v>12794</v>
      </c>
      <c r="AA667" t="s">
        <v>74</v>
      </c>
      <c r="AB667" t="s">
        <v>12795</v>
      </c>
      <c r="AC667" t="s">
        <v>12796</v>
      </c>
      <c r="AD667" t="s">
        <v>12797</v>
      </c>
      <c r="AE667" t="s">
        <v>12798</v>
      </c>
      <c r="AF667" t="s">
        <v>74</v>
      </c>
      <c r="AG667">
        <v>23</v>
      </c>
      <c r="AH667">
        <v>43</v>
      </c>
      <c r="AI667">
        <v>47</v>
      </c>
      <c r="AJ667">
        <v>0</v>
      </c>
      <c r="AK667">
        <v>19</v>
      </c>
      <c r="AL667" t="s">
        <v>1945</v>
      </c>
      <c r="AM667" t="s">
        <v>1946</v>
      </c>
      <c r="AN667" t="s">
        <v>1947</v>
      </c>
      <c r="AO667" t="s">
        <v>8826</v>
      </c>
      <c r="AP667" t="s">
        <v>8827</v>
      </c>
      <c r="AQ667" t="s">
        <v>74</v>
      </c>
      <c r="AR667" t="s">
        <v>8828</v>
      </c>
      <c r="AS667" t="s">
        <v>8829</v>
      </c>
      <c r="AT667" t="s">
        <v>12746</v>
      </c>
      <c r="AU667">
        <v>2014</v>
      </c>
      <c r="AV667">
        <v>41</v>
      </c>
      <c r="AW667">
        <v>22</v>
      </c>
      <c r="AX667" t="s">
        <v>74</v>
      </c>
      <c r="AY667" t="s">
        <v>74</v>
      </c>
      <c r="AZ667" t="s">
        <v>74</v>
      </c>
      <c r="BA667" t="s">
        <v>74</v>
      </c>
      <c r="BB667">
        <v>8123</v>
      </c>
      <c r="BC667">
        <v>8129</v>
      </c>
      <c r="BD667" t="s">
        <v>74</v>
      </c>
      <c r="BE667" t="s">
        <v>12799</v>
      </c>
      <c r="BF667" t="str">
        <f>HYPERLINK("http://dx.doi.org/10.1002/2014GL061613","http://dx.doi.org/10.1002/2014GL061613")</f>
        <v>http://dx.doi.org/10.1002/2014GL061613</v>
      </c>
      <c r="BG667" t="s">
        <v>74</v>
      </c>
      <c r="BH667" t="s">
        <v>74</v>
      </c>
      <c r="BI667">
        <v>7</v>
      </c>
      <c r="BJ667" t="s">
        <v>1953</v>
      </c>
      <c r="BK667" t="s">
        <v>91</v>
      </c>
      <c r="BL667" t="s">
        <v>1954</v>
      </c>
      <c r="BM667" t="s">
        <v>12748</v>
      </c>
      <c r="BN667" t="s">
        <v>74</v>
      </c>
      <c r="BO667" t="s">
        <v>74</v>
      </c>
      <c r="BP667" t="s">
        <v>74</v>
      </c>
      <c r="BQ667" t="s">
        <v>74</v>
      </c>
      <c r="BR667" t="s">
        <v>93</v>
      </c>
      <c r="BS667" t="s">
        <v>12800</v>
      </c>
      <c r="BT667" t="str">
        <f>HYPERLINK("https%3A%2F%2Fwww.webofscience.com%2Fwos%2Fwoscc%2Ffull-record%2FWOS:000346644600047","View Full Record in Web of Science")</f>
        <v>View Full Record in Web of Science</v>
      </c>
    </row>
    <row r="668" spans="1:72" x14ac:dyDescent="0.15">
      <c r="A668" t="s">
        <v>72</v>
      </c>
      <c r="B668" t="s">
        <v>12801</v>
      </c>
      <c r="C668" t="s">
        <v>74</v>
      </c>
      <c r="D668" t="s">
        <v>74</v>
      </c>
      <c r="E668" t="s">
        <v>74</v>
      </c>
      <c r="F668" t="s">
        <v>12802</v>
      </c>
      <c r="G668" t="s">
        <v>74</v>
      </c>
      <c r="H668" t="s">
        <v>74</v>
      </c>
      <c r="I668" t="s">
        <v>12803</v>
      </c>
      <c r="J668" t="s">
        <v>8813</v>
      </c>
      <c r="K668" t="s">
        <v>74</v>
      </c>
      <c r="L668" t="s">
        <v>74</v>
      </c>
      <c r="M668" t="s">
        <v>78</v>
      </c>
      <c r="N668" t="s">
        <v>99</v>
      </c>
      <c r="O668" t="s">
        <v>74</v>
      </c>
      <c r="P668" t="s">
        <v>74</v>
      </c>
      <c r="Q668" t="s">
        <v>74</v>
      </c>
      <c r="R668" t="s">
        <v>74</v>
      </c>
      <c r="S668" t="s">
        <v>74</v>
      </c>
      <c r="T668" t="s">
        <v>12804</v>
      </c>
      <c r="U668" t="s">
        <v>12805</v>
      </c>
      <c r="V668" t="s">
        <v>12806</v>
      </c>
      <c r="W668" t="s">
        <v>12807</v>
      </c>
      <c r="X668" t="s">
        <v>12808</v>
      </c>
      <c r="Y668" t="s">
        <v>12809</v>
      </c>
      <c r="Z668" t="s">
        <v>12810</v>
      </c>
      <c r="AA668" t="s">
        <v>12811</v>
      </c>
      <c r="AB668" t="s">
        <v>12812</v>
      </c>
      <c r="AC668" t="s">
        <v>12813</v>
      </c>
      <c r="AD668" t="s">
        <v>10373</v>
      </c>
      <c r="AE668" t="s">
        <v>12814</v>
      </c>
      <c r="AF668" t="s">
        <v>74</v>
      </c>
      <c r="AG668">
        <v>36</v>
      </c>
      <c r="AH668">
        <v>260</v>
      </c>
      <c r="AI668">
        <v>299</v>
      </c>
      <c r="AJ668">
        <v>5</v>
      </c>
      <c r="AK668">
        <v>112</v>
      </c>
      <c r="AL668" t="s">
        <v>1945</v>
      </c>
      <c r="AM668" t="s">
        <v>1946</v>
      </c>
      <c r="AN668" t="s">
        <v>1947</v>
      </c>
      <c r="AO668" t="s">
        <v>8826</v>
      </c>
      <c r="AP668" t="s">
        <v>8827</v>
      </c>
      <c r="AQ668" t="s">
        <v>74</v>
      </c>
      <c r="AR668" t="s">
        <v>8828</v>
      </c>
      <c r="AS668" t="s">
        <v>8829</v>
      </c>
      <c r="AT668" t="s">
        <v>12746</v>
      </c>
      <c r="AU668">
        <v>2014</v>
      </c>
      <c r="AV668">
        <v>41</v>
      </c>
      <c r="AW668">
        <v>22</v>
      </c>
      <c r="AX668" t="s">
        <v>74</v>
      </c>
      <c r="AY668" t="s">
        <v>74</v>
      </c>
      <c r="AZ668" t="s">
        <v>74</v>
      </c>
      <c r="BA668" t="s">
        <v>74</v>
      </c>
      <c r="BB668">
        <v>8130</v>
      </c>
      <c r="BC668">
        <v>8137</v>
      </c>
      <c r="BD668" t="s">
        <v>74</v>
      </c>
      <c r="BE668" t="s">
        <v>12815</v>
      </c>
      <c r="BF668" t="str">
        <f>HYPERLINK("http://dx.doi.org/10.1002/2014GL061052","http://dx.doi.org/10.1002/2014GL061052")</f>
        <v>http://dx.doi.org/10.1002/2014GL061052</v>
      </c>
      <c r="BG668" t="s">
        <v>74</v>
      </c>
      <c r="BH668" t="s">
        <v>74</v>
      </c>
      <c r="BI668">
        <v>8</v>
      </c>
      <c r="BJ668" t="s">
        <v>1953</v>
      </c>
      <c r="BK668" t="s">
        <v>91</v>
      </c>
      <c r="BL668" t="s">
        <v>1954</v>
      </c>
      <c r="BM668" t="s">
        <v>12748</v>
      </c>
      <c r="BN668" t="s">
        <v>74</v>
      </c>
      <c r="BO668" t="s">
        <v>3478</v>
      </c>
      <c r="BP668" t="s">
        <v>5654</v>
      </c>
      <c r="BQ668" t="s">
        <v>5655</v>
      </c>
      <c r="BR668" t="s">
        <v>93</v>
      </c>
      <c r="BS668" t="s">
        <v>12816</v>
      </c>
      <c r="BT668" t="str">
        <f>HYPERLINK("https%3A%2F%2Fwww.webofscience.com%2Fwos%2Fwoscc%2Ffull-record%2FWOS:000346644600048","View Full Record in Web of Science")</f>
        <v>View Full Record in Web of Science</v>
      </c>
    </row>
    <row r="669" spans="1:72" x14ac:dyDescent="0.15">
      <c r="A669" t="s">
        <v>72</v>
      </c>
      <c r="B669" t="s">
        <v>12817</v>
      </c>
      <c r="C669" t="s">
        <v>74</v>
      </c>
      <c r="D669" t="s">
        <v>74</v>
      </c>
      <c r="E669" t="s">
        <v>74</v>
      </c>
      <c r="F669" t="s">
        <v>12818</v>
      </c>
      <c r="G669" t="s">
        <v>74</v>
      </c>
      <c r="H669" t="s">
        <v>74</v>
      </c>
      <c r="I669" t="s">
        <v>12819</v>
      </c>
      <c r="J669" t="s">
        <v>8926</v>
      </c>
      <c r="K669" t="s">
        <v>74</v>
      </c>
      <c r="L669" t="s">
        <v>74</v>
      </c>
      <c r="M669" t="s">
        <v>78</v>
      </c>
      <c r="N669" t="s">
        <v>99</v>
      </c>
      <c r="O669" t="s">
        <v>74</v>
      </c>
      <c r="P669" t="s">
        <v>74</v>
      </c>
      <c r="Q669" t="s">
        <v>74</v>
      </c>
      <c r="R669" t="s">
        <v>74</v>
      </c>
      <c r="S669" t="s">
        <v>74</v>
      </c>
      <c r="T669" t="s">
        <v>74</v>
      </c>
      <c r="U669" t="s">
        <v>12820</v>
      </c>
      <c r="V669" t="s">
        <v>12821</v>
      </c>
      <c r="W669" t="s">
        <v>12822</v>
      </c>
      <c r="X669" t="s">
        <v>12823</v>
      </c>
      <c r="Y669" t="s">
        <v>12824</v>
      </c>
      <c r="Z669" t="s">
        <v>12825</v>
      </c>
      <c r="AA669" t="s">
        <v>74</v>
      </c>
      <c r="AB669" t="s">
        <v>12826</v>
      </c>
      <c r="AC669" t="s">
        <v>12827</v>
      </c>
      <c r="AD669" t="s">
        <v>12828</v>
      </c>
      <c r="AE669" t="s">
        <v>12829</v>
      </c>
      <c r="AF669" t="s">
        <v>74</v>
      </c>
      <c r="AG669">
        <v>60</v>
      </c>
      <c r="AH669">
        <v>19</v>
      </c>
      <c r="AI669">
        <v>20</v>
      </c>
      <c r="AJ669">
        <v>1</v>
      </c>
      <c r="AK669">
        <v>14</v>
      </c>
      <c r="AL669" t="s">
        <v>1945</v>
      </c>
      <c r="AM669" t="s">
        <v>1946</v>
      </c>
      <c r="AN669" t="s">
        <v>1947</v>
      </c>
      <c r="AO669" t="s">
        <v>8938</v>
      </c>
      <c r="AP669" t="s">
        <v>8939</v>
      </c>
      <c r="AQ669" t="s">
        <v>74</v>
      </c>
      <c r="AR669" t="s">
        <v>8940</v>
      </c>
      <c r="AS669" t="s">
        <v>8941</v>
      </c>
      <c r="AT669" t="s">
        <v>12830</v>
      </c>
      <c r="AU669">
        <v>2014</v>
      </c>
      <c r="AV669">
        <v>119</v>
      </c>
      <c r="AW669">
        <v>22</v>
      </c>
      <c r="AX669" t="s">
        <v>74</v>
      </c>
      <c r="AY669" t="s">
        <v>74</v>
      </c>
      <c r="AZ669" t="s">
        <v>74</v>
      </c>
      <c r="BA669" t="s">
        <v>74</v>
      </c>
      <c r="BB669">
        <v>12513</v>
      </c>
      <c r="BC669">
        <v>12532</v>
      </c>
      <c r="BD669" t="s">
        <v>74</v>
      </c>
      <c r="BE669" t="s">
        <v>12831</v>
      </c>
      <c r="BF669" t="str">
        <f>HYPERLINK("http://dx.doi.org/10.1002/2014JD022160","http://dx.doi.org/10.1002/2014JD022160")</f>
        <v>http://dx.doi.org/10.1002/2014JD022160</v>
      </c>
      <c r="BG669" t="s">
        <v>74</v>
      </c>
      <c r="BH669" t="s">
        <v>74</v>
      </c>
      <c r="BI669">
        <v>20</v>
      </c>
      <c r="BJ669" t="s">
        <v>226</v>
      </c>
      <c r="BK669" t="s">
        <v>91</v>
      </c>
      <c r="BL669" t="s">
        <v>226</v>
      </c>
      <c r="BM669" t="s">
        <v>12832</v>
      </c>
      <c r="BN669" t="s">
        <v>74</v>
      </c>
      <c r="BO669" t="s">
        <v>74</v>
      </c>
      <c r="BP669" t="s">
        <v>74</v>
      </c>
      <c r="BQ669" t="s">
        <v>74</v>
      </c>
      <c r="BR669" t="s">
        <v>93</v>
      </c>
      <c r="BS669" t="s">
        <v>12833</v>
      </c>
      <c r="BT669" t="str">
        <f>HYPERLINK("https%3A%2F%2Fwww.webofscience.com%2Fwos%2Fwoscc%2Ffull-record%2FWOS:000346345600006","View Full Record in Web of Science")</f>
        <v>View Full Record in Web of Science</v>
      </c>
    </row>
    <row r="670" spans="1:72" x14ac:dyDescent="0.15">
      <c r="A670" t="s">
        <v>72</v>
      </c>
      <c r="B670" t="s">
        <v>12834</v>
      </c>
      <c r="C670" t="s">
        <v>74</v>
      </c>
      <c r="D670" t="s">
        <v>74</v>
      </c>
      <c r="E670" t="s">
        <v>74</v>
      </c>
      <c r="F670" t="s">
        <v>12835</v>
      </c>
      <c r="G670" t="s">
        <v>74</v>
      </c>
      <c r="H670" t="s">
        <v>74</v>
      </c>
      <c r="I670" t="s">
        <v>12836</v>
      </c>
      <c r="J670" t="s">
        <v>12837</v>
      </c>
      <c r="K670" t="s">
        <v>74</v>
      </c>
      <c r="L670" t="s">
        <v>74</v>
      </c>
      <c r="M670" t="s">
        <v>78</v>
      </c>
      <c r="N670" t="s">
        <v>99</v>
      </c>
      <c r="O670" t="s">
        <v>74</v>
      </c>
      <c r="P670" t="s">
        <v>74</v>
      </c>
      <c r="Q670" t="s">
        <v>74</v>
      </c>
      <c r="R670" t="s">
        <v>74</v>
      </c>
      <c r="S670" t="s">
        <v>74</v>
      </c>
      <c r="T670" t="s">
        <v>74</v>
      </c>
      <c r="U670" t="s">
        <v>12838</v>
      </c>
      <c r="V670" t="s">
        <v>12839</v>
      </c>
      <c r="W670" t="s">
        <v>12840</v>
      </c>
      <c r="X670" t="s">
        <v>12841</v>
      </c>
      <c r="Y670" t="s">
        <v>12842</v>
      </c>
      <c r="Z670" t="s">
        <v>12843</v>
      </c>
      <c r="AA670" t="s">
        <v>74</v>
      </c>
      <c r="AB670" t="s">
        <v>12844</v>
      </c>
      <c r="AC670" t="s">
        <v>12845</v>
      </c>
      <c r="AD670" t="s">
        <v>12846</v>
      </c>
      <c r="AE670" t="s">
        <v>12847</v>
      </c>
      <c r="AF670" t="s">
        <v>74</v>
      </c>
      <c r="AG670">
        <v>70</v>
      </c>
      <c r="AH670">
        <v>4</v>
      </c>
      <c r="AI670">
        <v>7</v>
      </c>
      <c r="AJ670">
        <v>0</v>
      </c>
      <c r="AK670">
        <v>24</v>
      </c>
      <c r="AL670" t="s">
        <v>12848</v>
      </c>
      <c r="AM670" t="s">
        <v>1946</v>
      </c>
      <c r="AN670" t="s">
        <v>12849</v>
      </c>
      <c r="AO670" t="s">
        <v>12850</v>
      </c>
      <c r="AP670" t="s">
        <v>74</v>
      </c>
      <c r="AQ670" t="s">
        <v>74</v>
      </c>
      <c r="AR670" t="s">
        <v>12851</v>
      </c>
      <c r="AS670" t="s">
        <v>12852</v>
      </c>
      <c r="AT670" t="s">
        <v>12830</v>
      </c>
      <c r="AU670">
        <v>2014</v>
      </c>
      <c r="AV670">
        <v>118</v>
      </c>
      <c r="AW670">
        <v>47</v>
      </c>
      <c r="AX670" t="s">
        <v>74</v>
      </c>
      <c r="AY670" t="s">
        <v>74</v>
      </c>
      <c r="AZ670" t="s">
        <v>1437</v>
      </c>
      <c r="BA670" t="s">
        <v>74</v>
      </c>
      <c r="BB670">
        <v>13544</v>
      </c>
      <c r="BC670">
        <v>13553</v>
      </c>
      <c r="BD670" t="s">
        <v>74</v>
      </c>
      <c r="BE670" t="s">
        <v>12853</v>
      </c>
      <c r="BF670" t="str">
        <f>HYPERLINK("http://dx.doi.org/10.1021/jp509134d","http://dx.doi.org/10.1021/jp509134d")</f>
        <v>http://dx.doi.org/10.1021/jp509134d</v>
      </c>
      <c r="BG670" t="s">
        <v>74</v>
      </c>
      <c r="BH670" t="s">
        <v>74</v>
      </c>
      <c r="BI670">
        <v>10</v>
      </c>
      <c r="BJ670" t="s">
        <v>12854</v>
      </c>
      <c r="BK670" t="s">
        <v>91</v>
      </c>
      <c r="BL670" t="s">
        <v>181</v>
      </c>
      <c r="BM670" t="s">
        <v>12855</v>
      </c>
      <c r="BN670">
        <v>25372016</v>
      </c>
      <c r="BO670" t="s">
        <v>2744</v>
      </c>
      <c r="BP670" t="s">
        <v>74</v>
      </c>
      <c r="BQ670" t="s">
        <v>74</v>
      </c>
      <c r="BR670" t="s">
        <v>93</v>
      </c>
      <c r="BS670" t="s">
        <v>12856</v>
      </c>
      <c r="BT670" t="str">
        <f>HYPERLINK("https%3A%2F%2Fwww.webofscience.com%2Fwos%2Fwoscc%2Ffull-record%2FWOS:000345722900029","View Full Record in Web of Science")</f>
        <v>View Full Record in Web of Science</v>
      </c>
    </row>
    <row r="671" spans="1:72" x14ac:dyDescent="0.15">
      <c r="A671" t="s">
        <v>72</v>
      </c>
      <c r="B671" t="s">
        <v>12857</v>
      </c>
      <c r="C671" t="s">
        <v>74</v>
      </c>
      <c r="D671" t="s">
        <v>74</v>
      </c>
      <c r="E671" t="s">
        <v>74</v>
      </c>
      <c r="F671" t="s">
        <v>12858</v>
      </c>
      <c r="G671" t="s">
        <v>74</v>
      </c>
      <c r="H671" t="s">
        <v>74</v>
      </c>
      <c r="I671" t="s">
        <v>12859</v>
      </c>
      <c r="J671" t="s">
        <v>9084</v>
      </c>
      <c r="K671" t="s">
        <v>74</v>
      </c>
      <c r="L671" t="s">
        <v>74</v>
      </c>
      <c r="M671" t="s">
        <v>78</v>
      </c>
      <c r="N671" t="s">
        <v>99</v>
      </c>
      <c r="O671" t="s">
        <v>74</v>
      </c>
      <c r="P671" t="s">
        <v>74</v>
      </c>
      <c r="Q671" t="s">
        <v>74</v>
      </c>
      <c r="R671" t="s">
        <v>74</v>
      </c>
      <c r="S671" t="s">
        <v>74</v>
      </c>
      <c r="T671" t="s">
        <v>74</v>
      </c>
      <c r="U671" t="s">
        <v>12860</v>
      </c>
      <c r="V671" t="s">
        <v>12861</v>
      </c>
      <c r="W671" t="s">
        <v>12862</v>
      </c>
      <c r="X671" t="s">
        <v>383</v>
      </c>
      <c r="Y671" t="s">
        <v>12863</v>
      </c>
      <c r="Z671" t="s">
        <v>6134</v>
      </c>
      <c r="AA671" t="s">
        <v>6135</v>
      </c>
      <c r="AB671" t="s">
        <v>12864</v>
      </c>
      <c r="AC671" t="s">
        <v>12865</v>
      </c>
      <c r="AD671" t="s">
        <v>12866</v>
      </c>
      <c r="AE671" t="s">
        <v>12867</v>
      </c>
      <c r="AF671" t="s">
        <v>74</v>
      </c>
      <c r="AG671">
        <v>67</v>
      </c>
      <c r="AH671">
        <v>5</v>
      </c>
      <c r="AI671">
        <v>6</v>
      </c>
      <c r="AJ671">
        <v>0</v>
      </c>
      <c r="AK671">
        <v>16</v>
      </c>
      <c r="AL671" t="s">
        <v>9093</v>
      </c>
      <c r="AM671" t="s">
        <v>9094</v>
      </c>
      <c r="AN671" t="s">
        <v>9095</v>
      </c>
      <c r="AO671" t="s">
        <v>9096</v>
      </c>
      <c r="AP671" t="s">
        <v>74</v>
      </c>
      <c r="AQ671" t="s">
        <v>74</v>
      </c>
      <c r="AR671" t="s">
        <v>9084</v>
      </c>
      <c r="AS671" t="s">
        <v>9097</v>
      </c>
      <c r="AT671" t="s">
        <v>12868</v>
      </c>
      <c r="AU671">
        <v>2014</v>
      </c>
      <c r="AV671">
        <v>9</v>
      </c>
      <c r="AW671">
        <v>11</v>
      </c>
      <c r="AX671" t="s">
        <v>74</v>
      </c>
      <c r="AY671" t="s">
        <v>74</v>
      </c>
      <c r="AZ671" t="s">
        <v>74</v>
      </c>
      <c r="BA671" t="s">
        <v>74</v>
      </c>
      <c r="BB671" t="s">
        <v>74</v>
      </c>
      <c r="BC671" t="s">
        <v>74</v>
      </c>
      <c r="BD671" t="s">
        <v>12869</v>
      </c>
      <c r="BE671" t="s">
        <v>12870</v>
      </c>
      <c r="BF671" t="str">
        <f>HYPERLINK("http://dx.doi.org/10.1371/journal.pone.0113171","http://dx.doi.org/10.1371/journal.pone.0113171")</f>
        <v>http://dx.doi.org/10.1371/journal.pone.0113171</v>
      </c>
      <c r="BG671" t="s">
        <v>74</v>
      </c>
      <c r="BH671" t="s">
        <v>74</v>
      </c>
      <c r="BI671">
        <v>15</v>
      </c>
      <c r="BJ671" t="s">
        <v>201</v>
      </c>
      <c r="BK671" t="s">
        <v>91</v>
      </c>
      <c r="BL671" t="s">
        <v>203</v>
      </c>
      <c r="BM671" t="s">
        <v>12871</v>
      </c>
      <c r="BN671">
        <v>25427104</v>
      </c>
      <c r="BO671" t="s">
        <v>12872</v>
      </c>
      <c r="BP671" t="s">
        <v>74</v>
      </c>
      <c r="BQ671" t="s">
        <v>74</v>
      </c>
      <c r="BR671" t="s">
        <v>93</v>
      </c>
      <c r="BS671" t="s">
        <v>12873</v>
      </c>
      <c r="BT671" t="str">
        <f>HYPERLINK("https%3A%2F%2Fwww.webofscience.com%2Fwos%2Fwoscc%2Ffull-record%2FWOS:000349145400036","View Full Record in Web of Science")</f>
        <v>View Full Record in Web of Science</v>
      </c>
    </row>
    <row r="672" spans="1:72" x14ac:dyDescent="0.15">
      <c r="A672" t="s">
        <v>72</v>
      </c>
      <c r="B672" t="s">
        <v>12874</v>
      </c>
      <c r="C672" t="s">
        <v>74</v>
      </c>
      <c r="D672" t="s">
        <v>74</v>
      </c>
      <c r="E672" t="s">
        <v>74</v>
      </c>
      <c r="F672" t="s">
        <v>12875</v>
      </c>
      <c r="G672" t="s">
        <v>74</v>
      </c>
      <c r="H672" t="s">
        <v>74</v>
      </c>
      <c r="I672" t="s">
        <v>12876</v>
      </c>
      <c r="J672" t="s">
        <v>12877</v>
      </c>
      <c r="K672" t="s">
        <v>74</v>
      </c>
      <c r="L672" t="s">
        <v>74</v>
      </c>
      <c r="M672" t="s">
        <v>78</v>
      </c>
      <c r="N672" t="s">
        <v>99</v>
      </c>
      <c r="O672" t="s">
        <v>74</v>
      </c>
      <c r="P672" t="s">
        <v>74</v>
      </c>
      <c r="Q672" t="s">
        <v>74</v>
      </c>
      <c r="R672" t="s">
        <v>74</v>
      </c>
      <c r="S672" t="s">
        <v>74</v>
      </c>
      <c r="T672" t="s">
        <v>74</v>
      </c>
      <c r="U672" t="s">
        <v>12878</v>
      </c>
      <c r="V672" t="s">
        <v>12879</v>
      </c>
      <c r="W672" t="s">
        <v>12880</v>
      </c>
      <c r="X672" t="s">
        <v>12881</v>
      </c>
      <c r="Y672" t="s">
        <v>12882</v>
      </c>
      <c r="Z672" t="s">
        <v>12883</v>
      </c>
      <c r="AA672" t="s">
        <v>12884</v>
      </c>
      <c r="AB672" t="s">
        <v>12885</v>
      </c>
      <c r="AC672" t="s">
        <v>12886</v>
      </c>
      <c r="AD672" t="s">
        <v>12887</v>
      </c>
      <c r="AE672" t="s">
        <v>12888</v>
      </c>
      <c r="AF672" t="s">
        <v>74</v>
      </c>
      <c r="AG672">
        <v>81</v>
      </c>
      <c r="AH672">
        <v>37</v>
      </c>
      <c r="AI672">
        <v>39</v>
      </c>
      <c r="AJ672">
        <v>0</v>
      </c>
      <c r="AK672">
        <v>10</v>
      </c>
      <c r="AL672" t="s">
        <v>2439</v>
      </c>
      <c r="AM672" t="s">
        <v>1411</v>
      </c>
      <c r="AN672" t="s">
        <v>2440</v>
      </c>
      <c r="AO672" t="s">
        <v>12889</v>
      </c>
      <c r="AP672" t="s">
        <v>12890</v>
      </c>
      <c r="AQ672" t="s">
        <v>74</v>
      </c>
      <c r="AR672" t="s">
        <v>12891</v>
      </c>
      <c r="AS672" t="s">
        <v>12892</v>
      </c>
      <c r="AT672" t="s">
        <v>12868</v>
      </c>
      <c r="AU672">
        <v>2014</v>
      </c>
      <c r="AV672">
        <v>352</v>
      </c>
      <c r="AW672" t="s">
        <v>74</v>
      </c>
      <c r="AX672" t="s">
        <v>74</v>
      </c>
      <c r="AY672" t="s">
        <v>74</v>
      </c>
      <c r="AZ672" t="s">
        <v>74</v>
      </c>
      <c r="BA672" t="s">
        <v>74</v>
      </c>
      <c r="BB672">
        <v>124</v>
      </c>
      <c r="BC672">
        <v>134</v>
      </c>
      <c r="BD672" t="s">
        <v>74</v>
      </c>
      <c r="BE672" t="s">
        <v>12893</v>
      </c>
      <c r="BF672" t="str">
        <f>HYPERLINK("http://dx.doi.org/10.1016/j.quaint.2013.07.020","http://dx.doi.org/10.1016/j.quaint.2013.07.020")</f>
        <v>http://dx.doi.org/10.1016/j.quaint.2013.07.020</v>
      </c>
      <c r="BG672" t="s">
        <v>74</v>
      </c>
      <c r="BH672" t="s">
        <v>74</v>
      </c>
      <c r="BI672">
        <v>11</v>
      </c>
      <c r="BJ672" t="s">
        <v>372</v>
      </c>
      <c r="BK672" t="s">
        <v>91</v>
      </c>
      <c r="BL672" t="s">
        <v>373</v>
      </c>
      <c r="BM672" t="s">
        <v>12894</v>
      </c>
      <c r="BN672" t="s">
        <v>74</v>
      </c>
      <c r="BO672" t="s">
        <v>74</v>
      </c>
      <c r="BP672" t="s">
        <v>74</v>
      </c>
      <c r="BQ672" t="s">
        <v>74</v>
      </c>
      <c r="BR672" t="s">
        <v>93</v>
      </c>
      <c r="BS672" t="s">
        <v>12895</v>
      </c>
      <c r="BT672" t="str">
        <f>HYPERLINK("https%3A%2F%2Fwww.webofscience.com%2Fwos%2Fwoscc%2Ffull-record%2FWOS:000345522100014","View Full Record in Web of Science")</f>
        <v>View Full Record in Web of Science</v>
      </c>
    </row>
    <row r="673" spans="1:72" x14ac:dyDescent="0.15">
      <c r="A673" t="s">
        <v>72</v>
      </c>
      <c r="B673" t="s">
        <v>12896</v>
      </c>
      <c r="C673" t="s">
        <v>74</v>
      </c>
      <c r="D673" t="s">
        <v>74</v>
      </c>
      <c r="E673" t="s">
        <v>74</v>
      </c>
      <c r="F673" t="s">
        <v>12897</v>
      </c>
      <c r="G673" t="s">
        <v>74</v>
      </c>
      <c r="H673" t="s">
        <v>74</v>
      </c>
      <c r="I673" t="s">
        <v>12898</v>
      </c>
      <c r="J673" t="s">
        <v>9084</v>
      </c>
      <c r="K673" t="s">
        <v>74</v>
      </c>
      <c r="L673" t="s">
        <v>74</v>
      </c>
      <c r="M673" t="s">
        <v>78</v>
      </c>
      <c r="N673" t="s">
        <v>99</v>
      </c>
      <c r="O673" t="s">
        <v>74</v>
      </c>
      <c r="P673" t="s">
        <v>74</v>
      </c>
      <c r="Q673" t="s">
        <v>74</v>
      </c>
      <c r="R673" t="s">
        <v>74</v>
      </c>
      <c r="S673" t="s">
        <v>74</v>
      </c>
      <c r="T673" t="s">
        <v>74</v>
      </c>
      <c r="U673" t="s">
        <v>12899</v>
      </c>
      <c r="V673" t="s">
        <v>12900</v>
      </c>
      <c r="W673" t="s">
        <v>12901</v>
      </c>
      <c r="X673" t="s">
        <v>12902</v>
      </c>
      <c r="Y673" t="s">
        <v>12903</v>
      </c>
      <c r="Z673" t="s">
        <v>12904</v>
      </c>
      <c r="AA673" t="s">
        <v>12905</v>
      </c>
      <c r="AB673" t="s">
        <v>12906</v>
      </c>
      <c r="AC673" t="s">
        <v>12907</v>
      </c>
      <c r="AD673" t="s">
        <v>12908</v>
      </c>
      <c r="AE673" t="s">
        <v>12909</v>
      </c>
      <c r="AF673" t="s">
        <v>74</v>
      </c>
      <c r="AG673">
        <v>64</v>
      </c>
      <c r="AH673">
        <v>240</v>
      </c>
      <c r="AI673">
        <v>268</v>
      </c>
      <c r="AJ673">
        <v>3</v>
      </c>
      <c r="AK673">
        <v>76</v>
      </c>
      <c r="AL673" t="s">
        <v>9093</v>
      </c>
      <c r="AM673" t="s">
        <v>9094</v>
      </c>
      <c r="AN673" t="s">
        <v>9095</v>
      </c>
      <c r="AO673" t="s">
        <v>9096</v>
      </c>
      <c r="AP673" t="s">
        <v>74</v>
      </c>
      <c r="AQ673" t="s">
        <v>74</v>
      </c>
      <c r="AR673" t="s">
        <v>9084</v>
      </c>
      <c r="AS673" t="s">
        <v>9097</v>
      </c>
      <c r="AT673" t="s">
        <v>12910</v>
      </c>
      <c r="AU673">
        <v>2014</v>
      </c>
      <c r="AV673">
        <v>9</v>
      </c>
      <c r="AW673">
        <v>11</v>
      </c>
      <c r="AX673" t="s">
        <v>74</v>
      </c>
      <c r="AY673" t="s">
        <v>74</v>
      </c>
      <c r="AZ673" t="s">
        <v>74</v>
      </c>
      <c r="BA673" t="s">
        <v>74</v>
      </c>
      <c r="BB673" t="s">
        <v>74</v>
      </c>
      <c r="BC673" t="s">
        <v>74</v>
      </c>
      <c r="BD673" t="s">
        <v>12911</v>
      </c>
      <c r="BE673" t="s">
        <v>12912</v>
      </c>
      <c r="BF673" t="str">
        <f>HYPERLINK("http://dx.doi.org/10.1371/journal.pone.0113749","http://dx.doi.org/10.1371/journal.pone.0113749")</f>
        <v>http://dx.doi.org/10.1371/journal.pone.0113749</v>
      </c>
      <c r="BG673" t="s">
        <v>74</v>
      </c>
      <c r="BH673" t="s">
        <v>74</v>
      </c>
      <c r="BI673">
        <v>21</v>
      </c>
      <c r="BJ673" t="s">
        <v>201</v>
      </c>
      <c r="BK673" t="s">
        <v>91</v>
      </c>
      <c r="BL673" t="s">
        <v>203</v>
      </c>
      <c r="BM673" t="s">
        <v>12913</v>
      </c>
      <c r="BN673">
        <v>25420020</v>
      </c>
      <c r="BO673" t="s">
        <v>8563</v>
      </c>
      <c r="BP673" t="s">
        <v>74</v>
      </c>
      <c r="BQ673" t="s">
        <v>74</v>
      </c>
      <c r="BR673" t="s">
        <v>93</v>
      </c>
      <c r="BS673" t="s">
        <v>12914</v>
      </c>
      <c r="BT673" t="str">
        <f>HYPERLINK("https%3A%2F%2Fwww.webofscience.com%2Fwos%2Fwoscc%2Ffull-record%2FWOS:000346766900068","View Full Record in Web of Science")</f>
        <v>View Full Record in Web of Science</v>
      </c>
    </row>
    <row r="674" spans="1:72" x14ac:dyDescent="0.15">
      <c r="A674" t="s">
        <v>72</v>
      </c>
      <c r="B674" t="s">
        <v>12915</v>
      </c>
      <c r="C674" t="s">
        <v>74</v>
      </c>
      <c r="D674" t="s">
        <v>74</v>
      </c>
      <c r="E674" t="s">
        <v>74</v>
      </c>
      <c r="F674" t="s">
        <v>12916</v>
      </c>
      <c r="G674" t="s">
        <v>74</v>
      </c>
      <c r="H674" t="s">
        <v>74</v>
      </c>
      <c r="I674" t="s">
        <v>12917</v>
      </c>
      <c r="J674" t="s">
        <v>12918</v>
      </c>
      <c r="K674" t="s">
        <v>74</v>
      </c>
      <c r="L674" t="s">
        <v>74</v>
      </c>
      <c r="M674" t="s">
        <v>78</v>
      </c>
      <c r="N674" t="s">
        <v>99</v>
      </c>
      <c r="O674" t="s">
        <v>74</v>
      </c>
      <c r="P674" t="s">
        <v>74</v>
      </c>
      <c r="Q674" t="s">
        <v>74</v>
      </c>
      <c r="R674" t="s">
        <v>74</v>
      </c>
      <c r="S674" t="s">
        <v>74</v>
      </c>
      <c r="T674" t="s">
        <v>12919</v>
      </c>
      <c r="U674" t="s">
        <v>12920</v>
      </c>
      <c r="V674" t="s">
        <v>12921</v>
      </c>
      <c r="W674" t="s">
        <v>12922</v>
      </c>
      <c r="X674" t="s">
        <v>12923</v>
      </c>
      <c r="Y674" t="s">
        <v>12924</v>
      </c>
      <c r="Z674" t="s">
        <v>12925</v>
      </c>
      <c r="AA674" t="s">
        <v>12926</v>
      </c>
      <c r="AB674" t="s">
        <v>12927</v>
      </c>
      <c r="AC674" t="s">
        <v>12928</v>
      </c>
      <c r="AD674" t="s">
        <v>12929</v>
      </c>
      <c r="AE674" t="s">
        <v>12930</v>
      </c>
      <c r="AF674" t="s">
        <v>74</v>
      </c>
      <c r="AG674">
        <v>80</v>
      </c>
      <c r="AH674">
        <v>14</v>
      </c>
      <c r="AI674">
        <v>16</v>
      </c>
      <c r="AJ674">
        <v>2</v>
      </c>
      <c r="AK674">
        <v>60</v>
      </c>
      <c r="AL674" t="s">
        <v>2640</v>
      </c>
      <c r="AM674" t="s">
        <v>1176</v>
      </c>
      <c r="AN674" t="s">
        <v>2641</v>
      </c>
      <c r="AO674" t="s">
        <v>12931</v>
      </c>
      <c r="AP674" t="s">
        <v>12932</v>
      </c>
      <c r="AQ674" t="s">
        <v>74</v>
      </c>
      <c r="AR674" t="s">
        <v>12933</v>
      </c>
      <c r="AS674" t="s">
        <v>12934</v>
      </c>
      <c r="AT674" t="s">
        <v>12935</v>
      </c>
      <c r="AU674">
        <v>2014</v>
      </c>
      <c r="AV674">
        <v>388</v>
      </c>
      <c r="AW674" t="s">
        <v>74</v>
      </c>
      <c r="AX674" t="s">
        <v>74</v>
      </c>
      <c r="AY674" t="s">
        <v>74</v>
      </c>
      <c r="AZ674" t="s">
        <v>74</v>
      </c>
      <c r="BA674" t="s">
        <v>74</v>
      </c>
      <c r="BB674">
        <v>78</v>
      </c>
      <c r="BC674">
        <v>86</v>
      </c>
      <c r="BD674" t="s">
        <v>74</v>
      </c>
      <c r="BE674" t="s">
        <v>12936</v>
      </c>
      <c r="BF674" t="str">
        <f>HYPERLINK("http://dx.doi.org/10.1016/j.chemgeo.2014.08.028","http://dx.doi.org/10.1016/j.chemgeo.2014.08.028")</f>
        <v>http://dx.doi.org/10.1016/j.chemgeo.2014.08.028</v>
      </c>
      <c r="BG674" t="s">
        <v>74</v>
      </c>
      <c r="BH674" t="s">
        <v>74</v>
      </c>
      <c r="BI674">
        <v>9</v>
      </c>
      <c r="BJ674" t="s">
        <v>1902</v>
      </c>
      <c r="BK674" t="s">
        <v>91</v>
      </c>
      <c r="BL674" t="s">
        <v>1902</v>
      </c>
      <c r="BM674" t="s">
        <v>12937</v>
      </c>
      <c r="BN674" t="s">
        <v>74</v>
      </c>
      <c r="BO674" t="s">
        <v>74</v>
      </c>
      <c r="BP674" t="s">
        <v>74</v>
      </c>
      <c r="BQ674" t="s">
        <v>74</v>
      </c>
      <c r="BR674" t="s">
        <v>93</v>
      </c>
      <c r="BS674" t="s">
        <v>12938</v>
      </c>
      <c r="BT674" t="str">
        <f>HYPERLINK("https%3A%2F%2Fwww.webofscience.com%2Fwos%2Fwoscc%2Ffull-record%2FWOS:000345441500008","View Full Record in Web of Science")</f>
        <v>View Full Record in Web of Science</v>
      </c>
    </row>
    <row r="675" spans="1:72" x14ac:dyDescent="0.15">
      <c r="A675" t="s">
        <v>72</v>
      </c>
      <c r="B675" t="s">
        <v>12939</v>
      </c>
      <c r="C675" t="s">
        <v>74</v>
      </c>
      <c r="D675" t="s">
        <v>74</v>
      </c>
      <c r="E675" t="s">
        <v>74</v>
      </c>
      <c r="F675" t="s">
        <v>12940</v>
      </c>
      <c r="G675" t="s">
        <v>74</v>
      </c>
      <c r="H675" t="s">
        <v>74</v>
      </c>
      <c r="I675" t="s">
        <v>12941</v>
      </c>
      <c r="J675" t="s">
        <v>12942</v>
      </c>
      <c r="K675" t="s">
        <v>74</v>
      </c>
      <c r="L675" t="s">
        <v>74</v>
      </c>
      <c r="M675" t="s">
        <v>78</v>
      </c>
      <c r="N675" t="s">
        <v>99</v>
      </c>
      <c r="O675" t="s">
        <v>74</v>
      </c>
      <c r="P675" t="s">
        <v>74</v>
      </c>
      <c r="Q675" t="s">
        <v>74</v>
      </c>
      <c r="R675" t="s">
        <v>74</v>
      </c>
      <c r="S675" t="s">
        <v>74</v>
      </c>
      <c r="T675" t="s">
        <v>12943</v>
      </c>
      <c r="U675" t="s">
        <v>12944</v>
      </c>
      <c r="V675" t="s">
        <v>12945</v>
      </c>
      <c r="W675" t="s">
        <v>12946</v>
      </c>
      <c r="X675" t="s">
        <v>12947</v>
      </c>
      <c r="Y675" t="s">
        <v>12948</v>
      </c>
      <c r="Z675" t="s">
        <v>12949</v>
      </c>
      <c r="AA675" t="s">
        <v>12950</v>
      </c>
      <c r="AB675" t="s">
        <v>12951</v>
      </c>
      <c r="AC675" t="s">
        <v>12952</v>
      </c>
      <c r="AD675" t="s">
        <v>12953</v>
      </c>
      <c r="AE675" t="s">
        <v>12954</v>
      </c>
      <c r="AF675" t="s">
        <v>74</v>
      </c>
      <c r="AG675">
        <v>32</v>
      </c>
      <c r="AH675">
        <v>12</v>
      </c>
      <c r="AI675">
        <v>13</v>
      </c>
      <c r="AJ675">
        <v>0</v>
      </c>
      <c r="AK675">
        <v>12</v>
      </c>
      <c r="AL675" t="s">
        <v>5958</v>
      </c>
      <c r="AM675" t="s">
        <v>5959</v>
      </c>
      <c r="AN675" t="s">
        <v>12955</v>
      </c>
      <c r="AO675" t="s">
        <v>12956</v>
      </c>
      <c r="AP675" t="s">
        <v>74</v>
      </c>
      <c r="AQ675" t="s">
        <v>74</v>
      </c>
      <c r="AR675" t="s">
        <v>12957</v>
      </c>
      <c r="AS675" t="s">
        <v>12958</v>
      </c>
      <c r="AT675" t="s">
        <v>12935</v>
      </c>
      <c r="AU675">
        <v>2014</v>
      </c>
      <c r="AV675">
        <v>5</v>
      </c>
      <c r="AW675" t="s">
        <v>74</v>
      </c>
      <c r="AX675" t="s">
        <v>74</v>
      </c>
      <c r="AY675" t="s">
        <v>74</v>
      </c>
      <c r="AZ675" t="s">
        <v>74</v>
      </c>
      <c r="BA675" t="s">
        <v>74</v>
      </c>
      <c r="BB675" t="s">
        <v>74</v>
      </c>
      <c r="BC675" t="s">
        <v>74</v>
      </c>
      <c r="BD675">
        <v>452</v>
      </c>
      <c r="BE675" t="s">
        <v>12959</v>
      </c>
      <c r="BF675" t="str">
        <f>HYPERLINK("http://dx.doi.org/10.3389/fphys.2014.00452","http://dx.doi.org/10.3389/fphys.2014.00452")</f>
        <v>http://dx.doi.org/10.3389/fphys.2014.00452</v>
      </c>
      <c r="BG675" t="s">
        <v>74</v>
      </c>
      <c r="BH675" t="s">
        <v>74</v>
      </c>
      <c r="BI675">
        <v>7</v>
      </c>
      <c r="BJ675" t="s">
        <v>5872</v>
      </c>
      <c r="BK675" t="s">
        <v>91</v>
      </c>
      <c r="BL675" t="s">
        <v>5872</v>
      </c>
      <c r="BM675" t="s">
        <v>12960</v>
      </c>
      <c r="BN675">
        <v>25484869</v>
      </c>
      <c r="BO675" t="s">
        <v>4459</v>
      </c>
      <c r="BP675" t="s">
        <v>74</v>
      </c>
      <c r="BQ675" t="s">
        <v>74</v>
      </c>
      <c r="BR675" t="s">
        <v>93</v>
      </c>
      <c r="BS675" t="s">
        <v>12961</v>
      </c>
      <c r="BT675" t="str">
        <f>HYPERLINK("https%3A%2F%2Fwww.webofscience.com%2Fwos%2Fwoscc%2Ffull-record%2FWOS:000347213100001","View Full Record in Web of Science")</f>
        <v>View Full Record in Web of Science</v>
      </c>
    </row>
    <row r="676" spans="1:72" x14ac:dyDescent="0.15">
      <c r="A676" t="s">
        <v>72</v>
      </c>
      <c r="B676" t="s">
        <v>12962</v>
      </c>
      <c r="C676" t="s">
        <v>74</v>
      </c>
      <c r="D676" t="s">
        <v>74</v>
      </c>
      <c r="E676" t="s">
        <v>74</v>
      </c>
      <c r="F676" t="s">
        <v>12963</v>
      </c>
      <c r="G676" t="s">
        <v>74</v>
      </c>
      <c r="H676" t="s">
        <v>74</v>
      </c>
      <c r="I676" t="s">
        <v>12964</v>
      </c>
      <c r="J676" t="s">
        <v>12965</v>
      </c>
      <c r="K676" t="s">
        <v>74</v>
      </c>
      <c r="L676" t="s">
        <v>74</v>
      </c>
      <c r="M676" t="s">
        <v>78</v>
      </c>
      <c r="N676" t="s">
        <v>454</v>
      </c>
      <c r="O676" t="s">
        <v>74</v>
      </c>
      <c r="P676" t="s">
        <v>74</v>
      </c>
      <c r="Q676" t="s">
        <v>74</v>
      </c>
      <c r="R676" t="s">
        <v>74</v>
      </c>
      <c r="S676" t="s">
        <v>74</v>
      </c>
      <c r="T676" t="s">
        <v>12966</v>
      </c>
      <c r="U676" t="s">
        <v>12967</v>
      </c>
      <c r="V676" t="s">
        <v>12968</v>
      </c>
      <c r="W676" t="s">
        <v>12969</v>
      </c>
      <c r="X676" t="s">
        <v>12970</v>
      </c>
      <c r="Y676" t="s">
        <v>12971</v>
      </c>
      <c r="Z676" t="s">
        <v>12972</v>
      </c>
      <c r="AA676" t="s">
        <v>12973</v>
      </c>
      <c r="AB676" t="s">
        <v>12974</v>
      </c>
      <c r="AC676" t="s">
        <v>12975</v>
      </c>
      <c r="AD676" t="s">
        <v>12976</v>
      </c>
      <c r="AE676" t="s">
        <v>12977</v>
      </c>
      <c r="AF676" t="s">
        <v>74</v>
      </c>
      <c r="AG676">
        <v>138</v>
      </c>
      <c r="AH676">
        <v>44</v>
      </c>
      <c r="AI676">
        <v>49</v>
      </c>
      <c r="AJ676">
        <v>5</v>
      </c>
      <c r="AK676">
        <v>195</v>
      </c>
      <c r="AL676" t="s">
        <v>1175</v>
      </c>
      <c r="AM676" t="s">
        <v>1176</v>
      </c>
      <c r="AN676" t="s">
        <v>2938</v>
      </c>
      <c r="AO676" t="s">
        <v>12978</v>
      </c>
      <c r="AP676" t="s">
        <v>12979</v>
      </c>
      <c r="AQ676" t="s">
        <v>74</v>
      </c>
      <c r="AR676" t="s">
        <v>12980</v>
      </c>
      <c r="AS676" t="s">
        <v>12981</v>
      </c>
      <c r="AT676" t="s">
        <v>12982</v>
      </c>
      <c r="AU676">
        <v>2014</v>
      </c>
      <c r="AV676">
        <v>166</v>
      </c>
      <c r="AW676" t="s">
        <v>74</v>
      </c>
      <c r="AX676" t="s">
        <v>74</v>
      </c>
      <c r="AY676" t="s">
        <v>74</v>
      </c>
      <c r="AZ676" t="s">
        <v>74</v>
      </c>
      <c r="BA676" t="s">
        <v>74</v>
      </c>
      <c r="BB676">
        <v>25</v>
      </c>
      <c r="BC676">
        <v>35</v>
      </c>
      <c r="BD676" t="s">
        <v>74</v>
      </c>
      <c r="BE676" t="s">
        <v>12983</v>
      </c>
      <c r="BF676" t="str">
        <f>HYPERLINK("http://dx.doi.org/10.1016/j.marchem.2014.08.009","http://dx.doi.org/10.1016/j.marchem.2014.08.009")</f>
        <v>http://dx.doi.org/10.1016/j.marchem.2014.08.009</v>
      </c>
      <c r="BG676" t="s">
        <v>74</v>
      </c>
      <c r="BH676" t="s">
        <v>74</v>
      </c>
      <c r="BI676">
        <v>11</v>
      </c>
      <c r="BJ676" t="s">
        <v>12984</v>
      </c>
      <c r="BK676" t="s">
        <v>91</v>
      </c>
      <c r="BL676" t="s">
        <v>12985</v>
      </c>
      <c r="BM676" t="s">
        <v>12986</v>
      </c>
      <c r="BN676" t="s">
        <v>74</v>
      </c>
      <c r="BO676" t="s">
        <v>2056</v>
      </c>
      <c r="BP676" t="s">
        <v>74</v>
      </c>
      <c r="BQ676" t="s">
        <v>74</v>
      </c>
      <c r="BR676" t="s">
        <v>93</v>
      </c>
      <c r="BS676" t="s">
        <v>12987</v>
      </c>
      <c r="BT676" t="str">
        <f>HYPERLINK("https%3A%2F%2Fwww.webofscience.com%2Fwos%2Fwoscc%2Ffull-record%2FWOS:000345060500003","View Full Record in Web of Science")</f>
        <v>View Full Record in Web of Science</v>
      </c>
    </row>
    <row r="677" spans="1:72" x14ac:dyDescent="0.15">
      <c r="A677" t="s">
        <v>72</v>
      </c>
      <c r="B677" t="s">
        <v>12988</v>
      </c>
      <c r="C677" t="s">
        <v>74</v>
      </c>
      <c r="D677" t="s">
        <v>74</v>
      </c>
      <c r="E677" t="s">
        <v>74</v>
      </c>
      <c r="F677" t="s">
        <v>12989</v>
      </c>
      <c r="G677" t="s">
        <v>74</v>
      </c>
      <c r="H677" t="s">
        <v>12990</v>
      </c>
      <c r="I677" t="s">
        <v>12991</v>
      </c>
      <c r="J677" t="s">
        <v>9038</v>
      </c>
      <c r="K677" t="s">
        <v>74</v>
      </c>
      <c r="L677" t="s">
        <v>74</v>
      </c>
      <c r="M677" t="s">
        <v>78</v>
      </c>
      <c r="N677" t="s">
        <v>99</v>
      </c>
      <c r="O677" t="s">
        <v>74</v>
      </c>
      <c r="P677" t="s">
        <v>74</v>
      </c>
      <c r="Q677" t="s">
        <v>74</v>
      </c>
      <c r="R677" t="s">
        <v>74</v>
      </c>
      <c r="S677" t="s">
        <v>74</v>
      </c>
      <c r="T677" t="s">
        <v>12992</v>
      </c>
      <c r="U677" t="s">
        <v>12993</v>
      </c>
      <c r="V677" t="s">
        <v>12994</v>
      </c>
      <c r="W677" t="s">
        <v>12995</v>
      </c>
      <c r="X677" t="s">
        <v>12996</v>
      </c>
      <c r="Y677" t="s">
        <v>12997</v>
      </c>
      <c r="Z677" t="s">
        <v>12998</v>
      </c>
      <c r="AA677" t="s">
        <v>12999</v>
      </c>
      <c r="AB677" t="s">
        <v>13000</v>
      </c>
      <c r="AC677" t="s">
        <v>13001</v>
      </c>
      <c r="AD677" t="s">
        <v>13002</v>
      </c>
      <c r="AE677" t="s">
        <v>13003</v>
      </c>
      <c r="AF677" t="s">
        <v>74</v>
      </c>
      <c r="AG677">
        <v>124</v>
      </c>
      <c r="AH677">
        <v>35</v>
      </c>
      <c r="AI677">
        <v>44</v>
      </c>
      <c r="AJ677">
        <v>0</v>
      </c>
      <c r="AK677">
        <v>134</v>
      </c>
      <c r="AL677" t="s">
        <v>5958</v>
      </c>
      <c r="AM677" t="s">
        <v>5959</v>
      </c>
      <c r="AN677" t="s">
        <v>5960</v>
      </c>
      <c r="AO677" t="s">
        <v>74</v>
      </c>
      <c r="AP677" t="s">
        <v>9051</v>
      </c>
      <c r="AQ677" t="s">
        <v>74</v>
      </c>
      <c r="AR677" t="s">
        <v>9052</v>
      </c>
      <c r="AS677" t="s">
        <v>9053</v>
      </c>
      <c r="AT677" t="s">
        <v>13004</v>
      </c>
      <c r="AU677">
        <v>2014</v>
      </c>
      <c r="AV677">
        <v>5</v>
      </c>
      <c r="AW677" t="s">
        <v>74</v>
      </c>
      <c r="AX677" t="s">
        <v>74</v>
      </c>
      <c r="AY677" t="s">
        <v>74</v>
      </c>
      <c r="AZ677" t="s">
        <v>74</v>
      </c>
      <c r="BA677" t="s">
        <v>74</v>
      </c>
      <c r="BB677" t="s">
        <v>74</v>
      </c>
      <c r="BC677" t="s">
        <v>74</v>
      </c>
      <c r="BD677">
        <v>594</v>
      </c>
      <c r="BE677" t="s">
        <v>13005</v>
      </c>
      <c r="BF677" t="str">
        <f>HYPERLINK("http://dx.doi.org/10.3389/fmicb.2014.00594","http://dx.doi.org/10.3389/fmicb.2014.00594")</f>
        <v>http://dx.doi.org/10.3389/fmicb.2014.00594</v>
      </c>
      <c r="BG677" t="s">
        <v>74</v>
      </c>
      <c r="BH677" t="s">
        <v>74</v>
      </c>
      <c r="BI677">
        <v>16</v>
      </c>
      <c r="BJ677" t="s">
        <v>5926</v>
      </c>
      <c r="BK677" t="s">
        <v>91</v>
      </c>
      <c r="BL677" t="s">
        <v>5926</v>
      </c>
      <c r="BM677" t="s">
        <v>13006</v>
      </c>
      <c r="BN677">
        <v>25477865</v>
      </c>
      <c r="BO677" t="s">
        <v>1971</v>
      </c>
      <c r="BP677" t="s">
        <v>74</v>
      </c>
      <c r="BQ677" t="s">
        <v>74</v>
      </c>
      <c r="BR677" t="s">
        <v>93</v>
      </c>
      <c r="BS677" t="s">
        <v>13007</v>
      </c>
      <c r="BT677" t="str">
        <f>HYPERLINK("https%3A%2F%2Fwww.webofscience.com%2Fwos%2Fwoscc%2Ffull-record%2FWOS:000345749700001","View Full Record in Web of Science")</f>
        <v>View Full Record in Web of Science</v>
      </c>
    </row>
    <row r="678" spans="1:72" x14ac:dyDescent="0.15">
      <c r="A678" t="s">
        <v>72</v>
      </c>
      <c r="B678" t="s">
        <v>13008</v>
      </c>
      <c r="C678" t="s">
        <v>74</v>
      </c>
      <c r="D678" t="s">
        <v>74</v>
      </c>
      <c r="E678" t="s">
        <v>74</v>
      </c>
      <c r="F678" t="s">
        <v>13009</v>
      </c>
      <c r="G678" t="s">
        <v>74</v>
      </c>
      <c r="H678" t="s">
        <v>74</v>
      </c>
      <c r="I678" t="s">
        <v>13010</v>
      </c>
      <c r="J678" t="s">
        <v>13011</v>
      </c>
      <c r="K678" t="s">
        <v>74</v>
      </c>
      <c r="L678" t="s">
        <v>74</v>
      </c>
      <c r="M678" t="s">
        <v>78</v>
      </c>
      <c r="N678" t="s">
        <v>99</v>
      </c>
      <c r="O678" t="s">
        <v>74</v>
      </c>
      <c r="P678" t="s">
        <v>74</v>
      </c>
      <c r="Q678" t="s">
        <v>74</v>
      </c>
      <c r="R678" t="s">
        <v>74</v>
      </c>
      <c r="S678" t="s">
        <v>74</v>
      </c>
      <c r="T678" t="s">
        <v>13012</v>
      </c>
      <c r="U678" t="s">
        <v>13013</v>
      </c>
      <c r="V678" t="s">
        <v>13014</v>
      </c>
      <c r="W678" t="s">
        <v>13015</v>
      </c>
      <c r="X678" t="s">
        <v>13016</v>
      </c>
      <c r="Y678" t="s">
        <v>13017</v>
      </c>
      <c r="Z678" t="s">
        <v>13018</v>
      </c>
      <c r="AA678" t="s">
        <v>13019</v>
      </c>
      <c r="AB678" t="s">
        <v>13020</v>
      </c>
      <c r="AC678" t="s">
        <v>13021</v>
      </c>
      <c r="AD678" t="s">
        <v>13022</v>
      </c>
      <c r="AE678" t="s">
        <v>13023</v>
      </c>
      <c r="AF678" t="s">
        <v>74</v>
      </c>
      <c r="AG678">
        <v>75</v>
      </c>
      <c r="AH678">
        <v>24</v>
      </c>
      <c r="AI678">
        <v>25</v>
      </c>
      <c r="AJ678">
        <v>0</v>
      </c>
      <c r="AK678">
        <v>12</v>
      </c>
      <c r="AL678" t="s">
        <v>3854</v>
      </c>
      <c r="AM678" t="s">
        <v>3855</v>
      </c>
      <c r="AN678" t="s">
        <v>3856</v>
      </c>
      <c r="AO678" t="s">
        <v>13024</v>
      </c>
      <c r="AP678" t="s">
        <v>74</v>
      </c>
      <c r="AQ678" t="s">
        <v>74</v>
      </c>
      <c r="AR678" t="s">
        <v>13025</v>
      </c>
      <c r="AS678" t="s">
        <v>13026</v>
      </c>
      <c r="AT678" t="s">
        <v>13027</v>
      </c>
      <c r="AU678">
        <v>2014</v>
      </c>
      <c r="AV678">
        <v>4</v>
      </c>
      <c r="AW678" t="s">
        <v>74</v>
      </c>
      <c r="AX678" t="s">
        <v>74</v>
      </c>
      <c r="AY678" t="s">
        <v>74</v>
      </c>
      <c r="AZ678" t="s">
        <v>74</v>
      </c>
      <c r="BA678" t="s">
        <v>74</v>
      </c>
      <c r="BB678" t="s">
        <v>74</v>
      </c>
      <c r="BC678" t="s">
        <v>74</v>
      </c>
      <c r="BD678" t="s">
        <v>13028</v>
      </c>
      <c r="BE678" t="s">
        <v>13029</v>
      </c>
      <c r="BF678" t="str">
        <f>HYPERLINK("http://dx.doi.org/10.1051/swsc/2014030","http://dx.doi.org/10.1051/swsc/2014030")</f>
        <v>http://dx.doi.org/10.1051/swsc/2014030</v>
      </c>
      <c r="BG678" t="s">
        <v>74</v>
      </c>
      <c r="BH678" t="s">
        <v>74</v>
      </c>
      <c r="BI678">
        <v>16</v>
      </c>
      <c r="BJ678" t="s">
        <v>13030</v>
      </c>
      <c r="BK678" t="s">
        <v>91</v>
      </c>
      <c r="BL678" t="s">
        <v>13030</v>
      </c>
      <c r="BM678" t="s">
        <v>13031</v>
      </c>
      <c r="BN678" t="s">
        <v>74</v>
      </c>
      <c r="BO678" t="s">
        <v>2099</v>
      </c>
      <c r="BP678" t="s">
        <v>74</v>
      </c>
      <c r="BQ678" t="s">
        <v>74</v>
      </c>
      <c r="BR678" t="s">
        <v>93</v>
      </c>
      <c r="BS678" t="s">
        <v>13032</v>
      </c>
      <c r="BT678" t="str">
        <f>HYPERLINK("https%3A%2F%2Fwww.webofscience.com%2Fwos%2Fwoscc%2Ffull-record%2FWOS:000345851600001","View Full Record in Web of Science")</f>
        <v>View Full Record in Web of Science</v>
      </c>
    </row>
    <row r="679" spans="1:72" x14ac:dyDescent="0.15">
      <c r="A679" t="s">
        <v>72</v>
      </c>
      <c r="B679" t="s">
        <v>13033</v>
      </c>
      <c r="C679" t="s">
        <v>74</v>
      </c>
      <c r="D679" t="s">
        <v>74</v>
      </c>
      <c r="E679" t="s">
        <v>74</v>
      </c>
      <c r="F679" t="s">
        <v>13034</v>
      </c>
      <c r="G679" t="s">
        <v>74</v>
      </c>
      <c r="H679" t="s">
        <v>74</v>
      </c>
      <c r="I679" t="s">
        <v>13035</v>
      </c>
      <c r="J679" t="s">
        <v>8926</v>
      </c>
      <c r="K679" t="s">
        <v>74</v>
      </c>
      <c r="L679" t="s">
        <v>74</v>
      </c>
      <c r="M679" t="s">
        <v>78</v>
      </c>
      <c r="N679" t="s">
        <v>99</v>
      </c>
      <c r="O679" t="s">
        <v>74</v>
      </c>
      <c r="P679" t="s">
        <v>74</v>
      </c>
      <c r="Q679" t="s">
        <v>74</v>
      </c>
      <c r="R679" t="s">
        <v>74</v>
      </c>
      <c r="S679" t="s">
        <v>74</v>
      </c>
      <c r="T679" t="s">
        <v>13036</v>
      </c>
      <c r="U679" t="s">
        <v>13037</v>
      </c>
      <c r="V679" t="s">
        <v>13038</v>
      </c>
      <c r="W679" t="s">
        <v>13039</v>
      </c>
      <c r="X679" t="s">
        <v>13040</v>
      </c>
      <c r="Y679" t="s">
        <v>13041</v>
      </c>
      <c r="Z679" t="s">
        <v>13042</v>
      </c>
      <c r="AA679" t="s">
        <v>13043</v>
      </c>
      <c r="AB679" t="s">
        <v>13044</v>
      </c>
      <c r="AC679" t="s">
        <v>13045</v>
      </c>
      <c r="AD679" t="s">
        <v>3746</v>
      </c>
      <c r="AE679" t="s">
        <v>13046</v>
      </c>
      <c r="AF679" t="s">
        <v>74</v>
      </c>
      <c r="AG679">
        <v>57</v>
      </c>
      <c r="AH679">
        <v>50</v>
      </c>
      <c r="AI679">
        <v>57</v>
      </c>
      <c r="AJ679">
        <v>2</v>
      </c>
      <c r="AK679">
        <v>29</v>
      </c>
      <c r="AL679" t="s">
        <v>1945</v>
      </c>
      <c r="AM679" t="s">
        <v>1946</v>
      </c>
      <c r="AN679" t="s">
        <v>1947</v>
      </c>
      <c r="AO679" t="s">
        <v>8938</v>
      </c>
      <c r="AP679" t="s">
        <v>8939</v>
      </c>
      <c r="AQ679" t="s">
        <v>74</v>
      </c>
      <c r="AR679" t="s">
        <v>8940</v>
      </c>
      <c r="AS679" t="s">
        <v>8941</v>
      </c>
      <c r="AT679" t="s">
        <v>13047</v>
      </c>
      <c r="AU679">
        <v>2014</v>
      </c>
      <c r="AV679">
        <v>119</v>
      </c>
      <c r="AW679">
        <v>21</v>
      </c>
      <c r="AX679" t="s">
        <v>74</v>
      </c>
      <c r="AY679" t="s">
        <v>74</v>
      </c>
      <c r="AZ679" t="s">
        <v>74</v>
      </c>
      <c r="BA679" t="s">
        <v>74</v>
      </c>
      <c r="BB679">
        <v>11973</v>
      </c>
      <c r="BC679">
        <v>11996</v>
      </c>
      <c r="BD679" t="s">
        <v>74</v>
      </c>
      <c r="BE679" t="s">
        <v>13048</v>
      </c>
      <c r="BF679" t="str">
        <f>HYPERLINK("http://dx.doi.org/10.1002/2014JD022448","http://dx.doi.org/10.1002/2014JD022448")</f>
        <v>http://dx.doi.org/10.1002/2014JD022448</v>
      </c>
      <c r="BG679" t="s">
        <v>74</v>
      </c>
      <c r="BH679" t="s">
        <v>74</v>
      </c>
      <c r="BI679">
        <v>24</v>
      </c>
      <c r="BJ679" t="s">
        <v>226</v>
      </c>
      <c r="BK679" t="s">
        <v>91</v>
      </c>
      <c r="BL679" t="s">
        <v>226</v>
      </c>
      <c r="BM679" t="s">
        <v>13049</v>
      </c>
      <c r="BN679" t="s">
        <v>74</v>
      </c>
      <c r="BO679" t="s">
        <v>6776</v>
      </c>
      <c r="BP679" t="s">
        <v>74</v>
      </c>
      <c r="BQ679" t="s">
        <v>74</v>
      </c>
      <c r="BR679" t="s">
        <v>93</v>
      </c>
      <c r="BS679" t="s">
        <v>13050</v>
      </c>
      <c r="BT679" t="str">
        <f>HYPERLINK("https%3A%2F%2Fwww.webofscience.com%2Fwos%2Fwoscc%2Ffull-record%2FWOS:000345696600001","View Full Record in Web of Science")</f>
        <v>View Full Record in Web of Science</v>
      </c>
    </row>
    <row r="680" spans="1:72" x14ac:dyDescent="0.15">
      <c r="A680" t="s">
        <v>72</v>
      </c>
      <c r="B680" t="s">
        <v>13051</v>
      </c>
      <c r="C680" t="s">
        <v>74</v>
      </c>
      <c r="D680" t="s">
        <v>74</v>
      </c>
      <c r="E680" t="s">
        <v>74</v>
      </c>
      <c r="F680" t="s">
        <v>13052</v>
      </c>
      <c r="G680" t="s">
        <v>74</v>
      </c>
      <c r="H680" t="s">
        <v>74</v>
      </c>
      <c r="I680" t="s">
        <v>13053</v>
      </c>
      <c r="J680" t="s">
        <v>8813</v>
      </c>
      <c r="K680" t="s">
        <v>74</v>
      </c>
      <c r="L680" t="s">
        <v>74</v>
      </c>
      <c r="M680" t="s">
        <v>78</v>
      </c>
      <c r="N680" t="s">
        <v>99</v>
      </c>
      <c r="O680" t="s">
        <v>74</v>
      </c>
      <c r="P680" t="s">
        <v>74</v>
      </c>
      <c r="Q680" t="s">
        <v>74</v>
      </c>
      <c r="R680" t="s">
        <v>74</v>
      </c>
      <c r="S680" t="s">
        <v>74</v>
      </c>
      <c r="T680" t="s">
        <v>74</v>
      </c>
      <c r="U680" t="s">
        <v>13054</v>
      </c>
      <c r="V680" t="s">
        <v>13055</v>
      </c>
      <c r="W680" t="s">
        <v>13056</v>
      </c>
      <c r="X680" t="s">
        <v>13057</v>
      </c>
      <c r="Y680" t="s">
        <v>13058</v>
      </c>
      <c r="Z680" t="s">
        <v>13059</v>
      </c>
      <c r="AA680" t="s">
        <v>13060</v>
      </c>
      <c r="AB680" t="s">
        <v>13061</v>
      </c>
      <c r="AC680" t="s">
        <v>13062</v>
      </c>
      <c r="AD680" t="s">
        <v>13063</v>
      </c>
      <c r="AE680" t="s">
        <v>13064</v>
      </c>
      <c r="AF680" t="s">
        <v>74</v>
      </c>
      <c r="AG680">
        <v>55</v>
      </c>
      <c r="AH680">
        <v>9</v>
      </c>
      <c r="AI680">
        <v>9</v>
      </c>
      <c r="AJ680">
        <v>0</v>
      </c>
      <c r="AK680">
        <v>8</v>
      </c>
      <c r="AL680" t="s">
        <v>1945</v>
      </c>
      <c r="AM680" t="s">
        <v>1946</v>
      </c>
      <c r="AN680" t="s">
        <v>1947</v>
      </c>
      <c r="AO680" t="s">
        <v>8826</v>
      </c>
      <c r="AP680" t="s">
        <v>8827</v>
      </c>
      <c r="AQ680" t="s">
        <v>74</v>
      </c>
      <c r="AR680" t="s">
        <v>8828</v>
      </c>
      <c r="AS680" t="s">
        <v>8829</v>
      </c>
      <c r="AT680" t="s">
        <v>13047</v>
      </c>
      <c r="AU680">
        <v>2014</v>
      </c>
      <c r="AV680">
        <v>41</v>
      </c>
      <c r="AW680">
        <v>21</v>
      </c>
      <c r="AX680" t="s">
        <v>74</v>
      </c>
      <c r="AY680" t="s">
        <v>74</v>
      </c>
      <c r="AZ680" t="s">
        <v>74</v>
      </c>
      <c r="BA680" t="s">
        <v>74</v>
      </c>
      <c r="BB680">
        <v>7427</v>
      </c>
      <c r="BC680">
        <v>7435</v>
      </c>
      <c r="BD680" t="s">
        <v>74</v>
      </c>
      <c r="BE680" t="s">
        <v>13065</v>
      </c>
      <c r="BF680" t="str">
        <f>HYPERLINK("http://dx.doi.org/10.1002/2014GL061679","http://dx.doi.org/10.1002/2014GL061679")</f>
        <v>http://dx.doi.org/10.1002/2014GL061679</v>
      </c>
      <c r="BG680" t="s">
        <v>74</v>
      </c>
      <c r="BH680" t="s">
        <v>74</v>
      </c>
      <c r="BI680">
        <v>9</v>
      </c>
      <c r="BJ680" t="s">
        <v>1953</v>
      </c>
      <c r="BK680" t="s">
        <v>91</v>
      </c>
      <c r="BL680" t="s">
        <v>1954</v>
      </c>
      <c r="BM680" t="s">
        <v>13066</v>
      </c>
      <c r="BN680" t="s">
        <v>74</v>
      </c>
      <c r="BO680" t="s">
        <v>2544</v>
      </c>
      <c r="BP680" t="s">
        <v>74</v>
      </c>
      <c r="BQ680" t="s">
        <v>74</v>
      </c>
      <c r="BR680" t="s">
        <v>93</v>
      </c>
      <c r="BS680" t="s">
        <v>13067</v>
      </c>
      <c r="BT680" t="str">
        <f>HYPERLINK("https%3A%2F%2Fwww.webofscience.com%2Fwos%2Fwoscc%2Ffull-record%2FWOS:000345518300003","View Full Record in Web of Science")</f>
        <v>View Full Record in Web of Science</v>
      </c>
    </row>
    <row r="681" spans="1:72" x14ac:dyDescent="0.15">
      <c r="A681" t="s">
        <v>72</v>
      </c>
      <c r="B681" t="s">
        <v>13068</v>
      </c>
      <c r="C681" t="s">
        <v>74</v>
      </c>
      <c r="D681" t="s">
        <v>74</v>
      </c>
      <c r="E681" t="s">
        <v>74</v>
      </c>
      <c r="F681" t="s">
        <v>13069</v>
      </c>
      <c r="G681" t="s">
        <v>74</v>
      </c>
      <c r="H681" t="s">
        <v>74</v>
      </c>
      <c r="I681" t="s">
        <v>13070</v>
      </c>
      <c r="J681" t="s">
        <v>8813</v>
      </c>
      <c r="K681" t="s">
        <v>74</v>
      </c>
      <c r="L681" t="s">
        <v>74</v>
      </c>
      <c r="M681" t="s">
        <v>78</v>
      </c>
      <c r="N681" t="s">
        <v>99</v>
      </c>
      <c r="O681" t="s">
        <v>74</v>
      </c>
      <c r="P681" t="s">
        <v>74</v>
      </c>
      <c r="Q681" t="s">
        <v>74</v>
      </c>
      <c r="R681" t="s">
        <v>74</v>
      </c>
      <c r="S681" t="s">
        <v>74</v>
      </c>
      <c r="T681" t="s">
        <v>74</v>
      </c>
      <c r="U681" t="s">
        <v>13071</v>
      </c>
      <c r="V681" t="s">
        <v>13072</v>
      </c>
      <c r="W681" t="s">
        <v>13073</v>
      </c>
      <c r="X681" t="s">
        <v>13074</v>
      </c>
      <c r="Y681" t="s">
        <v>13075</v>
      </c>
      <c r="Z681" t="s">
        <v>13076</v>
      </c>
      <c r="AA681" t="s">
        <v>13077</v>
      </c>
      <c r="AB681" t="s">
        <v>13078</v>
      </c>
      <c r="AC681" t="s">
        <v>13079</v>
      </c>
      <c r="AD681" t="s">
        <v>10614</v>
      </c>
      <c r="AE681" t="s">
        <v>13080</v>
      </c>
      <c r="AF681" t="s">
        <v>74</v>
      </c>
      <c r="AG681">
        <v>52</v>
      </c>
      <c r="AH681">
        <v>45</v>
      </c>
      <c r="AI681">
        <v>48</v>
      </c>
      <c r="AJ681">
        <v>1</v>
      </c>
      <c r="AK681">
        <v>27</v>
      </c>
      <c r="AL681" t="s">
        <v>1945</v>
      </c>
      <c r="AM681" t="s">
        <v>1946</v>
      </c>
      <c r="AN681" t="s">
        <v>1947</v>
      </c>
      <c r="AO681" t="s">
        <v>8826</v>
      </c>
      <c r="AP681" t="s">
        <v>8827</v>
      </c>
      <c r="AQ681" t="s">
        <v>74</v>
      </c>
      <c r="AR681" t="s">
        <v>8828</v>
      </c>
      <c r="AS681" t="s">
        <v>8829</v>
      </c>
      <c r="AT681" t="s">
        <v>13047</v>
      </c>
      <c r="AU681">
        <v>2014</v>
      </c>
      <c r="AV681">
        <v>41</v>
      </c>
      <c r="AW681">
        <v>21</v>
      </c>
      <c r="AX681" t="s">
        <v>74</v>
      </c>
      <c r="AY681" t="s">
        <v>74</v>
      </c>
      <c r="AZ681" t="s">
        <v>74</v>
      </c>
      <c r="BA681" t="s">
        <v>74</v>
      </c>
      <c r="BB681">
        <v>7576</v>
      </c>
      <c r="BC681">
        <v>7583</v>
      </c>
      <c r="BD681" t="s">
        <v>74</v>
      </c>
      <c r="BE681" t="s">
        <v>13081</v>
      </c>
      <c r="BF681" t="str">
        <f>HYPERLINK("http://dx.doi.org/10.1002/2014GL061684","http://dx.doi.org/10.1002/2014GL061684")</f>
        <v>http://dx.doi.org/10.1002/2014GL061684</v>
      </c>
      <c r="BG681" t="s">
        <v>74</v>
      </c>
      <c r="BH681" t="s">
        <v>74</v>
      </c>
      <c r="BI681">
        <v>8</v>
      </c>
      <c r="BJ681" t="s">
        <v>1953</v>
      </c>
      <c r="BK681" t="s">
        <v>91</v>
      </c>
      <c r="BL681" t="s">
        <v>1954</v>
      </c>
      <c r="BM681" t="s">
        <v>13066</v>
      </c>
      <c r="BN681" t="s">
        <v>74</v>
      </c>
      <c r="BO681" t="s">
        <v>2081</v>
      </c>
      <c r="BP681" t="s">
        <v>74</v>
      </c>
      <c r="BQ681" t="s">
        <v>74</v>
      </c>
      <c r="BR681" t="s">
        <v>93</v>
      </c>
      <c r="BS681" t="s">
        <v>13082</v>
      </c>
      <c r="BT681" t="str">
        <f>HYPERLINK("https%3A%2F%2Fwww.webofscience.com%2Fwos%2Fwoscc%2Ffull-record%2FWOS:000345518300022","View Full Record in Web of Science")</f>
        <v>View Full Record in Web of Science</v>
      </c>
    </row>
    <row r="682" spans="1:72" x14ac:dyDescent="0.15">
      <c r="A682" t="s">
        <v>72</v>
      </c>
      <c r="B682" t="s">
        <v>13083</v>
      </c>
      <c r="C682" t="s">
        <v>74</v>
      </c>
      <c r="D682" t="s">
        <v>74</v>
      </c>
      <c r="E682" t="s">
        <v>74</v>
      </c>
      <c r="F682" t="s">
        <v>13084</v>
      </c>
      <c r="G682" t="s">
        <v>74</v>
      </c>
      <c r="H682" t="s">
        <v>74</v>
      </c>
      <c r="I682" t="s">
        <v>13085</v>
      </c>
      <c r="J682" t="s">
        <v>8926</v>
      </c>
      <c r="K682" t="s">
        <v>74</v>
      </c>
      <c r="L682" t="s">
        <v>74</v>
      </c>
      <c r="M682" t="s">
        <v>78</v>
      </c>
      <c r="N682" t="s">
        <v>99</v>
      </c>
      <c r="O682" t="s">
        <v>74</v>
      </c>
      <c r="P682" t="s">
        <v>74</v>
      </c>
      <c r="Q682" t="s">
        <v>74</v>
      </c>
      <c r="R682" t="s">
        <v>74</v>
      </c>
      <c r="S682" t="s">
        <v>74</v>
      </c>
      <c r="T682" t="s">
        <v>13086</v>
      </c>
      <c r="U682" t="s">
        <v>13087</v>
      </c>
      <c r="V682" t="s">
        <v>13088</v>
      </c>
      <c r="W682" t="s">
        <v>13089</v>
      </c>
      <c r="X682" t="s">
        <v>13090</v>
      </c>
      <c r="Y682" t="s">
        <v>13091</v>
      </c>
      <c r="Z682" t="s">
        <v>13092</v>
      </c>
      <c r="AA682" t="s">
        <v>13093</v>
      </c>
      <c r="AB682" t="s">
        <v>13094</v>
      </c>
      <c r="AC682" t="s">
        <v>13095</v>
      </c>
      <c r="AD682" t="s">
        <v>13096</v>
      </c>
      <c r="AE682" t="s">
        <v>13097</v>
      </c>
      <c r="AF682" t="s">
        <v>74</v>
      </c>
      <c r="AG682">
        <v>49</v>
      </c>
      <c r="AH682">
        <v>22</v>
      </c>
      <c r="AI682">
        <v>22</v>
      </c>
      <c r="AJ682">
        <v>0</v>
      </c>
      <c r="AK682">
        <v>23</v>
      </c>
      <c r="AL682" t="s">
        <v>1945</v>
      </c>
      <c r="AM682" t="s">
        <v>1946</v>
      </c>
      <c r="AN682" t="s">
        <v>1947</v>
      </c>
      <c r="AO682" t="s">
        <v>8938</v>
      </c>
      <c r="AP682" t="s">
        <v>8939</v>
      </c>
      <c r="AQ682" t="s">
        <v>74</v>
      </c>
      <c r="AR682" t="s">
        <v>8940</v>
      </c>
      <c r="AS682" t="s">
        <v>8941</v>
      </c>
      <c r="AT682" t="s">
        <v>13047</v>
      </c>
      <c r="AU682">
        <v>2014</v>
      </c>
      <c r="AV682">
        <v>119</v>
      </c>
      <c r="AW682">
        <v>21</v>
      </c>
      <c r="AX682" t="s">
        <v>74</v>
      </c>
      <c r="AY682" t="s">
        <v>74</v>
      </c>
      <c r="AZ682" t="s">
        <v>74</v>
      </c>
      <c r="BA682" t="s">
        <v>74</v>
      </c>
      <c r="BB682">
        <v>11932</v>
      </c>
      <c r="BC682">
        <v>11954</v>
      </c>
      <c r="BD682" t="s">
        <v>74</v>
      </c>
      <c r="BE682" t="s">
        <v>13098</v>
      </c>
      <c r="BF682" t="str">
        <f>HYPERLINK("http://dx.doi.org/10.1002/2014JD022259","http://dx.doi.org/10.1002/2014JD022259")</f>
        <v>http://dx.doi.org/10.1002/2014JD022259</v>
      </c>
      <c r="BG682" t="s">
        <v>74</v>
      </c>
      <c r="BH682" t="s">
        <v>74</v>
      </c>
      <c r="BI682">
        <v>23</v>
      </c>
      <c r="BJ682" t="s">
        <v>226</v>
      </c>
      <c r="BK682" t="s">
        <v>91</v>
      </c>
      <c r="BL682" t="s">
        <v>226</v>
      </c>
      <c r="BM682" t="s">
        <v>13049</v>
      </c>
      <c r="BN682" t="s">
        <v>74</v>
      </c>
      <c r="BO682" t="s">
        <v>2081</v>
      </c>
      <c r="BP682" t="s">
        <v>74</v>
      </c>
      <c r="BQ682" t="s">
        <v>74</v>
      </c>
      <c r="BR682" t="s">
        <v>93</v>
      </c>
      <c r="BS682" t="s">
        <v>13099</v>
      </c>
      <c r="BT682" t="str">
        <f>HYPERLINK("https%3A%2F%2Fwww.webofscience.com%2Fwos%2Fwoscc%2Ffull-record%2FWOS:000345696600032","View Full Record in Web of Science")</f>
        <v>View Full Record in Web of Science</v>
      </c>
    </row>
    <row r="683" spans="1:72" x14ac:dyDescent="0.15">
      <c r="A683" t="s">
        <v>72</v>
      </c>
      <c r="B683" t="s">
        <v>1559</v>
      </c>
      <c r="C683" t="s">
        <v>74</v>
      </c>
      <c r="D683" t="s">
        <v>74</v>
      </c>
      <c r="E683" t="s">
        <v>74</v>
      </c>
      <c r="F683" t="s">
        <v>1559</v>
      </c>
      <c r="G683" t="s">
        <v>74</v>
      </c>
      <c r="H683" t="s">
        <v>74</v>
      </c>
      <c r="I683" t="s">
        <v>13100</v>
      </c>
      <c r="J683" t="s">
        <v>9258</v>
      </c>
      <c r="K683" t="s">
        <v>74</v>
      </c>
      <c r="L683" t="s">
        <v>74</v>
      </c>
      <c r="M683" t="s">
        <v>78</v>
      </c>
      <c r="N683" t="s">
        <v>1562</v>
      </c>
      <c r="O683" t="s">
        <v>74</v>
      </c>
      <c r="P683" t="s">
        <v>74</v>
      </c>
      <c r="Q683" t="s">
        <v>74</v>
      </c>
      <c r="R683" t="s">
        <v>74</v>
      </c>
      <c r="S683" t="s">
        <v>74</v>
      </c>
      <c r="T683" t="s">
        <v>74</v>
      </c>
      <c r="U683" t="s">
        <v>74</v>
      </c>
      <c r="V683" t="s">
        <v>74</v>
      </c>
      <c r="W683" t="s">
        <v>74</v>
      </c>
      <c r="X683" t="s">
        <v>74</v>
      </c>
      <c r="Y683" t="s">
        <v>74</v>
      </c>
      <c r="Z683" t="s">
        <v>74</v>
      </c>
      <c r="AA683" t="s">
        <v>74</v>
      </c>
      <c r="AB683" t="s">
        <v>74</v>
      </c>
      <c r="AC683" t="s">
        <v>74</v>
      </c>
      <c r="AD683" t="s">
        <v>74</v>
      </c>
      <c r="AE683" t="s">
        <v>74</v>
      </c>
      <c r="AF683" t="s">
        <v>74</v>
      </c>
      <c r="AG683">
        <v>0</v>
      </c>
      <c r="AH683">
        <v>0</v>
      </c>
      <c r="AI683">
        <v>0</v>
      </c>
      <c r="AJ683">
        <v>0</v>
      </c>
      <c r="AK683">
        <v>3</v>
      </c>
      <c r="AL683" t="s">
        <v>2439</v>
      </c>
      <c r="AM683" t="s">
        <v>1411</v>
      </c>
      <c r="AN683" t="s">
        <v>2440</v>
      </c>
      <c r="AO683" t="s">
        <v>9259</v>
      </c>
      <c r="AP683" t="s">
        <v>9260</v>
      </c>
      <c r="AQ683" t="s">
        <v>74</v>
      </c>
      <c r="AR683" t="s">
        <v>9261</v>
      </c>
      <c r="AS683" t="s">
        <v>9262</v>
      </c>
      <c r="AT683" t="s">
        <v>13101</v>
      </c>
      <c r="AU683">
        <v>2014</v>
      </c>
      <c r="AV683">
        <v>88</v>
      </c>
      <c r="AW683" t="s">
        <v>2766</v>
      </c>
      <c r="AX683" t="s">
        <v>74</v>
      </c>
      <c r="AY683" t="s">
        <v>74</v>
      </c>
      <c r="AZ683" t="s">
        <v>74</v>
      </c>
      <c r="BA683" t="s">
        <v>74</v>
      </c>
      <c r="BB683">
        <v>5</v>
      </c>
      <c r="BC683">
        <v>5</v>
      </c>
      <c r="BD683" t="s">
        <v>74</v>
      </c>
      <c r="BE683" t="s">
        <v>74</v>
      </c>
      <c r="BF683" t="s">
        <v>74</v>
      </c>
      <c r="BG683" t="s">
        <v>74</v>
      </c>
      <c r="BH683" t="s">
        <v>74</v>
      </c>
      <c r="BI683">
        <v>1</v>
      </c>
      <c r="BJ683" t="s">
        <v>2673</v>
      </c>
      <c r="BK683" t="s">
        <v>91</v>
      </c>
      <c r="BL683" t="s">
        <v>2674</v>
      </c>
      <c r="BM683" t="s">
        <v>13102</v>
      </c>
      <c r="BN683">
        <v>25590073</v>
      </c>
      <c r="BO683" t="s">
        <v>74</v>
      </c>
      <c r="BP683" t="s">
        <v>74</v>
      </c>
      <c r="BQ683" t="s">
        <v>74</v>
      </c>
      <c r="BR683" t="s">
        <v>93</v>
      </c>
      <c r="BS683" t="s">
        <v>13103</v>
      </c>
      <c r="BT683" t="str">
        <f>HYPERLINK("https%3A%2F%2Fwww.webofscience.com%2Fwos%2Fwoscc%2Ffull-record%2FWOS:000345489800009","View Full Record in Web of Science")</f>
        <v>View Full Record in Web of Science</v>
      </c>
    </row>
    <row r="684" spans="1:72" x14ac:dyDescent="0.15">
      <c r="A684" t="s">
        <v>72</v>
      </c>
      <c r="B684" t="s">
        <v>13104</v>
      </c>
      <c r="C684" t="s">
        <v>74</v>
      </c>
      <c r="D684" t="s">
        <v>74</v>
      </c>
      <c r="E684" t="s">
        <v>74</v>
      </c>
      <c r="F684" t="s">
        <v>13105</v>
      </c>
      <c r="G684" t="s">
        <v>74</v>
      </c>
      <c r="H684" t="s">
        <v>74</v>
      </c>
      <c r="I684" t="s">
        <v>13106</v>
      </c>
      <c r="J684" t="s">
        <v>2982</v>
      </c>
      <c r="K684" t="s">
        <v>74</v>
      </c>
      <c r="L684" t="s">
        <v>74</v>
      </c>
      <c r="M684" t="s">
        <v>78</v>
      </c>
      <c r="N684" t="s">
        <v>99</v>
      </c>
      <c r="O684" t="s">
        <v>74</v>
      </c>
      <c r="P684" t="s">
        <v>74</v>
      </c>
      <c r="Q684" t="s">
        <v>74</v>
      </c>
      <c r="R684" t="s">
        <v>74</v>
      </c>
      <c r="S684" t="s">
        <v>74</v>
      </c>
      <c r="T684" t="s">
        <v>13107</v>
      </c>
      <c r="U684" t="s">
        <v>13108</v>
      </c>
      <c r="V684" t="s">
        <v>13109</v>
      </c>
      <c r="W684" t="s">
        <v>13110</v>
      </c>
      <c r="X684" t="s">
        <v>13111</v>
      </c>
      <c r="Y684" t="s">
        <v>13112</v>
      </c>
      <c r="Z684" t="s">
        <v>13113</v>
      </c>
      <c r="AA684" t="s">
        <v>13114</v>
      </c>
      <c r="AB684" t="s">
        <v>13115</v>
      </c>
      <c r="AC684" t="s">
        <v>13116</v>
      </c>
      <c r="AD684" t="s">
        <v>13117</v>
      </c>
      <c r="AE684" t="s">
        <v>13118</v>
      </c>
      <c r="AF684" t="s">
        <v>74</v>
      </c>
      <c r="AG684">
        <v>18</v>
      </c>
      <c r="AH684">
        <v>23</v>
      </c>
      <c r="AI684">
        <v>23</v>
      </c>
      <c r="AJ684">
        <v>0</v>
      </c>
      <c r="AK684">
        <v>17</v>
      </c>
      <c r="AL684" t="s">
        <v>2439</v>
      </c>
      <c r="AM684" t="s">
        <v>1411</v>
      </c>
      <c r="AN684" t="s">
        <v>2440</v>
      </c>
      <c r="AO684" t="s">
        <v>2995</v>
      </c>
      <c r="AP684" t="s">
        <v>74</v>
      </c>
      <c r="AQ684" t="s">
        <v>74</v>
      </c>
      <c r="AR684" t="s">
        <v>2997</v>
      </c>
      <c r="AS684" t="s">
        <v>2998</v>
      </c>
      <c r="AT684" t="s">
        <v>13101</v>
      </c>
      <c r="AU684">
        <v>2014</v>
      </c>
      <c r="AV684">
        <v>103</v>
      </c>
      <c r="AW684" t="s">
        <v>74</v>
      </c>
      <c r="AX684" t="s">
        <v>74</v>
      </c>
      <c r="AY684" t="s">
        <v>74</v>
      </c>
      <c r="AZ684" t="s">
        <v>74</v>
      </c>
      <c r="BA684" t="s">
        <v>74</v>
      </c>
      <c r="BB684">
        <v>309</v>
      </c>
      <c r="BC684">
        <v>317</v>
      </c>
      <c r="BD684" t="s">
        <v>74</v>
      </c>
      <c r="BE684" t="s">
        <v>13119</v>
      </c>
      <c r="BF684" t="str">
        <f>HYPERLINK("http://dx.doi.org/10.1016/j.pss.2014.08.011","http://dx.doi.org/10.1016/j.pss.2014.08.011")</f>
        <v>http://dx.doi.org/10.1016/j.pss.2014.08.011</v>
      </c>
      <c r="BG684" t="s">
        <v>74</v>
      </c>
      <c r="BH684" t="s">
        <v>74</v>
      </c>
      <c r="BI684">
        <v>9</v>
      </c>
      <c r="BJ684" t="s">
        <v>2079</v>
      </c>
      <c r="BK684" t="s">
        <v>91</v>
      </c>
      <c r="BL684" t="s">
        <v>2079</v>
      </c>
      <c r="BM684" t="s">
        <v>13120</v>
      </c>
      <c r="BN684" t="s">
        <v>74</v>
      </c>
      <c r="BO684" t="s">
        <v>74</v>
      </c>
      <c r="BP684" t="s">
        <v>74</v>
      </c>
      <c r="BQ684" t="s">
        <v>74</v>
      </c>
      <c r="BR684" t="s">
        <v>93</v>
      </c>
      <c r="BS684" t="s">
        <v>13121</v>
      </c>
      <c r="BT684" t="str">
        <f>HYPERLINK("https%3A%2F%2Fwww.webofscience.com%2Fwos%2Fwoscc%2Ffull-record%2FWOS:000345472000027","View Full Record in Web of Science")</f>
        <v>View Full Record in Web of Science</v>
      </c>
    </row>
    <row r="685" spans="1:72" x14ac:dyDescent="0.15">
      <c r="A685" t="s">
        <v>72</v>
      </c>
      <c r="B685" t="s">
        <v>13122</v>
      </c>
      <c r="C685" t="s">
        <v>74</v>
      </c>
      <c r="D685" t="s">
        <v>74</v>
      </c>
      <c r="E685" t="s">
        <v>74</v>
      </c>
      <c r="F685" t="s">
        <v>13123</v>
      </c>
      <c r="G685" t="s">
        <v>74</v>
      </c>
      <c r="H685" t="s">
        <v>74</v>
      </c>
      <c r="I685" t="s">
        <v>13124</v>
      </c>
      <c r="J685" t="s">
        <v>3253</v>
      </c>
      <c r="K685" t="s">
        <v>74</v>
      </c>
      <c r="L685" t="s">
        <v>74</v>
      </c>
      <c r="M685" t="s">
        <v>78</v>
      </c>
      <c r="N685" t="s">
        <v>99</v>
      </c>
      <c r="O685" t="s">
        <v>74</v>
      </c>
      <c r="P685" t="s">
        <v>74</v>
      </c>
      <c r="Q685" t="s">
        <v>74</v>
      </c>
      <c r="R685" t="s">
        <v>74</v>
      </c>
      <c r="S685" t="s">
        <v>74</v>
      </c>
      <c r="T685" t="s">
        <v>74</v>
      </c>
      <c r="U685" t="s">
        <v>13125</v>
      </c>
      <c r="V685" t="s">
        <v>13126</v>
      </c>
      <c r="W685" t="s">
        <v>13127</v>
      </c>
      <c r="X685" t="s">
        <v>13128</v>
      </c>
      <c r="Y685" t="s">
        <v>13129</v>
      </c>
      <c r="Z685" t="s">
        <v>13130</v>
      </c>
      <c r="AA685" t="s">
        <v>13131</v>
      </c>
      <c r="AB685" t="s">
        <v>13132</v>
      </c>
      <c r="AC685" t="s">
        <v>13133</v>
      </c>
      <c r="AD685" t="s">
        <v>13134</v>
      </c>
      <c r="AE685" t="s">
        <v>13135</v>
      </c>
      <c r="AF685" t="s">
        <v>74</v>
      </c>
      <c r="AG685">
        <v>61</v>
      </c>
      <c r="AH685">
        <v>19</v>
      </c>
      <c r="AI685">
        <v>20</v>
      </c>
      <c r="AJ685">
        <v>0</v>
      </c>
      <c r="AK685">
        <v>12</v>
      </c>
      <c r="AL685" t="s">
        <v>2439</v>
      </c>
      <c r="AM685" t="s">
        <v>1411</v>
      </c>
      <c r="AN685" t="s">
        <v>2440</v>
      </c>
      <c r="AO685" t="s">
        <v>3265</v>
      </c>
      <c r="AP685" t="s">
        <v>3266</v>
      </c>
      <c r="AQ685" t="s">
        <v>74</v>
      </c>
      <c r="AR685" t="s">
        <v>3267</v>
      </c>
      <c r="AS685" t="s">
        <v>3268</v>
      </c>
      <c r="AT685" t="s">
        <v>13101</v>
      </c>
      <c r="AU685">
        <v>2014</v>
      </c>
      <c r="AV685">
        <v>145</v>
      </c>
      <c r="AW685" t="s">
        <v>74</v>
      </c>
      <c r="AX685" t="s">
        <v>74</v>
      </c>
      <c r="AY685" t="s">
        <v>74</v>
      </c>
      <c r="AZ685" t="s">
        <v>74</v>
      </c>
      <c r="BA685" t="s">
        <v>74</v>
      </c>
      <c r="BB685">
        <v>139</v>
      </c>
      <c r="BC685">
        <v>158</v>
      </c>
      <c r="BD685" t="s">
        <v>74</v>
      </c>
      <c r="BE685" t="s">
        <v>13136</v>
      </c>
      <c r="BF685" t="str">
        <f>HYPERLINK("http://dx.doi.org/10.1016/j.gca.2014.09.029","http://dx.doi.org/10.1016/j.gca.2014.09.029")</f>
        <v>http://dx.doi.org/10.1016/j.gca.2014.09.029</v>
      </c>
      <c r="BG685" t="s">
        <v>74</v>
      </c>
      <c r="BH685" t="s">
        <v>74</v>
      </c>
      <c r="BI685">
        <v>20</v>
      </c>
      <c r="BJ685" t="s">
        <v>1902</v>
      </c>
      <c r="BK685" t="s">
        <v>91</v>
      </c>
      <c r="BL685" t="s">
        <v>1902</v>
      </c>
      <c r="BM685" t="s">
        <v>13137</v>
      </c>
      <c r="BN685" t="s">
        <v>74</v>
      </c>
      <c r="BO685" t="s">
        <v>74</v>
      </c>
      <c r="BP685" t="s">
        <v>74</v>
      </c>
      <c r="BQ685" t="s">
        <v>74</v>
      </c>
      <c r="BR685" t="s">
        <v>93</v>
      </c>
      <c r="BS685" t="s">
        <v>13138</v>
      </c>
      <c r="BT685" t="str">
        <f>HYPERLINK("https%3A%2F%2Fwww.webofscience.com%2Fwos%2Fwoscc%2Ffull-record%2FWOS:000344945800009","View Full Record in Web of Science")</f>
        <v>View Full Record in Web of Science</v>
      </c>
    </row>
    <row r="686" spans="1:72" x14ac:dyDescent="0.15">
      <c r="A686" t="s">
        <v>72</v>
      </c>
      <c r="B686" t="s">
        <v>13139</v>
      </c>
      <c r="C686" t="s">
        <v>74</v>
      </c>
      <c r="D686" t="s">
        <v>74</v>
      </c>
      <c r="E686" t="s">
        <v>74</v>
      </c>
      <c r="F686" t="s">
        <v>13140</v>
      </c>
      <c r="G686" t="s">
        <v>74</v>
      </c>
      <c r="H686" t="s">
        <v>74</v>
      </c>
      <c r="I686" t="s">
        <v>13141</v>
      </c>
      <c r="J686" t="s">
        <v>13142</v>
      </c>
      <c r="K686" t="s">
        <v>74</v>
      </c>
      <c r="L686" t="s">
        <v>74</v>
      </c>
      <c r="M686" t="s">
        <v>78</v>
      </c>
      <c r="N686" t="s">
        <v>99</v>
      </c>
      <c r="O686" t="s">
        <v>74</v>
      </c>
      <c r="P686" t="s">
        <v>74</v>
      </c>
      <c r="Q686" t="s">
        <v>74</v>
      </c>
      <c r="R686" t="s">
        <v>74</v>
      </c>
      <c r="S686" t="s">
        <v>74</v>
      </c>
      <c r="T686" t="s">
        <v>13143</v>
      </c>
      <c r="U686" t="s">
        <v>13144</v>
      </c>
      <c r="V686" t="s">
        <v>13145</v>
      </c>
      <c r="W686" t="s">
        <v>13146</v>
      </c>
      <c r="X686" t="s">
        <v>13147</v>
      </c>
      <c r="Y686" t="s">
        <v>13148</v>
      </c>
      <c r="Z686" t="s">
        <v>13149</v>
      </c>
      <c r="AA686" t="s">
        <v>74</v>
      </c>
      <c r="AB686" t="s">
        <v>13150</v>
      </c>
      <c r="AC686" t="s">
        <v>13151</v>
      </c>
      <c r="AD686" t="s">
        <v>13152</v>
      </c>
      <c r="AE686" t="s">
        <v>13153</v>
      </c>
      <c r="AF686" t="s">
        <v>74</v>
      </c>
      <c r="AG686">
        <v>61</v>
      </c>
      <c r="AH686">
        <v>9</v>
      </c>
      <c r="AI686">
        <v>10</v>
      </c>
      <c r="AJ686">
        <v>0</v>
      </c>
      <c r="AK686">
        <v>12</v>
      </c>
      <c r="AL686" t="s">
        <v>3360</v>
      </c>
      <c r="AM686" t="s">
        <v>3361</v>
      </c>
      <c r="AN686" t="s">
        <v>3362</v>
      </c>
      <c r="AO686" t="s">
        <v>13154</v>
      </c>
      <c r="AP686" t="s">
        <v>13155</v>
      </c>
      <c r="AQ686" t="s">
        <v>74</v>
      </c>
      <c r="AR686" t="s">
        <v>13142</v>
      </c>
      <c r="AS686" t="s">
        <v>13156</v>
      </c>
      <c r="AT686" t="s">
        <v>13101</v>
      </c>
      <c r="AU686">
        <v>2014</v>
      </c>
      <c r="AV686">
        <v>243</v>
      </c>
      <c r="AW686" t="s">
        <v>74</v>
      </c>
      <c r="AX686" t="s">
        <v>74</v>
      </c>
      <c r="AY686" t="s">
        <v>74</v>
      </c>
      <c r="AZ686" t="s">
        <v>74</v>
      </c>
      <c r="BA686" t="s">
        <v>74</v>
      </c>
      <c r="BB686">
        <v>454</v>
      </c>
      <c r="BC686">
        <v>470</v>
      </c>
      <c r="BD686" t="s">
        <v>74</v>
      </c>
      <c r="BE686" t="s">
        <v>13157</v>
      </c>
      <c r="BF686" t="str">
        <f>HYPERLINK("http://dx.doi.org/10.1016/j.icarus.2014.08.009","http://dx.doi.org/10.1016/j.icarus.2014.08.009")</f>
        <v>http://dx.doi.org/10.1016/j.icarus.2014.08.009</v>
      </c>
      <c r="BG686" t="s">
        <v>74</v>
      </c>
      <c r="BH686" t="s">
        <v>74</v>
      </c>
      <c r="BI686">
        <v>17</v>
      </c>
      <c r="BJ686" t="s">
        <v>2079</v>
      </c>
      <c r="BK686" t="s">
        <v>91</v>
      </c>
      <c r="BL686" t="s">
        <v>2079</v>
      </c>
      <c r="BM686" t="s">
        <v>13158</v>
      </c>
      <c r="BN686" t="s">
        <v>74</v>
      </c>
      <c r="BO686" t="s">
        <v>74</v>
      </c>
      <c r="BP686" t="s">
        <v>74</v>
      </c>
      <c r="BQ686" t="s">
        <v>74</v>
      </c>
      <c r="BR686" t="s">
        <v>93</v>
      </c>
      <c r="BS686" t="s">
        <v>13159</v>
      </c>
      <c r="BT686" t="str">
        <f>HYPERLINK("https%3A%2F%2Fwww.webofscience.com%2Fwos%2Fwoscc%2Ffull-record%2FWOS:000344635400035","View Full Record in Web of Science")</f>
        <v>View Full Record in Web of Science</v>
      </c>
    </row>
    <row r="687" spans="1:72" x14ac:dyDescent="0.15">
      <c r="A687" t="s">
        <v>72</v>
      </c>
      <c r="B687" t="s">
        <v>13160</v>
      </c>
      <c r="C687" t="s">
        <v>74</v>
      </c>
      <c r="D687" t="s">
        <v>74</v>
      </c>
      <c r="E687" t="s">
        <v>74</v>
      </c>
      <c r="F687" t="s">
        <v>13161</v>
      </c>
      <c r="G687" t="s">
        <v>74</v>
      </c>
      <c r="H687" t="s">
        <v>74</v>
      </c>
      <c r="I687" t="s">
        <v>13162</v>
      </c>
      <c r="J687" t="s">
        <v>2773</v>
      </c>
      <c r="K687" t="s">
        <v>74</v>
      </c>
      <c r="L687" t="s">
        <v>74</v>
      </c>
      <c r="M687" t="s">
        <v>78</v>
      </c>
      <c r="N687" t="s">
        <v>99</v>
      </c>
      <c r="O687" t="s">
        <v>74</v>
      </c>
      <c r="P687" t="s">
        <v>74</v>
      </c>
      <c r="Q687" t="s">
        <v>74</v>
      </c>
      <c r="R687" t="s">
        <v>74</v>
      </c>
      <c r="S687" t="s">
        <v>74</v>
      </c>
      <c r="T687" t="s">
        <v>13163</v>
      </c>
      <c r="U687" t="s">
        <v>13164</v>
      </c>
      <c r="V687" t="s">
        <v>13165</v>
      </c>
      <c r="W687" t="s">
        <v>13166</v>
      </c>
      <c r="X687" t="s">
        <v>13167</v>
      </c>
      <c r="Y687" t="s">
        <v>13168</v>
      </c>
      <c r="Z687" t="s">
        <v>13169</v>
      </c>
      <c r="AA687" t="s">
        <v>74</v>
      </c>
      <c r="AB687" t="s">
        <v>74</v>
      </c>
      <c r="AC687" t="s">
        <v>13170</v>
      </c>
      <c r="AD687" t="s">
        <v>13171</v>
      </c>
      <c r="AE687" t="s">
        <v>13172</v>
      </c>
      <c r="AF687" t="s">
        <v>74</v>
      </c>
      <c r="AG687">
        <v>50</v>
      </c>
      <c r="AH687">
        <v>22</v>
      </c>
      <c r="AI687">
        <v>28</v>
      </c>
      <c r="AJ687">
        <v>1</v>
      </c>
      <c r="AK687">
        <v>45</v>
      </c>
      <c r="AL687" t="s">
        <v>1175</v>
      </c>
      <c r="AM687" t="s">
        <v>1176</v>
      </c>
      <c r="AN687" t="s">
        <v>2938</v>
      </c>
      <c r="AO687" t="s">
        <v>2786</v>
      </c>
      <c r="AP687" t="s">
        <v>2787</v>
      </c>
      <c r="AQ687" t="s">
        <v>74</v>
      </c>
      <c r="AR687" t="s">
        <v>2788</v>
      </c>
      <c r="AS687" t="s">
        <v>2789</v>
      </c>
      <c r="AT687" t="s">
        <v>13101</v>
      </c>
      <c r="AU687">
        <v>2014</v>
      </c>
      <c r="AV687">
        <v>406</v>
      </c>
      <c r="AW687" t="s">
        <v>74</v>
      </c>
      <c r="AX687" t="s">
        <v>74</v>
      </c>
      <c r="AY687" t="s">
        <v>74</v>
      </c>
      <c r="AZ687" t="s">
        <v>74</v>
      </c>
      <c r="BA687" t="s">
        <v>74</v>
      </c>
      <c r="BB687">
        <v>72</v>
      </c>
      <c r="BC687">
        <v>80</v>
      </c>
      <c r="BD687" t="s">
        <v>74</v>
      </c>
      <c r="BE687" t="s">
        <v>13173</v>
      </c>
      <c r="BF687" t="str">
        <f>HYPERLINK("http://dx.doi.org/10.1016/j.epsl.2014.09.013","http://dx.doi.org/10.1016/j.epsl.2014.09.013")</f>
        <v>http://dx.doi.org/10.1016/j.epsl.2014.09.013</v>
      </c>
      <c r="BG687" t="s">
        <v>74</v>
      </c>
      <c r="BH687" t="s">
        <v>74</v>
      </c>
      <c r="BI687">
        <v>9</v>
      </c>
      <c r="BJ687" t="s">
        <v>1902</v>
      </c>
      <c r="BK687" t="s">
        <v>91</v>
      </c>
      <c r="BL687" t="s">
        <v>1902</v>
      </c>
      <c r="BM687" t="s">
        <v>13174</v>
      </c>
      <c r="BN687" t="s">
        <v>74</v>
      </c>
      <c r="BO687" t="s">
        <v>74</v>
      </c>
      <c r="BP687" t="s">
        <v>74</v>
      </c>
      <c r="BQ687" t="s">
        <v>74</v>
      </c>
      <c r="BR687" t="s">
        <v>93</v>
      </c>
      <c r="BS687" t="s">
        <v>13175</v>
      </c>
      <c r="BT687" t="str">
        <f>HYPERLINK("https%3A%2F%2Fwww.webofscience.com%2Fwos%2Fwoscc%2Ffull-record%2FWOS:000344211200008","View Full Record in Web of Science")</f>
        <v>View Full Record in Web of Science</v>
      </c>
    </row>
    <row r="688" spans="1:72" x14ac:dyDescent="0.15">
      <c r="A688" t="s">
        <v>72</v>
      </c>
      <c r="B688" t="s">
        <v>13176</v>
      </c>
      <c r="C688" t="s">
        <v>74</v>
      </c>
      <c r="D688" t="s">
        <v>74</v>
      </c>
      <c r="E688" t="s">
        <v>74</v>
      </c>
      <c r="F688" t="s">
        <v>13177</v>
      </c>
      <c r="G688" t="s">
        <v>74</v>
      </c>
      <c r="H688" t="s">
        <v>74</v>
      </c>
      <c r="I688" t="s">
        <v>13178</v>
      </c>
      <c r="J688" t="s">
        <v>2773</v>
      </c>
      <c r="K688" t="s">
        <v>74</v>
      </c>
      <c r="L688" t="s">
        <v>74</v>
      </c>
      <c r="M688" t="s">
        <v>78</v>
      </c>
      <c r="N688" t="s">
        <v>99</v>
      </c>
      <c r="O688" t="s">
        <v>74</v>
      </c>
      <c r="P688" t="s">
        <v>74</v>
      </c>
      <c r="Q688" t="s">
        <v>74</v>
      </c>
      <c r="R688" t="s">
        <v>74</v>
      </c>
      <c r="S688" t="s">
        <v>74</v>
      </c>
      <c r="T688" t="s">
        <v>13179</v>
      </c>
      <c r="U688" t="s">
        <v>13180</v>
      </c>
      <c r="V688" t="s">
        <v>13181</v>
      </c>
      <c r="W688" t="s">
        <v>13182</v>
      </c>
      <c r="X688" t="s">
        <v>13183</v>
      </c>
      <c r="Y688" t="s">
        <v>13184</v>
      </c>
      <c r="Z688" t="s">
        <v>13185</v>
      </c>
      <c r="AA688" t="s">
        <v>74</v>
      </c>
      <c r="AB688" t="s">
        <v>13186</v>
      </c>
      <c r="AC688" t="s">
        <v>13187</v>
      </c>
      <c r="AD688" t="s">
        <v>13188</v>
      </c>
      <c r="AE688" t="s">
        <v>13189</v>
      </c>
      <c r="AF688" t="s">
        <v>74</v>
      </c>
      <c r="AG688">
        <v>91</v>
      </c>
      <c r="AH688">
        <v>46</v>
      </c>
      <c r="AI688">
        <v>56</v>
      </c>
      <c r="AJ688">
        <v>3</v>
      </c>
      <c r="AK688">
        <v>67</v>
      </c>
      <c r="AL688" t="s">
        <v>2640</v>
      </c>
      <c r="AM688" t="s">
        <v>1176</v>
      </c>
      <c r="AN688" t="s">
        <v>2641</v>
      </c>
      <c r="AO688" t="s">
        <v>2786</v>
      </c>
      <c r="AP688" t="s">
        <v>2787</v>
      </c>
      <c r="AQ688" t="s">
        <v>74</v>
      </c>
      <c r="AR688" t="s">
        <v>2788</v>
      </c>
      <c r="AS688" t="s">
        <v>2789</v>
      </c>
      <c r="AT688" t="s">
        <v>13101</v>
      </c>
      <c r="AU688">
        <v>2014</v>
      </c>
      <c r="AV688">
        <v>406</v>
      </c>
      <c r="AW688" t="s">
        <v>74</v>
      </c>
      <c r="AX688" t="s">
        <v>74</v>
      </c>
      <c r="AY688" t="s">
        <v>74</v>
      </c>
      <c r="AZ688" t="s">
        <v>74</v>
      </c>
      <c r="BA688" t="s">
        <v>74</v>
      </c>
      <c r="BB688">
        <v>198</v>
      </c>
      <c r="BC688">
        <v>212</v>
      </c>
      <c r="BD688" t="s">
        <v>74</v>
      </c>
      <c r="BE688" t="s">
        <v>13190</v>
      </c>
      <c r="BF688" t="str">
        <f>HYPERLINK("http://dx.doi.org/10.1016/j.epsl.2014.09.004","http://dx.doi.org/10.1016/j.epsl.2014.09.004")</f>
        <v>http://dx.doi.org/10.1016/j.epsl.2014.09.004</v>
      </c>
      <c r="BG688" t="s">
        <v>74</v>
      </c>
      <c r="BH688" t="s">
        <v>74</v>
      </c>
      <c r="BI688">
        <v>15</v>
      </c>
      <c r="BJ688" t="s">
        <v>1902</v>
      </c>
      <c r="BK688" t="s">
        <v>91</v>
      </c>
      <c r="BL688" t="s">
        <v>1902</v>
      </c>
      <c r="BM688" t="s">
        <v>13174</v>
      </c>
      <c r="BN688" t="s">
        <v>74</v>
      </c>
      <c r="BO688" t="s">
        <v>13191</v>
      </c>
      <c r="BP688" t="s">
        <v>74</v>
      </c>
      <c r="BQ688" t="s">
        <v>74</v>
      </c>
      <c r="BR688" t="s">
        <v>93</v>
      </c>
      <c r="BS688" t="s">
        <v>13192</v>
      </c>
      <c r="BT688" t="str">
        <f>HYPERLINK("https%3A%2F%2Fwww.webofscience.com%2Fwos%2Fwoscc%2Ffull-record%2FWOS:000344211200020","View Full Record in Web of Science")</f>
        <v>View Full Record in Web of Science</v>
      </c>
    </row>
    <row r="689" spans="1:72" x14ac:dyDescent="0.15">
      <c r="A689" t="s">
        <v>72</v>
      </c>
      <c r="B689" t="s">
        <v>13193</v>
      </c>
      <c r="C689" t="s">
        <v>74</v>
      </c>
      <c r="D689" t="s">
        <v>74</v>
      </c>
      <c r="E689" t="s">
        <v>74</v>
      </c>
      <c r="F689" t="s">
        <v>13194</v>
      </c>
      <c r="G689" t="s">
        <v>74</v>
      </c>
      <c r="H689" t="s">
        <v>74</v>
      </c>
      <c r="I689" t="s">
        <v>13195</v>
      </c>
      <c r="J689" t="s">
        <v>3253</v>
      </c>
      <c r="K689" t="s">
        <v>74</v>
      </c>
      <c r="L689" t="s">
        <v>74</v>
      </c>
      <c r="M689" t="s">
        <v>78</v>
      </c>
      <c r="N689" t="s">
        <v>99</v>
      </c>
      <c r="O689" t="s">
        <v>74</v>
      </c>
      <c r="P689" t="s">
        <v>74</v>
      </c>
      <c r="Q689" t="s">
        <v>74</v>
      </c>
      <c r="R689" t="s">
        <v>74</v>
      </c>
      <c r="S689" t="s">
        <v>74</v>
      </c>
      <c r="T689" t="s">
        <v>74</v>
      </c>
      <c r="U689" t="s">
        <v>13196</v>
      </c>
      <c r="V689" t="s">
        <v>13197</v>
      </c>
      <c r="W689" t="s">
        <v>13198</v>
      </c>
      <c r="X689" t="s">
        <v>13199</v>
      </c>
      <c r="Y689" t="s">
        <v>13200</v>
      </c>
      <c r="Z689" t="s">
        <v>13201</v>
      </c>
      <c r="AA689" t="s">
        <v>74</v>
      </c>
      <c r="AB689" t="s">
        <v>13202</v>
      </c>
      <c r="AC689" t="s">
        <v>13203</v>
      </c>
      <c r="AD689" t="s">
        <v>13204</v>
      </c>
      <c r="AE689" t="s">
        <v>13205</v>
      </c>
      <c r="AF689" t="s">
        <v>74</v>
      </c>
      <c r="AG689">
        <v>195</v>
      </c>
      <c r="AH689">
        <v>11</v>
      </c>
      <c r="AI689">
        <v>13</v>
      </c>
      <c r="AJ689">
        <v>0</v>
      </c>
      <c r="AK689">
        <v>29</v>
      </c>
      <c r="AL689" t="s">
        <v>2439</v>
      </c>
      <c r="AM689" t="s">
        <v>1411</v>
      </c>
      <c r="AN689" t="s">
        <v>2440</v>
      </c>
      <c r="AO689" t="s">
        <v>3265</v>
      </c>
      <c r="AP689" t="s">
        <v>3266</v>
      </c>
      <c r="AQ689" t="s">
        <v>74</v>
      </c>
      <c r="AR689" t="s">
        <v>3267</v>
      </c>
      <c r="AS689" t="s">
        <v>3268</v>
      </c>
      <c r="AT689" t="s">
        <v>13101</v>
      </c>
      <c r="AU689">
        <v>2014</v>
      </c>
      <c r="AV689">
        <v>145</v>
      </c>
      <c r="AW689" t="s">
        <v>74</v>
      </c>
      <c r="AX689" t="s">
        <v>74</v>
      </c>
      <c r="AY689" t="s">
        <v>74</v>
      </c>
      <c r="AZ689" t="s">
        <v>74</v>
      </c>
      <c r="BA689" t="s">
        <v>74</v>
      </c>
      <c r="BB689">
        <v>175</v>
      </c>
      <c r="BC689">
        <v>205</v>
      </c>
      <c r="BD689" t="s">
        <v>74</v>
      </c>
      <c r="BE689" t="s">
        <v>13206</v>
      </c>
      <c r="BF689" t="str">
        <f>HYPERLINK("http://dx.doi.org/10.1016/j.gca.2014.09.010","http://dx.doi.org/10.1016/j.gca.2014.09.010")</f>
        <v>http://dx.doi.org/10.1016/j.gca.2014.09.010</v>
      </c>
      <c r="BG689" t="s">
        <v>74</v>
      </c>
      <c r="BH689" t="s">
        <v>74</v>
      </c>
      <c r="BI689">
        <v>31</v>
      </c>
      <c r="BJ689" t="s">
        <v>1902</v>
      </c>
      <c r="BK689" t="s">
        <v>91</v>
      </c>
      <c r="BL689" t="s">
        <v>1902</v>
      </c>
      <c r="BM689" t="s">
        <v>13137</v>
      </c>
      <c r="BN689" t="s">
        <v>74</v>
      </c>
      <c r="BO689" t="s">
        <v>574</v>
      </c>
      <c r="BP689" t="s">
        <v>74</v>
      </c>
      <c r="BQ689" t="s">
        <v>74</v>
      </c>
      <c r="BR689" t="s">
        <v>93</v>
      </c>
      <c r="BS689" t="s">
        <v>13207</v>
      </c>
      <c r="BT689" t="str">
        <f>HYPERLINK("https%3A%2F%2Fwww.webofscience.com%2Fwos%2Fwoscc%2Ffull-record%2FWOS:000344945800011","View Full Record in Web of Science")</f>
        <v>View Full Record in Web of Science</v>
      </c>
    </row>
    <row r="690" spans="1:72" x14ac:dyDescent="0.15">
      <c r="A690" t="s">
        <v>72</v>
      </c>
      <c r="B690" t="s">
        <v>13208</v>
      </c>
      <c r="C690" t="s">
        <v>74</v>
      </c>
      <c r="D690" t="s">
        <v>74</v>
      </c>
      <c r="E690" t="s">
        <v>74</v>
      </c>
      <c r="F690" t="s">
        <v>13209</v>
      </c>
      <c r="G690" t="s">
        <v>74</v>
      </c>
      <c r="H690" t="s">
        <v>74</v>
      </c>
      <c r="I690" t="s">
        <v>13210</v>
      </c>
      <c r="J690" t="s">
        <v>13211</v>
      </c>
      <c r="K690" t="s">
        <v>74</v>
      </c>
      <c r="L690" t="s">
        <v>74</v>
      </c>
      <c r="M690" t="s">
        <v>78</v>
      </c>
      <c r="N690" t="s">
        <v>99</v>
      </c>
      <c r="O690" t="s">
        <v>74</v>
      </c>
      <c r="P690" t="s">
        <v>74</v>
      </c>
      <c r="Q690" t="s">
        <v>74</v>
      </c>
      <c r="R690" t="s">
        <v>74</v>
      </c>
      <c r="S690" t="s">
        <v>74</v>
      </c>
      <c r="T690" t="s">
        <v>13212</v>
      </c>
      <c r="U690" t="s">
        <v>13213</v>
      </c>
      <c r="V690" t="s">
        <v>13214</v>
      </c>
      <c r="W690" t="s">
        <v>13215</v>
      </c>
      <c r="X690" t="s">
        <v>13216</v>
      </c>
      <c r="Y690" t="s">
        <v>13217</v>
      </c>
      <c r="Z690" t="s">
        <v>13218</v>
      </c>
      <c r="AA690" t="s">
        <v>13219</v>
      </c>
      <c r="AB690" t="s">
        <v>13220</v>
      </c>
      <c r="AC690" t="s">
        <v>13221</v>
      </c>
      <c r="AD690" t="s">
        <v>13222</v>
      </c>
      <c r="AE690" t="s">
        <v>13223</v>
      </c>
      <c r="AF690" t="s">
        <v>74</v>
      </c>
      <c r="AG690">
        <v>74</v>
      </c>
      <c r="AH690">
        <v>24</v>
      </c>
      <c r="AI690">
        <v>25</v>
      </c>
      <c r="AJ690">
        <v>0</v>
      </c>
      <c r="AK690">
        <v>35</v>
      </c>
      <c r="AL690" t="s">
        <v>2640</v>
      </c>
      <c r="AM690" t="s">
        <v>1176</v>
      </c>
      <c r="AN690" t="s">
        <v>2641</v>
      </c>
      <c r="AO690" t="s">
        <v>13224</v>
      </c>
      <c r="AP690" t="s">
        <v>13225</v>
      </c>
      <c r="AQ690" t="s">
        <v>74</v>
      </c>
      <c r="AR690" t="s">
        <v>13211</v>
      </c>
      <c r="AS690" t="s">
        <v>13226</v>
      </c>
      <c r="AT690" t="s">
        <v>13101</v>
      </c>
      <c r="AU690">
        <v>2014</v>
      </c>
      <c r="AV690">
        <v>225</v>
      </c>
      <c r="AW690" t="s">
        <v>74</v>
      </c>
      <c r="AX690" t="s">
        <v>74</v>
      </c>
      <c r="AY690" t="s">
        <v>74</v>
      </c>
      <c r="AZ690" t="s">
        <v>1437</v>
      </c>
      <c r="BA690" t="s">
        <v>74</v>
      </c>
      <c r="BB690">
        <v>4</v>
      </c>
      <c r="BC690">
        <v>24</v>
      </c>
      <c r="BD690" t="s">
        <v>74</v>
      </c>
      <c r="BE690" t="s">
        <v>13227</v>
      </c>
      <c r="BF690" t="str">
        <f>HYPERLINK("http://dx.doi.org/10.1016/j.geomorph.2014.03.028","http://dx.doi.org/10.1016/j.geomorph.2014.03.028")</f>
        <v>http://dx.doi.org/10.1016/j.geomorph.2014.03.028</v>
      </c>
      <c r="BG690" t="s">
        <v>74</v>
      </c>
      <c r="BH690" t="s">
        <v>74</v>
      </c>
      <c r="BI690">
        <v>21</v>
      </c>
      <c r="BJ690" t="s">
        <v>372</v>
      </c>
      <c r="BK690" t="s">
        <v>91</v>
      </c>
      <c r="BL690" t="s">
        <v>373</v>
      </c>
      <c r="BM690" t="s">
        <v>13228</v>
      </c>
      <c r="BN690" t="s">
        <v>74</v>
      </c>
      <c r="BO690" t="s">
        <v>74</v>
      </c>
      <c r="BP690" t="s">
        <v>74</v>
      </c>
      <c r="BQ690" t="s">
        <v>74</v>
      </c>
      <c r="BR690" t="s">
        <v>93</v>
      </c>
      <c r="BS690" t="s">
        <v>13229</v>
      </c>
      <c r="BT690" t="str">
        <f>HYPERLINK("https%3A%2F%2Fwww.webofscience.com%2Fwos%2Fwoscc%2Ffull-record%2FWOS:000342714900002","View Full Record in Web of Science")</f>
        <v>View Full Record in Web of Science</v>
      </c>
    </row>
    <row r="691" spans="1:72" x14ac:dyDescent="0.15">
      <c r="A691" t="s">
        <v>72</v>
      </c>
      <c r="B691" t="s">
        <v>13230</v>
      </c>
      <c r="C691" t="s">
        <v>74</v>
      </c>
      <c r="D691" t="s">
        <v>74</v>
      </c>
      <c r="E691" t="s">
        <v>74</v>
      </c>
      <c r="F691" t="s">
        <v>13231</v>
      </c>
      <c r="G691" t="s">
        <v>74</v>
      </c>
      <c r="H691" t="s">
        <v>74</v>
      </c>
      <c r="I691" t="s">
        <v>13232</v>
      </c>
      <c r="J691" t="s">
        <v>13211</v>
      </c>
      <c r="K691" t="s">
        <v>74</v>
      </c>
      <c r="L691" t="s">
        <v>74</v>
      </c>
      <c r="M691" t="s">
        <v>78</v>
      </c>
      <c r="N691" t="s">
        <v>99</v>
      </c>
      <c r="O691" t="s">
        <v>74</v>
      </c>
      <c r="P691" t="s">
        <v>74</v>
      </c>
      <c r="Q691" t="s">
        <v>74</v>
      </c>
      <c r="R691" t="s">
        <v>74</v>
      </c>
      <c r="S691" t="s">
        <v>74</v>
      </c>
      <c r="T691" t="s">
        <v>13233</v>
      </c>
      <c r="U691" t="s">
        <v>13234</v>
      </c>
      <c r="V691" t="s">
        <v>13235</v>
      </c>
      <c r="W691" t="s">
        <v>13236</v>
      </c>
      <c r="X691" t="s">
        <v>13237</v>
      </c>
      <c r="Y691" t="s">
        <v>13238</v>
      </c>
      <c r="Z691" t="s">
        <v>13239</v>
      </c>
      <c r="AA691" t="s">
        <v>13240</v>
      </c>
      <c r="AB691" t="s">
        <v>13241</v>
      </c>
      <c r="AC691" t="s">
        <v>13242</v>
      </c>
      <c r="AD691" t="s">
        <v>13243</v>
      </c>
      <c r="AE691" t="s">
        <v>13244</v>
      </c>
      <c r="AF691" t="s">
        <v>74</v>
      </c>
      <c r="AG691">
        <v>35</v>
      </c>
      <c r="AH691">
        <v>39</v>
      </c>
      <c r="AI691">
        <v>41</v>
      </c>
      <c r="AJ691">
        <v>0</v>
      </c>
      <c r="AK691">
        <v>50</v>
      </c>
      <c r="AL691" t="s">
        <v>2640</v>
      </c>
      <c r="AM691" t="s">
        <v>1176</v>
      </c>
      <c r="AN691" t="s">
        <v>2641</v>
      </c>
      <c r="AO691" t="s">
        <v>13224</v>
      </c>
      <c r="AP691" t="s">
        <v>13225</v>
      </c>
      <c r="AQ691" t="s">
        <v>74</v>
      </c>
      <c r="AR691" t="s">
        <v>13211</v>
      </c>
      <c r="AS691" t="s">
        <v>13226</v>
      </c>
      <c r="AT691" t="s">
        <v>13101</v>
      </c>
      <c r="AU691">
        <v>2014</v>
      </c>
      <c r="AV691">
        <v>225</v>
      </c>
      <c r="AW691" t="s">
        <v>74</v>
      </c>
      <c r="AX691" t="s">
        <v>74</v>
      </c>
      <c r="AY691" t="s">
        <v>74</v>
      </c>
      <c r="AZ691" t="s">
        <v>1437</v>
      </c>
      <c r="BA691" t="s">
        <v>74</v>
      </c>
      <c r="BB691">
        <v>36</v>
      </c>
      <c r="BC691">
        <v>46</v>
      </c>
      <c r="BD691" t="s">
        <v>74</v>
      </c>
      <c r="BE691" t="s">
        <v>13245</v>
      </c>
      <c r="BF691" t="str">
        <f>HYPERLINK("http://dx.doi.org/10.1016/j.geomorph.2014.03.048","http://dx.doi.org/10.1016/j.geomorph.2014.03.048")</f>
        <v>http://dx.doi.org/10.1016/j.geomorph.2014.03.048</v>
      </c>
      <c r="BG691" t="s">
        <v>74</v>
      </c>
      <c r="BH691" t="s">
        <v>74</v>
      </c>
      <c r="BI691">
        <v>11</v>
      </c>
      <c r="BJ691" t="s">
        <v>372</v>
      </c>
      <c r="BK691" t="s">
        <v>91</v>
      </c>
      <c r="BL691" t="s">
        <v>373</v>
      </c>
      <c r="BM691" t="s">
        <v>13228</v>
      </c>
      <c r="BN691" t="s">
        <v>74</v>
      </c>
      <c r="BO691" t="s">
        <v>74</v>
      </c>
      <c r="BP691" t="s">
        <v>74</v>
      </c>
      <c r="BQ691" t="s">
        <v>74</v>
      </c>
      <c r="BR691" t="s">
        <v>93</v>
      </c>
      <c r="BS691" t="s">
        <v>13246</v>
      </c>
      <c r="BT691" t="str">
        <f>HYPERLINK("https%3A%2F%2Fwww.webofscience.com%2Fwos%2Fwoscc%2Ffull-record%2FWOS:000342714900004","View Full Record in Web of Science")</f>
        <v>View Full Record in Web of Science</v>
      </c>
    </row>
    <row r="692" spans="1:72" x14ac:dyDescent="0.15">
      <c r="A692" t="s">
        <v>72</v>
      </c>
      <c r="B692" t="s">
        <v>13247</v>
      </c>
      <c r="C692" t="s">
        <v>74</v>
      </c>
      <c r="D692" t="s">
        <v>74</v>
      </c>
      <c r="E692" t="s">
        <v>74</v>
      </c>
      <c r="F692" t="s">
        <v>13248</v>
      </c>
      <c r="G692" t="s">
        <v>74</v>
      </c>
      <c r="H692" t="s">
        <v>74</v>
      </c>
      <c r="I692" t="s">
        <v>13249</v>
      </c>
      <c r="J692" t="s">
        <v>13211</v>
      </c>
      <c r="K692" t="s">
        <v>74</v>
      </c>
      <c r="L692" t="s">
        <v>74</v>
      </c>
      <c r="M692" t="s">
        <v>78</v>
      </c>
      <c r="N692" t="s">
        <v>99</v>
      </c>
      <c r="O692" t="s">
        <v>74</v>
      </c>
      <c r="P692" t="s">
        <v>74</v>
      </c>
      <c r="Q692" t="s">
        <v>74</v>
      </c>
      <c r="R692" t="s">
        <v>74</v>
      </c>
      <c r="S692" t="s">
        <v>74</v>
      </c>
      <c r="T692" t="s">
        <v>13250</v>
      </c>
      <c r="U692" t="s">
        <v>13251</v>
      </c>
      <c r="V692" t="s">
        <v>13252</v>
      </c>
      <c r="W692" t="s">
        <v>13253</v>
      </c>
      <c r="X692" t="s">
        <v>13254</v>
      </c>
      <c r="Y692" t="s">
        <v>13255</v>
      </c>
      <c r="Z692" t="s">
        <v>13256</v>
      </c>
      <c r="AA692" t="s">
        <v>7974</v>
      </c>
      <c r="AB692" t="s">
        <v>13257</v>
      </c>
      <c r="AC692" t="s">
        <v>13258</v>
      </c>
      <c r="AD692" t="s">
        <v>13259</v>
      </c>
      <c r="AE692" t="s">
        <v>13260</v>
      </c>
      <c r="AF692" t="s">
        <v>74</v>
      </c>
      <c r="AG692">
        <v>56</v>
      </c>
      <c r="AH692">
        <v>31</v>
      </c>
      <c r="AI692">
        <v>32</v>
      </c>
      <c r="AJ692">
        <v>2</v>
      </c>
      <c r="AK692">
        <v>54</v>
      </c>
      <c r="AL692" t="s">
        <v>2640</v>
      </c>
      <c r="AM692" t="s">
        <v>1176</v>
      </c>
      <c r="AN692" t="s">
        <v>2641</v>
      </c>
      <c r="AO692" t="s">
        <v>13224</v>
      </c>
      <c r="AP692" t="s">
        <v>13225</v>
      </c>
      <c r="AQ692" t="s">
        <v>74</v>
      </c>
      <c r="AR692" t="s">
        <v>13211</v>
      </c>
      <c r="AS692" t="s">
        <v>13226</v>
      </c>
      <c r="AT692" t="s">
        <v>13101</v>
      </c>
      <c r="AU692">
        <v>2014</v>
      </c>
      <c r="AV692">
        <v>225</v>
      </c>
      <c r="AW692" t="s">
        <v>74</v>
      </c>
      <c r="AX692" t="s">
        <v>74</v>
      </c>
      <c r="AY692" t="s">
        <v>74</v>
      </c>
      <c r="AZ692" t="s">
        <v>1437</v>
      </c>
      <c r="BA692" t="s">
        <v>74</v>
      </c>
      <c r="BB692">
        <v>47</v>
      </c>
      <c r="BC692">
        <v>56</v>
      </c>
      <c r="BD692" t="s">
        <v>74</v>
      </c>
      <c r="BE692" t="s">
        <v>13261</v>
      </c>
      <c r="BF692" t="str">
        <f>HYPERLINK("http://dx.doi.org/10.1016/j.geomorph.2014.03.051","http://dx.doi.org/10.1016/j.geomorph.2014.03.051")</f>
        <v>http://dx.doi.org/10.1016/j.geomorph.2014.03.051</v>
      </c>
      <c r="BG692" t="s">
        <v>74</v>
      </c>
      <c r="BH692" t="s">
        <v>74</v>
      </c>
      <c r="BI692">
        <v>10</v>
      </c>
      <c r="BJ692" t="s">
        <v>372</v>
      </c>
      <c r="BK692" t="s">
        <v>91</v>
      </c>
      <c r="BL692" t="s">
        <v>373</v>
      </c>
      <c r="BM692" t="s">
        <v>13228</v>
      </c>
      <c r="BN692" t="s">
        <v>74</v>
      </c>
      <c r="BO692" t="s">
        <v>4631</v>
      </c>
      <c r="BP692" t="s">
        <v>74</v>
      </c>
      <c r="BQ692" t="s">
        <v>74</v>
      </c>
      <c r="BR692" t="s">
        <v>93</v>
      </c>
      <c r="BS692" t="s">
        <v>13262</v>
      </c>
      <c r="BT692" t="str">
        <f>HYPERLINK("https%3A%2F%2Fwww.webofscience.com%2Fwos%2Fwoscc%2Ffull-record%2FWOS:000342714900005","View Full Record in Web of Science")</f>
        <v>View Full Record in Web of Science</v>
      </c>
    </row>
    <row r="693" spans="1:72" x14ac:dyDescent="0.15">
      <c r="A693" t="s">
        <v>72</v>
      </c>
      <c r="B693" t="s">
        <v>13263</v>
      </c>
      <c r="C693" t="s">
        <v>74</v>
      </c>
      <c r="D693" t="s">
        <v>74</v>
      </c>
      <c r="E693" t="s">
        <v>74</v>
      </c>
      <c r="F693" t="s">
        <v>13264</v>
      </c>
      <c r="G693" t="s">
        <v>74</v>
      </c>
      <c r="H693" t="s">
        <v>74</v>
      </c>
      <c r="I693" t="s">
        <v>13265</v>
      </c>
      <c r="J693" t="s">
        <v>13211</v>
      </c>
      <c r="K693" t="s">
        <v>74</v>
      </c>
      <c r="L693" t="s">
        <v>74</v>
      </c>
      <c r="M693" t="s">
        <v>78</v>
      </c>
      <c r="N693" t="s">
        <v>99</v>
      </c>
      <c r="O693" t="s">
        <v>74</v>
      </c>
      <c r="P693" t="s">
        <v>74</v>
      </c>
      <c r="Q693" t="s">
        <v>74</v>
      </c>
      <c r="R693" t="s">
        <v>74</v>
      </c>
      <c r="S693" t="s">
        <v>74</v>
      </c>
      <c r="T693" t="s">
        <v>13266</v>
      </c>
      <c r="U693" t="s">
        <v>13267</v>
      </c>
      <c r="V693" t="s">
        <v>13268</v>
      </c>
      <c r="W693" t="s">
        <v>13269</v>
      </c>
      <c r="X693" t="s">
        <v>13270</v>
      </c>
      <c r="Y693" t="s">
        <v>13271</v>
      </c>
      <c r="Z693" t="s">
        <v>13272</v>
      </c>
      <c r="AA693" t="s">
        <v>13273</v>
      </c>
      <c r="AB693" t="s">
        <v>13274</v>
      </c>
      <c r="AC693" t="s">
        <v>13275</v>
      </c>
      <c r="AD693" t="s">
        <v>13276</v>
      </c>
      <c r="AE693" t="s">
        <v>13277</v>
      </c>
      <c r="AF693" t="s">
        <v>74</v>
      </c>
      <c r="AG693">
        <v>64</v>
      </c>
      <c r="AH693">
        <v>22</v>
      </c>
      <c r="AI693">
        <v>23</v>
      </c>
      <c r="AJ693">
        <v>1</v>
      </c>
      <c r="AK693">
        <v>25</v>
      </c>
      <c r="AL693" t="s">
        <v>2640</v>
      </c>
      <c r="AM693" t="s">
        <v>1176</v>
      </c>
      <c r="AN693" t="s">
        <v>2641</v>
      </c>
      <c r="AO693" t="s">
        <v>13224</v>
      </c>
      <c r="AP693" t="s">
        <v>13225</v>
      </c>
      <c r="AQ693" t="s">
        <v>74</v>
      </c>
      <c r="AR693" t="s">
        <v>13211</v>
      </c>
      <c r="AS693" t="s">
        <v>13226</v>
      </c>
      <c r="AT693" t="s">
        <v>13101</v>
      </c>
      <c r="AU693">
        <v>2014</v>
      </c>
      <c r="AV693">
        <v>225</v>
      </c>
      <c r="AW693" t="s">
        <v>74</v>
      </c>
      <c r="AX693" t="s">
        <v>74</v>
      </c>
      <c r="AY693" t="s">
        <v>74</v>
      </c>
      <c r="AZ693" t="s">
        <v>1437</v>
      </c>
      <c r="BA693" t="s">
        <v>74</v>
      </c>
      <c r="BB693">
        <v>57</v>
      </c>
      <c r="BC693">
        <v>68</v>
      </c>
      <c r="BD693" t="s">
        <v>74</v>
      </c>
      <c r="BE693" t="s">
        <v>13278</v>
      </c>
      <c r="BF693" t="str">
        <f>HYPERLINK("http://dx.doi.org/10.1016/j.geomorph.2014.04.010","http://dx.doi.org/10.1016/j.geomorph.2014.04.010")</f>
        <v>http://dx.doi.org/10.1016/j.geomorph.2014.04.010</v>
      </c>
      <c r="BG693" t="s">
        <v>74</v>
      </c>
      <c r="BH693" t="s">
        <v>74</v>
      </c>
      <c r="BI693">
        <v>12</v>
      </c>
      <c r="BJ693" t="s">
        <v>372</v>
      </c>
      <c r="BK693" t="s">
        <v>91</v>
      </c>
      <c r="BL693" t="s">
        <v>373</v>
      </c>
      <c r="BM693" t="s">
        <v>13228</v>
      </c>
      <c r="BN693" t="s">
        <v>74</v>
      </c>
      <c r="BO693" t="s">
        <v>4109</v>
      </c>
      <c r="BP693" t="s">
        <v>74</v>
      </c>
      <c r="BQ693" t="s">
        <v>74</v>
      </c>
      <c r="BR693" t="s">
        <v>93</v>
      </c>
      <c r="BS693" t="s">
        <v>13279</v>
      </c>
      <c r="BT693" t="str">
        <f>HYPERLINK("https%3A%2F%2Fwww.webofscience.com%2Fwos%2Fwoscc%2Ffull-record%2FWOS:000342714900006","View Full Record in Web of Science")</f>
        <v>View Full Record in Web of Science</v>
      </c>
    </row>
    <row r="694" spans="1:72" x14ac:dyDescent="0.15">
      <c r="A694" t="s">
        <v>72</v>
      </c>
      <c r="B694" t="s">
        <v>13280</v>
      </c>
      <c r="C694" t="s">
        <v>74</v>
      </c>
      <c r="D694" t="s">
        <v>74</v>
      </c>
      <c r="E694" t="s">
        <v>74</v>
      </c>
      <c r="F694" t="s">
        <v>13281</v>
      </c>
      <c r="G694" t="s">
        <v>74</v>
      </c>
      <c r="H694" t="s">
        <v>74</v>
      </c>
      <c r="I694" t="s">
        <v>13282</v>
      </c>
      <c r="J694" t="s">
        <v>13211</v>
      </c>
      <c r="K694" t="s">
        <v>74</v>
      </c>
      <c r="L694" t="s">
        <v>74</v>
      </c>
      <c r="M694" t="s">
        <v>78</v>
      </c>
      <c r="N694" t="s">
        <v>99</v>
      </c>
      <c r="O694" t="s">
        <v>74</v>
      </c>
      <c r="P694" t="s">
        <v>74</v>
      </c>
      <c r="Q694" t="s">
        <v>74</v>
      </c>
      <c r="R694" t="s">
        <v>74</v>
      </c>
      <c r="S694" t="s">
        <v>74</v>
      </c>
      <c r="T694" t="s">
        <v>13283</v>
      </c>
      <c r="U694" t="s">
        <v>13284</v>
      </c>
      <c r="V694" t="s">
        <v>13285</v>
      </c>
      <c r="W694" t="s">
        <v>13286</v>
      </c>
      <c r="X694" t="s">
        <v>13287</v>
      </c>
      <c r="Y694" t="s">
        <v>13288</v>
      </c>
      <c r="Z694" t="s">
        <v>13289</v>
      </c>
      <c r="AA694" t="s">
        <v>13290</v>
      </c>
      <c r="AB694" t="s">
        <v>13291</v>
      </c>
      <c r="AC694" t="s">
        <v>13292</v>
      </c>
      <c r="AD694" t="s">
        <v>13293</v>
      </c>
      <c r="AE694" t="s">
        <v>13294</v>
      </c>
      <c r="AF694" t="s">
        <v>74</v>
      </c>
      <c r="AG694">
        <v>58</v>
      </c>
      <c r="AH694">
        <v>78</v>
      </c>
      <c r="AI694">
        <v>84</v>
      </c>
      <c r="AJ694">
        <v>2</v>
      </c>
      <c r="AK694">
        <v>75</v>
      </c>
      <c r="AL694" t="s">
        <v>2640</v>
      </c>
      <c r="AM694" t="s">
        <v>1176</v>
      </c>
      <c r="AN694" t="s">
        <v>2641</v>
      </c>
      <c r="AO694" t="s">
        <v>13224</v>
      </c>
      <c r="AP694" t="s">
        <v>13225</v>
      </c>
      <c r="AQ694" t="s">
        <v>74</v>
      </c>
      <c r="AR694" t="s">
        <v>13211</v>
      </c>
      <c r="AS694" t="s">
        <v>13226</v>
      </c>
      <c r="AT694" t="s">
        <v>13101</v>
      </c>
      <c r="AU694">
        <v>2014</v>
      </c>
      <c r="AV694">
        <v>225</v>
      </c>
      <c r="AW694" t="s">
        <v>74</v>
      </c>
      <c r="AX694" t="s">
        <v>74</v>
      </c>
      <c r="AY694" t="s">
        <v>74</v>
      </c>
      <c r="AZ694" t="s">
        <v>1437</v>
      </c>
      <c r="BA694" t="s">
        <v>74</v>
      </c>
      <c r="BB694">
        <v>76</v>
      </c>
      <c r="BC694">
        <v>86</v>
      </c>
      <c r="BD694" t="s">
        <v>74</v>
      </c>
      <c r="BE694" t="s">
        <v>13295</v>
      </c>
      <c r="BF694" t="str">
        <f>HYPERLINK("http://dx.doi.org/10.1016/j.geomorph.2014.03.041","http://dx.doi.org/10.1016/j.geomorph.2014.03.041")</f>
        <v>http://dx.doi.org/10.1016/j.geomorph.2014.03.041</v>
      </c>
      <c r="BG694" t="s">
        <v>74</v>
      </c>
      <c r="BH694" t="s">
        <v>74</v>
      </c>
      <c r="BI694">
        <v>11</v>
      </c>
      <c r="BJ694" t="s">
        <v>372</v>
      </c>
      <c r="BK694" t="s">
        <v>91</v>
      </c>
      <c r="BL694" t="s">
        <v>373</v>
      </c>
      <c r="BM694" t="s">
        <v>13228</v>
      </c>
      <c r="BN694" t="s">
        <v>74</v>
      </c>
      <c r="BO694" t="s">
        <v>74</v>
      </c>
      <c r="BP694" t="s">
        <v>74</v>
      </c>
      <c r="BQ694" t="s">
        <v>74</v>
      </c>
      <c r="BR694" t="s">
        <v>93</v>
      </c>
      <c r="BS694" t="s">
        <v>13296</v>
      </c>
      <c r="BT694" t="str">
        <f>HYPERLINK("https%3A%2F%2Fwww.webofscience.com%2Fwos%2Fwoscc%2Ffull-record%2FWOS:000342714900008","View Full Record in Web of Science")</f>
        <v>View Full Record in Web of Science</v>
      </c>
    </row>
    <row r="695" spans="1:72" x14ac:dyDescent="0.15">
      <c r="A695" t="s">
        <v>72</v>
      </c>
      <c r="B695" t="s">
        <v>13297</v>
      </c>
      <c r="C695" t="s">
        <v>74</v>
      </c>
      <c r="D695" t="s">
        <v>74</v>
      </c>
      <c r="E695" t="s">
        <v>74</v>
      </c>
      <c r="F695" t="s">
        <v>13298</v>
      </c>
      <c r="G695" t="s">
        <v>74</v>
      </c>
      <c r="H695" t="s">
        <v>74</v>
      </c>
      <c r="I695" t="s">
        <v>13299</v>
      </c>
      <c r="J695" t="s">
        <v>2526</v>
      </c>
      <c r="K695" t="s">
        <v>74</v>
      </c>
      <c r="L695" t="s">
        <v>74</v>
      </c>
      <c r="M695" t="s">
        <v>78</v>
      </c>
      <c r="N695" t="s">
        <v>99</v>
      </c>
      <c r="O695" t="s">
        <v>74</v>
      </c>
      <c r="P695" t="s">
        <v>74</v>
      </c>
      <c r="Q695" t="s">
        <v>74</v>
      </c>
      <c r="R695" t="s">
        <v>74</v>
      </c>
      <c r="S695" t="s">
        <v>74</v>
      </c>
      <c r="T695" t="s">
        <v>13300</v>
      </c>
      <c r="U695" t="s">
        <v>13301</v>
      </c>
      <c r="V695" t="s">
        <v>13302</v>
      </c>
      <c r="W695" t="s">
        <v>13303</v>
      </c>
      <c r="X695" t="s">
        <v>2754</v>
      </c>
      <c r="Y695" t="s">
        <v>13304</v>
      </c>
      <c r="Z695" t="s">
        <v>13305</v>
      </c>
      <c r="AA695" t="s">
        <v>13306</v>
      </c>
      <c r="AB695" t="s">
        <v>13307</v>
      </c>
      <c r="AC695" t="s">
        <v>13308</v>
      </c>
      <c r="AD695" t="s">
        <v>13309</v>
      </c>
      <c r="AE695" t="s">
        <v>13310</v>
      </c>
      <c r="AF695" t="s">
        <v>74</v>
      </c>
      <c r="AG695">
        <v>95</v>
      </c>
      <c r="AH695">
        <v>58</v>
      </c>
      <c r="AI695">
        <v>65</v>
      </c>
      <c r="AJ695">
        <v>2</v>
      </c>
      <c r="AK695">
        <v>50</v>
      </c>
      <c r="AL695" t="s">
        <v>1563</v>
      </c>
      <c r="AM695" t="s">
        <v>1564</v>
      </c>
      <c r="AN695" t="s">
        <v>10343</v>
      </c>
      <c r="AO695" t="s">
        <v>2538</v>
      </c>
      <c r="AP695" t="s">
        <v>2539</v>
      </c>
      <c r="AQ695" t="s">
        <v>74</v>
      </c>
      <c r="AR695" t="s">
        <v>2540</v>
      </c>
      <c r="AS695" t="s">
        <v>2541</v>
      </c>
      <c r="AT695" t="s">
        <v>13101</v>
      </c>
      <c r="AU695">
        <v>2014</v>
      </c>
      <c r="AV695">
        <v>27</v>
      </c>
      <c r="AW695">
        <v>22</v>
      </c>
      <c r="AX695" t="s">
        <v>74</v>
      </c>
      <c r="AY695" t="s">
        <v>74</v>
      </c>
      <c r="AZ695" t="s">
        <v>74</v>
      </c>
      <c r="BA695" t="s">
        <v>74</v>
      </c>
      <c r="BB695">
        <v>8444</v>
      </c>
      <c r="BC695">
        <v>8465</v>
      </c>
      <c r="BD695" t="s">
        <v>74</v>
      </c>
      <c r="BE695" t="s">
        <v>13311</v>
      </c>
      <c r="BF695" t="str">
        <f>HYPERLINK("http://dx.doi.org/10.1175/JCLI-D-13-00344.1","http://dx.doi.org/10.1175/JCLI-D-13-00344.1")</f>
        <v>http://dx.doi.org/10.1175/JCLI-D-13-00344.1</v>
      </c>
      <c r="BG695" t="s">
        <v>74</v>
      </c>
      <c r="BH695" t="s">
        <v>74</v>
      </c>
      <c r="BI695">
        <v>22</v>
      </c>
      <c r="BJ695" t="s">
        <v>226</v>
      </c>
      <c r="BK695" t="s">
        <v>91</v>
      </c>
      <c r="BL695" t="s">
        <v>226</v>
      </c>
      <c r="BM695" t="s">
        <v>13312</v>
      </c>
      <c r="BN695" t="s">
        <v>74</v>
      </c>
      <c r="BO695" t="s">
        <v>1904</v>
      </c>
      <c r="BP695" t="s">
        <v>74</v>
      </c>
      <c r="BQ695" t="s">
        <v>74</v>
      </c>
      <c r="BR695" t="s">
        <v>93</v>
      </c>
      <c r="BS695" t="s">
        <v>13313</v>
      </c>
      <c r="BT695" t="str">
        <f>HYPERLINK("https%3A%2F%2Fwww.webofscience.com%2Fwos%2Fwoscc%2Ffull-record%2FWOS:000344774200010","View Full Record in Web of Science")</f>
        <v>View Full Record in Web of Science</v>
      </c>
    </row>
    <row r="696" spans="1:72" x14ac:dyDescent="0.15">
      <c r="A696" t="s">
        <v>72</v>
      </c>
      <c r="B696" t="s">
        <v>13314</v>
      </c>
      <c r="C696" t="s">
        <v>74</v>
      </c>
      <c r="D696" t="s">
        <v>74</v>
      </c>
      <c r="E696" t="s">
        <v>74</v>
      </c>
      <c r="F696" t="s">
        <v>13315</v>
      </c>
      <c r="G696" t="s">
        <v>74</v>
      </c>
      <c r="H696" t="s">
        <v>74</v>
      </c>
      <c r="I696" t="s">
        <v>13316</v>
      </c>
      <c r="J696" t="s">
        <v>8584</v>
      </c>
      <c r="K696" t="s">
        <v>74</v>
      </c>
      <c r="L696" t="s">
        <v>74</v>
      </c>
      <c r="M696" t="s">
        <v>78</v>
      </c>
      <c r="N696" t="s">
        <v>99</v>
      </c>
      <c r="O696" t="s">
        <v>74</v>
      </c>
      <c r="P696" t="s">
        <v>74</v>
      </c>
      <c r="Q696" t="s">
        <v>74</v>
      </c>
      <c r="R696" t="s">
        <v>74</v>
      </c>
      <c r="S696" t="s">
        <v>74</v>
      </c>
      <c r="T696" t="s">
        <v>13317</v>
      </c>
      <c r="U696" t="s">
        <v>13318</v>
      </c>
      <c r="V696" t="s">
        <v>13319</v>
      </c>
      <c r="W696" t="s">
        <v>13320</v>
      </c>
      <c r="X696" t="s">
        <v>13321</v>
      </c>
      <c r="Y696" t="s">
        <v>13322</v>
      </c>
      <c r="Z696" t="s">
        <v>13323</v>
      </c>
      <c r="AA696" t="s">
        <v>13324</v>
      </c>
      <c r="AB696" t="s">
        <v>13325</v>
      </c>
      <c r="AC696" t="s">
        <v>13326</v>
      </c>
      <c r="AD696" t="s">
        <v>13327</v>
      </c>
      <c r="AE696" t="s">
        <v>13328</v>
      </c>
      <c r="AF696" t="s">
        <v>74</v>
      </c>
      <c r="AG696">
        <v>60</v>
      </c>
      <c r="AH696">
        <v>44</v>
      </c>
      <c r="AI696">
        <v>49</v>
      </c>
      <c r="AJ696">
        <v>2</v>
      </c>
      <c r="AK696">
        <v>108</v>
      </c>
      <c r="AL696" t="s">
        <v>2640</v>
      </c>
      <c r="AM696" t="s">
        <v>1176</v>
      </c>
      <c r="AN696" t="s">
        <v>2641</v>
      </c>
      <c r="AO696" t="s">
        <v>8597</v>
      </c>
      <c r="AP696" t="s">
        <v>8598</v>
      </c>
      <c r="AQ696" t="s">
        <v>74</v>
      </c>
      <c r="AR696" t="s">
        <v>8599</v>
      </c>
      <c r="AS696" t="s">
        <v>8600</v>
      </c>
      <c r="AT696" t="s">
        <v>13101</v>
      </c>
      <c r="AU696">
        <v>2014</v>
      </c>
      <c r="AV696">
        <v>499</v>
      </c>
      <c r="AW696" t="s">
        <v>74</v>
      </c>
      <c r="AX696" t="s">
        <v>74</v>
      </c>
      <c r="AY696" t="s">
        <v>74</v>
      </c>
      <c r="AZ696" t="s">
        <v>74</v>
      </c>
      <c r="BA696" t="s">
        <v>74</v>
      </c>
      <c r="BB696">
        <v>89</v>
      </c>
      <c r="BC696">
        <v>98</v>
      </c>
      <c r="BD696" t="s">
        <v>74</v>
      </c>
      <c r="BE696" t="s">
        <v>13329</v>
      </c>
      <c r="BF696" t="str">
        <f>HYPERLINK("http://dx.doi.org/10.1016/j.scitotenv.2014.08.033","http://dx.doi.org/10.1016/j.scitotenv.2014.08.033")</f>
        <v>http://dx.doi.org/10.1016/j.scitotenv.2014.08.033</v>
      </c>
      <c r="BG696" t="s">
        <v>74</v>
      </c>
      <c r="BH696" t="s">
        <v>74</v>
      </c>
      <c r="BI696">
        <v>10</v>
      </c>
      <c r="BJ696" t="s">
        <v>1611</v>
      </c>
      <c r="BK696" t="s">
        <v>91</v>
      </c>
      <c r="BL696" t="s">
        <v>395</v>
      </c>
      <c r="BM696" t="s">
        <v>13330</v>
      </c>
      <c r="BN696">
        <v>25173865</v>
      </c>
      <c r="BO696" t="s">
        <v>2056</v>
      </c>
      <c r="BP696" t="s">
        <v>74</v>
      </c>
      <c r="BQ696" t="s">
        <v>74</v>
      </c>
      <c r="BR696" t="s">
        <v>93</v>
      </c>
      <c r="BS696" t="s">
        <v>13331</v>
      </c>
      <c r="BT696" t="str">
        <f>HYPERLINK("https%3A%2F%2Fwww.webofscience.com%2Fwos%2Fwoscc%2Ffull-record%2FWOS:000343613200010","View Full Record in Web of Science")</f>
        <v>View Full Record in Web of Science</v>
      </c>
    </row>
    <row r="697" spans="1:72" x14ac:dyDescent="0.15">
      <c r="A697" t="s">
        <v>72</v>
      </c>
      <c r="B697" t="s">
        <v>13332</v>
      </c>
      <c r="C697" t="s">
        <v>74</v>
      </c>
      <c r="D697" t="s">
        <v>74</v>
      </c>
      <c r="E697" t="s">
        <v>74</v>
      </c>
      <c r="F697" t="s">
        <v>13333</v>
      </c>
      <c r="G697" t="s">
        <v>74</v>
      </c>
      <c r="H697" t="s">
        <v>74</v>
      </c>
      <c r="I697" t="s">
        <v>13334</v>
      </c>
      <c r="J697" t="s">
        <v>13211</v>
      </c>
      <c r="K697" t="s">
        <v>74</v>
      </c>
      <c r="L697" t="s">
        <v>74</v>
      </c>
      <c r="M697" t="s">
        <v>78</v>
      </c>
      <c r="N697" t="s">
        <v>99</v>
      </c>
      <c r="O697" t="s">
        <v>74</v>
      </c>
      <c r="P697" t="s">
        <v>74</v>
      </c>
      <c r="Q697" t="s">
        <v>74</v>
      </c>
      <c r="R697" t="s">
        <v>74</v>
      </c>
      <c r="S697" t="s">
        <v>74</v>
      </c>
      <c r="T697" t="s">
        <v>13335</v>
      </c>
      <c r="U697" t="s">
        <v>13336</v>
      </c>
      <c r="V697" t="s">
        <v>13337</v>
      </c>
      <c r="W697" t="s">
        <v>13338</v>
      </c>
      <c r="X697" t="s">
        <v>13339</v>
      </c>
      <c r="Y697" t="s">
        <v>74</v>
      </c>
      <c r="Z697" t="s">
        <v>13256</v>
      </c>
      <c r="AA697" t="s">
        <v>13340</v>
      </c>
      <c r="AB697" t="s">
        <v>13341</v>
      </c>
      <c r="AC697" t="s">
        <v>74</v>
      </c>
      <c r="AD697" t="s">
        <v>74</v>
      </c>
      <c r="AE697" t="s">
        <v>74</v>
      </c>
      <c r="AF697" t="s">
        <v>74</v>
      </c>
      <c r="AG697">
        <v>25</v>
      </c>
      <c r="AH697">
        <v>12</v>
      </c>
      <c r="AI697">
        <v>13</v>
      </c>
      <c r="AJ697">
        <v>0</v>
      </c>
      <c r="AK697">
        <v>47</v>
      </c>
      <c r="AL697" t="s">
        <v>2640</v>
      </c>
      <c r="AM697" t="s">
        <v>1176</v>
      </c>
      <c r="AN697" t="s">
        <v>2641</v>
      </c>
      <c r="AO697" t="s">
        <v>13224</v>
      </c>
      <c r="AP697" t="s">
        <v>13225</v>
      </c>
      <c r="AQ697" t="s">
        <v>74</v>
      </c>
      <c r="AR697" t="s">
        <v>13211</v>
      </c>
      <c r="AS697" t="s">
        <v>13226</v>
      </c>
      <c r="AT697" t="s">
        <v>13101</v>
      </c>
      <c r="AU697">
        <v>2014</v>
      </c>
      <c r="AV697">
        <v>225</v>
      </c>
      <c r="AW697" t="s">
        <v>74</v>
      </c>
      <c r="AX697" t="s">
        <v>74</v>
      </c>
      <c r="AY697" t="s">
        <v>74</v>
      </c>
      <c r="AZ697" t="s">
        <v>1437</v>
      </c>
      <c r="BA697" t="s">
        <v>74</v>
      </c>
      <c r="BB697">
        <v>1</v>
      </c>
      <c r="BC697">
        <v>3</v>
      </c>
      <c r="BD697" t="s">
        <v>74</v>
      </c>
      <c r="BE697" t="s">
        <v>13342</v>
      </c>
      <c r="BF697" t="str">
        <f>HYPERLINK("http://dx.doi.org/10.1016/j.geomorph.2014.04.005","http://dx.doi.org/10.1016/j.geomorph.2014.04.005")</f>
        <v>http://dx.doi.org/10.1016/j.geomorph.2014.04.005</v>
      </c>
      <c r="BG697" t="s">
        <v>74</v>
      </c>
      <c r="BH697" t="s">
        <v>74</v>
      </c>
      <c r="BI697">
        <v>3</v>
      </c>
      <c r="BJ697" t="s">
        <v>372</v>
      </c>
      <c r="BK697" t="s">
        <v>91</v>
      </c>
      <c r="BL697" t="s">
        <v>373</v>
      </c>
      <c r="BM697" t="s">
        <v>13228</v>
      </c>
      <c r="BN697" t="s">
        <v>74</v>
      </c>
      <c r="BO697" t="s">
        <v>74</v>
      </c>
      <c r="BP697" t="s">
        <v>74</v>
      </c>
      <c r="BQ697" t="s">
        <v>74</v>
      </c>
      <c r="BR697" t="s">
        <v>93</v>
      </c>
      <c r="BS697" t="s">
        <v>13343</v>
      </c>
      <c r="BT697" t="str">
        <f>HYPERLINK("https%3A%2F%2Fwww.webofscience.com%2Fwos%2Fwoscc%2Ffull-record%2FWOS:000342714900001","View Full Record in Web of Science")</f>
        <v>View Full Record in Web of Science</v>
      </c>
    </row>
    <row r="698" spans="1:72" x14ac:dyDescent="0.15">
      <c r="A698" t="s">
        <v>72</v>
      </c>
      <c r="B698" t="s">
        <v>13344</v>
      </c>
      <c r="C698" t="s">
        <v>74</v>
      </c>
      <c r="D698" t="s">
        <v>74</v>
      </c>
      <c r="E698" t="s">
        <v>74</v>
      </c>
      <c r="F698" t="s">
        <v>13345</v>
      </c>
      <c r="G698" t="s">
        <v>74</v>
      </c>
      <c r="H698" t="s">
        <v>74</v>
      </c>
      <c r="I698" t="s">
        <v>13346</v>
      </c>
      <c r="J698" t="s">
        <v>13211</v>
      </c>
      <c r="K698" t="s">
        <v>74</v>
      </c>
      <c r="L698" t="s">
        <v>74</v>
      </c>
      <c r="M698" t="s">
        <v>78</v>
      </c>
      <c r="N698" t="s">
        <v>99</v>
      </c>
      <c r="O698" t="s">
        <v>74</v>
      </c>
      <c r="P698" t="s">
        <v>74</v>
      </c>
      <c r="Q698" t="s">
        <v>74</v>
      </c>
      <c r="R698" t="s">
        <v>74</v>
      </c>
      <c r="S698" t="s">
        <v>74</v>
      </c>
      <c r="T698" t="s">
        <v>13347</v>
      </c>
      <c r="U698" t="s">
        <v>13348</v>
      </c>
      <c r="V698" t="s">
        <v>13349</v>
      </c>
      <c r="W698" t="s">
        <v>13350</v>
      </c>
      <c r="X698" t="s">
        <v>13351</v>
      </c>
      <c r="Y698" t="s">
        <v>13352</v>
      </c>
      <c r="Z698" t="s">
        <v>13353</v>
      </c>
      <c r="AA698" t="s">
        <v>13354</v>
      </c>
      <c r="AB698" t="s">
        <v>13355</v>
      </c>
      <c r="AC698" t="s">
        <v>13356</v>
      </c>
      <c r="AD698" t="s">
        <v>13357</v>
      </c>
      <c r="AE698" t="s">
        <v>13358</v>
      </c>
      <c r="AF698" t="s">
        <v>74</v>
      </c>
      <c r="AG698">
        <v>57</v>
      </c>
      <c r="AH698">
        <v>38</v>
      </c>
      <c r="AI698">
        <v>39</v>
      </c>
      <c r="AJ698">
        <v>2</v>
      </c>
      <c r="AK698">
        <v>22</v>
      </c>
      <c r="AL698" t="s">
        <v>2640</v>
      </c>
      <c r="AM698" t="s">
        <v>1176</v>
      </c>
      <c r="AN698" t="s">
        <v>2641</v>
      </c>
      <c r="AO698" t="s">
        <v>13224</v>
      </c>
      <c r="AP698" t="s">
        <v>13225</v>
      </c>
      <c r="AQ698" t="s">
        <v>74</v>
      </c>
      <c r="AR698" t="s">
        <v>13211</v>
      </c>
      <c r="AS698" t="s">
        <v>13226</v>
      </c>
      <c r="AT698" t="s">
        <v>13101</v>
      </c>
      <c r="AU698">
        <v>2014</v>
      </c>
      <c r="AV698">
        <v>225</v>
      </c>
      <c r="AW698" t="s">
        <v>74</v>
      </c>
      <c r="AX698" t="s">
        <v>74</v>
      </c>
      <c r="AY698" t="s">
        <v>74</v>
      </c>
      <c r="AZ698" t="s">
        <v>1437</v>
      </c>
      <c r="BA698" t="s">
        <v>74</v>
      </c>
      <c r="BB698">
        <v>87</v>
      </c>
      <c r="BC698">
        <v>99</v>
      </c>
      <c r="BD698" t="s">
        <v>74</v>
      </c>
      <c r="BE698" t="s">
        <v>13359</v>
      </c>
      <c r="BF698" t="str">
        <f>HYPERLINK("http://dx.doi.org/10.1016/j.geomorph.2014.03.047","http://dx.doi.org/10.1016/j.geomorph.2014.03.047")</f>
        <v>http://dx.doi.org/10.1016/j.geomorph.2014.03.047</v>
      </c>
      <c r="BG698" t="s">
        <v>74</v>
      </c>
      <c r="BH698" t="s">
        <v>74</v>
      </c>
      <c r="BI698">
        <v>13</v>
      </c>
      <c r="BJ698" t="s">
        <v>372</v>
      </c>
      <c r="BK698" t="s">
        <v>91</v>
      </c>
      <c r="BL698" t="s">
        <v>373</v>
      </c>
      <c r="BM698" t="s">
        <v>13228</v>
      </c>
      <c r="BN698" t="s">
        <v>74</v>
      </c>
      <c r="BO698" t="s">
        <v>2056</v>
      </c>
      <c r="BP698" t="s">
        <v>74</v>
      </c>
      <c r="BQ698" t="s">
        <v>74</v>
      </c>
      <c r="BR698" t="s">
        <v>93</v>
      </c>
      <c r="BS698" t="s">
        <v>13360</v>
      </c>
      <c r="BT698" t="str">
        <f>HYPERLINK("https%3A%2F%2Fwww.webofscience.com%2Fwos%2Fwoscc%2Ffull-record%2FWOS:000342714900009","View Full Record in Web of Science")</f>
        <v>View Full Record in Web of Science</v>
      </c>
    </row>
    <row r="699" spans="1:72" x14ac:dyDescent="0.15">
      <c r="A699" t="s">
        <v>72</v>
      </c>
      <c r="B699" t="s">
        <v>13361</v>
      </c>
      <c r="C699" t="s">
        <v>74</v>
      </c>
      <c r="D699" t="s">
        <v>74</v>
      </c>
      <c r="E699" t="s">
        <v>74</v>
      </c>
      <c r="F699" t="s">
        <v>13362</v>
      </c>
      <c r="G699" t="s">
        <v>74</v>
      </c>
      <c r="H699" t="s">
        <v>74</v>
      </c>
      <c r="I699" t="s">
        <v>13363</v>
      </c>
      <c r="J699" t="s">
        <v>9061</v>
      </c>
      <c r="K699" t="s">
        <v>74</v>
      </c>
      <c r="L699" t="s">
        <v>74</v>
      </c>
      <c r="M699" t="s">
        <v>78</v>
      </c>
      <c r="N699" t="s">
        <v>99</v>
      </c>
      <c r="O699" t="s">
        <v>74</v>
      </c>
      <c r="P699" t="s">
        <v>74</v>
      </c>
      <c r="Q699" t="s">
        <v>74</v>
      </c>
      <c r="R699" t="s">
        <v>74</v>
      </c>
      <c r="S699" t="s">
        <v>74</v>
      </c>
      <c r="T699" t="s">
        <v>74</v>
      </c>
      <c r="U699" t="s">
        <v>13364</v>
      </c>
      <c r="V699" t="s">
        <v>13365</v>
      </c>
      <c r="W699" t="s">
        <v>13366</v>
      </c>
      <c r="X699" t="s">
        <v>13367</v>
      </c>
      <c r="Y699" t="s">
        <v>13368</v>
      </c>
      <c r="Z699" t="s">
        <v>13369</v>
      </c>
      <c r="AA699" t="s">
        <v>13370</v>
      </c>
      <c r="AB699" t="s">
        <v>13371</v>
      </c>
      <c r="AC699" t="s">
        <v>13372</v>
      </c>
      <c r="AD699" t="s">
        <v>13373</v>
      </c>
      <c r="AE699" t="s">
        <v>13374</v>
      </c>
      <c r="AF699" t="s">
        <v>74</v>
      </c>
      <c r="AG699">
        <v>37</v>
      </c>
      <c r="AH699">
        <v>45</v>
      </c>
      <c r="AI699">
        <v>57</v>
      </c>
      <c r="AJ699">
        <v>2</v>
      </c>
      <c r="AK699">
        <v>97</v>
      </c>
      <c r="AL699" t="s">
        <v>9073</v>
      </c>
      <c r="AM699" t="s">
        <v>1946</v>
      </c>
      <c r="AN699" t="s">
        <v>9074</v>
      </c>
      <c r="AO699" t="s">
        <v>9075</v>
      </c>
      <c r="AP699" t="s">
        <v>9076</v>
      </c>
      <c r="AQ699" t="s">
        <v>74</v>
      </c>
      <c r="AR699" t="s">
        <v>9061</v>
      </c>
      <c r="AS699" t="s">
        <v>9077</v>
      </c>
      <c r="AT699" t="s">
        <v>13375</v>
      </c>
      <c r="AU699">
        <v>2014</v>
      </c>
      <c r="AV699">
        <v>346</v>
      </c>
      <c r="AW699">
        <v>6211</v>
      </c>
      <c r="AX699" t="s">
        <v>74</v>
      </c>
      <c r="AY699" t="s">
        <v>74</v>
      </c>
      <c r="AZ699" t="s">
        <v>74</v>
      </c>
      <c r="BA699" t="s">
        <v>74</v>
      </c>
      <c r="BB699">
        <v>847</v>
      </c>
      <c r="BC699">
        <v>851</v>
      </c>
      <c r="BD699" t="s">
        <v>74</v>
      </c>
      <c r="BE699" t="s">
        <v>13376</v>
      </c>
      <c r="BF699" t="str">
        <f>HYPERLINK("http://dx.doi.org/10.1126/science.1255586","http://dx.doi.org/10.1126/science.1255586")</f>
        <v>http://dx.doi.org/10.1126/science.1255586</v>
      </c>
      <c r="BG699" t="s">
        <v>74</v>
      </c>
      <c r="BH699" t="s">
        <v>74</v>
      </c>
      <c r="BI699">
        <v>5</v>
      </c>
      <c r="BJ699" t="s">
        <v>201</v>
      </c>
      <c r="BK699" t="s">
        <v>91</v>
      </c>
      <c r="BL699" t="s">
        <v>203</v>
      </c>
      <c r="BM699" t="s">
        <v>13377</v>
      </c>
      <c r="BN699">
        <v>25342658</v>
      </c>
      <c r="BO699" t="s">
        <v>375</v>
      </c>
      <c r="BP699" t="s">
        <v>74</v>
      </c>
      <c r="BQ699" t="s">
        <v>74</v>
      </c>
      <c r="BR699" t="s">
        <v>93</v>
      </c>
      <c r="BS699" t="s">
        <v>13378</v>
      </c>
      <c r="BT699" t="str">
        <f>HYPERLINK("https%3A%2F%2Fwww.webofscience.com%2Fwos%2Fwoscc%2Ffull-record%2FWOS:000344659900044","View Full Record in Web of Science")</f>
        <v>View Full Record in Web of Science</v>
      </c>
    </row>
    <row r="700" spans="1:72" x14ac:dyDescent="0.15">
      <c r="A700" t="s">
        <v>72</v>
      </c>
      <c r="B700" t="s">
        <v>13379</v>
      </c>
      <c r="C700" t="s">
        <v>74</v>
      </c>
      <c r="D700" t="s">
        <v>74</v>
      </c>
      <c r="E700" t="s">
        <v>74</v>
      </c>
      <c r="F700" t="s">
        <v>13380</v>
      </c>
      <c r="G700" t="s">
        <v>74</v>
      </c>
      <c r="H700" t="s">
        <v>74</v>
      </c>
      <c r="I700" t="s">
        <v>13381</v>
      </c>
      <c r="J700" t="s">
        <v>9084</v>
      </c>
      <c r="K700" t="s">
        <v>74</v>
      </c>
      <c r="L700" t="s">
        <v>74</v>
      </c>
      <c r="M700" t="s">
        <v>78</v>
      </c>
      <c r="N700" t="s">
        <v>99</v>
      </c>
      <c r="O700" t="s">
        <v>74</v>
      </c>
      <c r="P700" t="s">
        <v>74</v>
      </c>
      <c r="Q700" t="s">
        <v>74</v>
      </c>
      <c r="R700" t="s">
        <v>74</v>
      </c>
      <c r="S700" t="s">
        <v>74</v>
      </c>
      <c r="T700" t="s">
        <v>74</v>
      </c>
      <c r="U700" t="s">
        <v>13382</v>
      </c>
      <c r="V700" t="s">
        <v>13383</v>
      </c>
      <c r="W700" t="s">
        <v>13384</v>
      </c>
      <c r="X700" t="s">
        <v>13385</v>
      </c>
      <c r="Y700" t="s">
        <v>13386</v>
      </c>
      <c r="Z700" t="s">
        <v>13387</v>
      </c>
      <c r="AA700" t="s">
        <v>13388</v>
      </c>
      <c r="AB700" t="s">
        <v>13389</v>
      </c>
      <c r="AC700" t="s">
        <v>13390</v>
      </c>
      <c r="AD700" t="s">
        <v>13391</v>
      </c>
      <c r="AE700" t="s">
        <v>13392</v>
      </c>
      <c r="AF700" t="s">
        <v>74</v>
      </c>
      <c r="AG700">
        <v>62</v>
      </c>
      <c r="AH700">
        <v>54</v>
      </c>
      <c r="AI700">
        <v>54</v>
      </c>
      <c r="AJ700">
        <v>0</v>
      </c>
      <c r="AK700">
        <v>40</v>
      </c>
      <c r="AL700" t="s">
        <v>9093</v>
      </c>
      <c r="AM700" t="s">
        <v>9094</v>
      </c>
      <c r="AN700" t="s">
        <v>9095</v>
      </c>
      <c r="AO700" t="s">
        <v>9096</v>
      </c>
      <c r="AP700" t="s">
        <v>74</v>
      </c>
      <c r="AQ700" t="s">
        <v>74</v>
      </c>
      <c r="AR700" t="s">
        <v>9084</v>
      </c>
      <c r="AS700" t="s">
        <v>9097</v>
      </c>
      <c r="AT700" t="s">
        <v>13375</v>
      </c>
      <c r="AU700">
        <v>2014</v>
      </c>
      <c r="AV700">
        <v>9</v>
      </c>
      <c r="AW700">
        <v>11</v>
      </c>
      <c r="AX700" t="s">
        <v>74</v>
      </c>
      <c r="AY700" t="s">
        <v>74</v>
      </c>
      <c r="AZ700" t="s">
        <v>74</v>
      </c>
      <c r="BA700" t="s">
        <v>74</v>
      </c>
      <c r="BB700" t="s">
        <v>74</v>
      </c>
      <c r="BC700" t="s">
        <v>74</v>
      </c>
      <c r="BD700" t="s">
        <v>13393</v>
      </c>
      <c r="BE700" t="s">
        <v>13394</v>
      </c>
      <c r="BF700" t="str">
        <f>HYPERLINK("http://dx.doi.org/10.1371/journal.pone.0113137","http://dx.doi.org/10.1371/journal.pone.0113137")</f>
        <v>http://dx.doi.org/10.1371/journal.pone.0113137</v>
      </c>
      <c r="BG700" t="s">
        <v>74</v>
      </c>
      <c r="BH700" t="s">
        <v>74</v>
      </c>
      <c r="BI700">
        <v>12</v>
      </c>
      <c r="BJ700" t="s">
        <v>201</v>
      </c>
      <c r="BK700" t="s">
        <v>91</v>
      </c>
      <c r="BL700" t="s">
        <v>203</v>
      </c>
      <c r="BM700" t="s">
        <v>13395</v>
      </c>
      <c r="BN700">
        <v>25398135</v>
      </c>
      <c r="BO700" t="s">
        <v>228</v>
      </c>
      <c r="BP700" t="s">
        <v>74</v>
      </c>
      <c r="BQ700" t="s">
        <v>74</v>
      </c>
      <c r="BR700" t="s">
        <v>93</v>
      </c>
      <c r="BS700" t="s">
        <v>13396</v>
      </c>
      <c r="BT700" t="str">
        <f>HYPERLINK("https%3A%2F%2Fwww.webofscience.com%2Fwos%2Fwoscc%2Ffull-record%2FWOS:000345558500136","View Full Record in Web of Science")</f>
        <v>View Full Record in Web of Science</v>
      </c>
    </row>
    <row r="701" spans="1:72" x14ac:dyDescent="0.15">
      <c r="A701" t="s">
        <v>72</v>
      </c>
      <c r="B701" t="s">
        <v>13397</v>
      </c>
      <c r="C701" t="s">
        <v>74</v>
      </c>
      <c r="D701" t="s">
        <v>74</v>
      </c>
      <c r="E701" t="s">
        <v>74</v>
      </c>
      <c r="F701" t="s">
        <v>13398</v>
      </c>
      <c r="G701" t="s">
        <v>74</v>
      </c>
      <c r="H701" t="s">
        <v>74</v>
      </c>
      <c r="I701" t="s">
        <v>13399</v>
      </c>
      <c r="J701" t="s">
        <v>9061</v>
      </c>
      <c r="K701" t="s">
        <v>74</v>
      </c>
      <c r="L701" t="s">
        <v>74</v>
      </c>
      <c r="M701" t="s">
        <v>78</v>
      </c>
      <c r="N701" t="s">
        <v>5947</v>
      </c>
      <c r="O701" t="s">
        <v>74</v>
      </c>
      <c r="P701" t="s">
        <v>74</v>
      </c>
      <c r="Q701" t="s">
        <v>74</v>
      </c>
      <c r="R701" t="s">
        <v>74</v>
      </c>
      <c r="S701" t="s">
        <v>74</v>
      </c>
      <c r="T701" t="s">
        <v>74</v>
      </c>
      <c r="U701" t="s">
        <v>13400</v>
      </c>
      <c r="V701" t="s">
        <v>74</v>
      </c>
      <c r="W701" t="s">
        <v>13401</v>
      </c>
      <c r="X701" t="s">
        <v>13402</v>
      </c>
      <c r="Y701" t="s">
        <v>13403</v>
      </c>
      <c r="Z701" t="s">
        <v>13404</v>
      </c>
      <c r="AA701" t="s">
        <v>5000</v>
      </c>
      <c r="AB701" t="s">
        <v>13405</v>
      </c>
      <c r="AC701" t="s">
        <v>74</v>
      </c>
      <c r="AD701" t="s">
        <v>74</v>
      </c>
      <c r="AE701" t="s">
        <v>74</v>
      </c>
      <c r="AF701" t="s">
        <v>74</v>
      </c>
      <c r="AG701">
        <v>12</v>
      </c>
      <c r="AH701">
        <v>2</v>
      </c>
      <c r="AI701">
        <v>2</v>
      </c>
      <c r="AJ701">
        <v>0</v>
      </c>
      <c r="AK701">
        <v>15</v>
      </c>
      <c r="AL701" t="s">
        <v>9073</v>
      </c>
      <c r="AM701" t="s">
        <v>1946</v>
      </c>
      <c r="AN701" t="s">
        <v>9074</v>
      </c>
      <c r="AO701" t="s">
        <v>9075</v>
      </c>
      <c r="AP701" t="s">
        <v>9076</v>
      </c>
      <c r="AQ701" t="s">
        <v>74</v>
      </c>
      <c r="AR701" t="s">
        <v>9061</v>
      </c>
      <c r="AS701" t="s">
        <v>9077</v>
      </c>
      <c r="AT701" t="s">
        <v>13375</v>
      </c>
      <c r="AU701">
        <v>2014</v>
      </c>
      <c r="AV701">
        <v>346</v>
      </c>
      <c r="AW701">
        <v>6211</v>
      </c>
      <c r="AX701" t="s">
        <v>74</v>
      </c>
      <c r="AY701" t="s">
        <v>74</v>
      </c>
      <c r="AZ701" t="s">
        <v>74</v>
      </c>
      <c r="BA701" t="s">
        <v>74</v>
      </c>
      <c r="BB701">
        <v>812</v>
      </c>
      <c r="BC701">
        <v>813</v>
      </c>
      <c r="BD701" t="s">
        <v>74</v>
      </c>
      <c r="BE701" t="s">
        <v>13406</v>
      </c>
      <c r="BF701" t="str">
        <f>HYPERLINK("http://dx.doi.org/10.1126/science.1262048","http://dx.doi.org/10.1126/science.1262048")</f>
        <v>http://dx.doi.org/10.1126/science.1262048</v>
      </c>
      <c r="BG701" t="s">
        <v>74</v>
      </c>
      <c r="BH701" t="s">
        <v>74</v>
      </c>
      <c r="BI701">
        <v>2</v>
      </c>
      <c r="BJ701" t="s">
        <v>201</v>
      </c>
      <c r="BK701" t="s">
        <v>91</v>
      </c>
      <c r="BL701" t="s">
        <v>203</v>
      </c>
      <c r="BM701" t="s">
        <v>13377</v>
      </c>
      <c r="BN701">
        <v>25395522</v>
      </c>
      <c r="BO701" t="s">
        <v>74</v>
      </c>
      <c r="BP701" t="s">
        <v>74</v>
      </c>
      <c r="BQ701" t="s">
        <v>74</v>
      </c>
      <c r="BR701" t="s">
        <v>93</v>
      </c>
      <c r="BS701" t="s">
        <v>13407</v>
      </c>
      <c r="BT701" t="str">
        <f>HYPERLINK("https%3A%2F%2Fwww.webofscience.com%2Fwos%2Fwoscc%2Ffull-record%2FWOS:000344659900021","View Full Record in Web of Science")</f>
        <v>View Full Record in Web of Science</v>
      </c>
    </row>
    <row r="702" spans="1:72" x14ac:dyDescent="0.15">
      <c r="A702" t="s">
        <v>72</v>
      </c>
      <c r="B702" t="s">
        <v>13408</v>
      </c>
      <c r="C702" t="s">
        <v>74</v>
      </c>
      <c r="D702" t="s">
        <v>74</v>
      </c>
      <c r="E702" t="s">
        <v>74</v>
      </c>
      <c r="F702" t="s">
        <v>13409</v>
      </c>
      <c r="G702" t="s">
        <v>74</v>
      </c>
      <c r="H702" t="s">
        <v>74</v>
      </c>
      <c r="I702" t="s">
        <v>13410</v>
      </c>
      <c r="J702" t="s">
        <v>13411</v>
      </c>
      <c r="K702" t="s">
        <v>74</v>
      </c>
      <c r="L702" t="s">
        <v>74</v>
      </c>
      <c r="M702" t="s">
        <v>78</v>
      </c>
      <c r="N702" t="s">
        <v>99</v>
      </c>
      <c r="O702" t="s">
        <v>74</v>
      </c>
      <c r="P702" t="s">
        <v>74</v>
      </c>
      <c r="Q702" t="s">
        <v>74</v>
      </c>
      <c r="R702" t="s">
        <v>74</v>
      </c>
      <c r="S702" t="s">
        <v>74</v>
      </c>
      <c r="T702" t="s">
        <v>74</v>
      </c>
      <c r="U702" t="s">
        <v>13412</v>
      </c>
      <c r="V702" t="s">
        <v>13413</v>
      </c>
      <c r="W702" t="s">
        <v>13414</v>
      </c>
      <c r="X702" t="s">
        <v>13415</v>
      </c>
      <c r="Y702" t="s">
        <v>13416</v>
      </c>
      <c r="Z702" t="s">
        <v>10685</v>
      </c>
      <c r="AA702" t="s">
        <v>13417</v>
      </c>
      <c r="AB702" t="s">
        <v>74</v>
      </c>
      <c r="AC702" t="s">
        <v>13418</v>
      </c>
      <c r="AD702" t="s">
        <v>10689</v>
      </c>
      <c r="AE702" t="s">
        <v>13419</v>
      </c>
      <c r="AF702" t="s">
        <v>74</v>
      </c>
      <c r="AG702">
        <v>37</v>
      </c>
      <c r="AH702">
        <v>31</v>
      </c>
      <c r="AI702">
        <v>35</v>
      </c>
      <c r="AJ702">
        <v>3</v>
      </c>
      <c r="AK702">
        <v>70</v>
      </c>
      <c r="AL702" t="s">
        <v>7479</v>
      </c>
      <c r="AM702" t="s">
        <v>7177</v>
      </c>
      <c r="AN702" t="s">
        <v>7480</v>
      </c>
      <c r="AO702" t="s">
        <v>13420</v>
      </c>
      <c r="AP702" t="s">
        <v>74</v>
      </c>
      <c r="AQ702" t="s">
        <v>74</v>
      </c>
      <c r="AR702" t="s">
        <v>13421</v>
      </c>
      <c r="AS702" t="s">
        <v>13422</v>
      </c>
      <c r="AT702" t="s">
        <v>13375</v>
      </c>
      <c r="AU702">
        <v>2014</v>
      </c>
      <c r="AV702">
        <v>4</v>
      </c>
      <c r="AW702" t="s">
        <v>74</v>
      </c>
      <c r="AX702" t="s">
        <v>74</v>
      </c>
      <c r="AY702" t="s">
        <v>74</v>
      </c>
      <c r="AZ702" t="s">
        <v>74</v>
      </c>
      <c r="BA702" t="s">
        <v>74</v>
      </c>
      <c r="BB702" t="s">
        <v>74</v>
      </c>
      <c r="BC702" t="s">
        <v>74</v>
      </c>
      <c r="BD702">
        <v>7055</v>
      </c>
      <c r="BE702" t="s">
        <v>13423</v>
      </c>
      <c r="BF702" t="str">
        <f>HYPERLINK("http://dx.doi.org/10.1038/srep07055","http://dx.doi.org/10.1038/srep07055")</f>
        <v>http://dx.doi.org/10.1038/srep07055</v>
      </c>
      <c r="BG702" t="s">
        <v>74</v>
      </c>
      <c r="BH702" t="s">
        <v>74</v>
      </c>
      <c r="BI702">
        <v>9</v>
      </c>
      <c r="BJ702" t="s">
        <v>201</v>
      </c>
      <c r="BK702" t="s">
        <v>91</v>
      </c>
      <c r="BL702" t="s">
        <v>203</v>
      </c>
      <c r="BM702" t="s">
        <v>13424</v>
      </c>
      <c r="BN702">
        <v>25394572</v>
      </c>
      <c r="BO702" t="s">
        <v>159</v>
      </c>
      <c r="BP702" t="s">
        <v>74</v>
      </c>
      <c r="BQ702" t="s">
        <v>74</v>
      </c>
      <c r="BR702" t="s">
        <v>93</v>
      </c>
      <c r="BS702" t="s">
        <v>13425</v>
      </c>
      <c r="BT702" t="str">
        <f>HYPERLINK("https%3A%2F%2Fwww.webofscience.com%2Fwos%2Fwoscc%2Ffull-record%2FWOS:000345297900006","View Full Record in Web of Science")</f>
        <v>View Full Record in Web of Science</v>
      </c>
    </row>
    <row r="703" spans="1:72" x14ac:dyDescent="0.15">
      <c r="A703" t="s">
        <v>72</v>
      </c>
      <c r="B703" t="s">
        <v>13426</v>
      </c>
      <c r="C703" t="s">
        <v>74</v>
      </c>
      <c r="D703" t="s">
        <v>74</v>
      </c>
      <c r="E703" t="s">
        <v>74</v>
      </c>
      <c r="F703" t="s">
        <v>13427</v>
      </c>
      <c r="G703" t="s">
        <v>74</v>
      </c>
      <c r="H703" t="s">
        <v>74</v>
      </c>
      <c r="I703" t="s">
        <v>13428</v>
      </c>
      <c r="J703" t="s">
        <v>13429</v>
      </c>
      <c r="K703" t="s">
        <v>74</v>
      </c>
      <c r="L703" t="s">
        <v>74</v>
      </c>
      <c r="M703" t="s">
        <v>78</v>
      </c>
      <c r="N703" t="s">
        <v>454</v>
      </c>
      <c r="O703" t="s">
        <v>74</v>
      </c>
      <c r="P703" t="s">
        <v>74</v>
      </c>
      <c r="Q703" t="s">
        <v>74</v>
      </c>
      <c r="R703" t="s">
        <v>74</v>
      </c>
      <c r="S703" t="s">
        <v>74</v>
      </c>
      <c r="T703" t="s">
        <v>13430</v>
      </c>
      <c r="U703" t="s">
        <v>13431</v>
      </c>
      <c r="V703" t="s">
        <v>13432</v>
      </c>
      <c r="W703" t="s">
        <v>13433</v>
      </c>
      <c r="X703" t="s">
        <v>13434</v>
      </c>
      <c r="Y703" t="s">
        <v>13435</v>
      </c>
      <c r="Z703" t="s">
        <v>13436</v>
      </c>
      <c r="AA703" t="s">
        <v>13437</v>
      </c>
      <c r="AB703" t="s">
        <v>13438</v>
      </c>
      <c r="AC703" t="s">
        <v>13439</v>
      </c>
      <c r="AD703" t="s">
        <v>13440</v>
      </c>
      <c r="AE703" t="s">
        <v>13441</v>
      </c>
      <c r="AF703" t="s">
        <v>74</v>
      </c>
      <c r="AG703">
        <v>233</v>
      </c>
      <c r="AH703">
        <v>22</v>
      </c>
      <c r="AI703">
        <v>22</v>
      </c>
      <c r="AJ703">
        <v>2</v>
      </c>
      <c r="AK703">
        <v>45</v>
      </c>
      <c r="AL703" t="s">
        <v>2666</v>
      </c>
      <c r="AM703" t="s">
        <v>342</v>
      </c>
      <c r="AN703" t="s">
        <v>2667</v>
      </c>
      <c r="AO703" t="s">
        <v>13442</v>
      </c>
      <c r="AP703" t="s">
        <v>13443</v>
      </c>
      <c r="AQ703" t="s">
        <v>74</v>
      </c>
      <c r="AR703" t="s">
        <v>13444</v>
      </c>
      <c r="AS703" t="s">
        <v>13445</v>
      </c>
      <c r="AT703" t="s">
        <v>13446</v>
      </c>
      <c r="AU703">
        <v>2014</v>
      </c>
      <c r="AV703">
        <v>22</v>
      </c>
      <c r="AW703" t="s">
        <v>74</v>
      </c>
      <c r="AX703" t="s">
        <v>74</v>
      </c>
      <c r="AY703" t="s">
        <v>74</v>
      </c>
      <c r="AZ703" t="s">
        <v>74</v>
      </c>
      <c r="BA703" t="s">
        <v>74</v>
      </c>
      <c r="BB703" t="s">
        <v>74</v>
      </c>
      <c r="BC703" t="s">
        <v>74</v>
      </c>
      <c r="BD703">
        <v>79</v>
      </c>
      <c r="BE703" t="s">
        <v>13447</v>
      </c>
      <c r="BF703" t="str">
        <f>HYPERLINK("http://dx.doi.org/10.1007/s00159-014-0079-6","http://dx.doi.org/10.1007/s00159-014-0079-6")</f>
        <v>http://dx.doi.org/10.1007/s00159-014-0079-6</v>
      </c>
      <c r="BG703" t="s">
        <v>74</v>
      </c>
      <c r="BH703" t="s">
        <v>74</v>
      </c>
      <c r="BI703">
        <v>39</v>
      </c>
      <c r="BJ703" t="s">
        <v>2079</v>
      </c>
      <c r="BK703" t="s">
        <v>91</v>
      </c>
      <c r="BL703" t="s">
        <v>2079</v>
      </c>
      <c r="BM703" t="s">
        <v>13448</v>
      </c>
      <c r="BN703" t="s">
        <v>74</v>
      </c>
      <c r="BO703" t="s">
        <v>5076</v>
      </c>
      <c r="BP703" t="s">
        <v>74</v>
      </c>
      <c r="BQ703" t="s">
        <v>74</v>
      </c>
      <c r="BR703" t="s">
        <v>93</v>
      </c>
      <c r="BS703" t="s">
        <v>13449</v>
      </c>
      <c r="BT703" t="str">
        <f>HYPERLINK("https%3A%2F%2Fwww.webofscience.com%2Fwos%2Fwoscc%2Ffull-record%2FWOS:000348388400001","View Full Record in Web of Science")</f>
        <v>View Full Record in Web of Science</v>
      </c>
    </row>
    <row r="704" spans="1:72" x14ac:dyDescent="0.15">
      <c r="A704" t="s">
        <v>72</v>
      </c>
      <c r="B704" t="s">
        <v>13450</v>
      </c>
      <c r="C704" t="s">
        <v>74</v>
      </c>
      <c r="D704" t="s">
        <v>74</v>
      </c>
      <c r="E704" t="s">
        <v>74</v>
      </c>
      <c r="F704" t="s">
        <v>13451</v>
      </c>
      <c r="G704" t="s">
        <v>74</v>
      </c>
      <c r="H704" t="s">
        <v>74</v>
      </c>
      <c r="I704" t="s">
        <v>13452</v>
      </c>
      <c r="J704" t="s">
        <v>13453</v>
      </c>
      <c r="K704" t="s">
        <v>74</v>
      </c>
      <c r="L704" t="s">
        <v>74</v>
      </c>
      <c r="M704" t="s">
        <v>78</v>
      </c>
      <c r="N704" t="s">
        <v>99</v>
      </c>
      <c r="O704" t="s">
        <v>74</v>
      </c>
      <c r="P704" t="s">
        <v>74</v>
      </c>
      <c r="Q704" t="s">
        <v>74</v>
      </c>
      <c r="R704" t="s">
        <v>74</v>
      </c>
      <c r="S704" t="s">
        <v>74</v>
      </c>
      <c r="T704" t="s">
        <v>74</v>
      </c>
      <c r="U704" t="s">
        <v>13454</v>
      </c>
      <c r="V704" t="s">
        <v>13455</v>
      </c>
      <c r="W704" t="s">
        <v>13456</v>
      </c>
      <c r="X704" t="s">
        <v>13457</v>
      </c>
      <c r="Y704" t="s">
        <v>13458</v>
      </c>
      <c r="Z704" t="s">
        <v>13459</v>
      </c>
      <c r="AA704" t="s">
        <v>13460</v>
      </c>
      <c r="AB704" t="s">
        <v>13461</v>
      </c>
      <c r="AC704" t="s">
        <v>13462</v>
      </c>
      <c r="AD704" t="s">
        <v>13463</v>
      </c>
      <c r="AE704" t="s">
        <v>13464</v>
      </c>
      <c r="AF704" t="s">
        <v>74</v>
      </c>
      <c r="AG704">
        <v>347</v>
      </c>
      <c r="AH704">
        <v>22</v>
      </c>
      <c r="AI704">
        <v>27</v>
      </c>
      <c r="AJ704">
        <v>0</v>
      </c>
      <c r="AK704">
        <v>18</v>
      </c>
      <c r="AL704" t="s">
        <v>6525</v>
      </c>
      <c r="AM704" t="s">
        <v>6526</v>
      </c>
      <c r="AN704" t="s">
        <v>6527</v>
      </c>
      <c r="AO704" t="s">
        <v>13465</v>
      </c>
      <c r="AP704" t="s">
        <v>13466</v>
      </c>
      <c r="AQ704" t="s">
        <v>74</v>
      </c>
      <c r="AR704" t="s">
        <v>13467</v>
      </c>
      <c r="AS704" t="s">
        <v>13468</v>
      </c>
      <c r="AT704" t="s">
        <v>13469</v>
      </c>
      <c r="AU704">
        <v>2014</v>
      </c>
      <c r="AV704">
        <v>34</v>
      </c>
      <c r="AW704" t="s">
        <v>74</v>
      </c>
      <c r="AX704" t="s">
        <v>74</v>
      </c>
      <c r="AY704">
        <v>1</v>
      </c>
      <c r="AZ704" t="s">
        <v>1437</v>
      </c>
      <c r="BA704" t="s">
        <v>74</v>
      </c>
      <c r="BB704">
        <v>14</v>
      </c>
      <c r="BC704">
        <v>109</v>
      </c>
      <c r="BD704" t="s">
        <v>74</v>
      </c>
      <c r="BE704" t="s">
        <v>13470</v>
      </c>
      <c r="BF704" t="str">
        <f>HYPERLINK("http://dx.doi.org/10.1080/02724634.2014.976129","http://dx.doi.org/10.1080/02724634.2014.976129")</f>
        <v>http://dx.doi.org/10.1080/02724634.2014.976129</v>
      </c>
      <c r="BG704" t="s">
        <v>74</v>
      </c>
      <c r="BH704" t="s">
        <v>74</v>
      </c>
      <c r="BI704">
        <v>96</v>
      </c>
      <c r="BJ704" t="s">
        <v>447</v>
      </c>
      <c r="BK704" t="s">
        <v>91</v>
      </c>
      <c r="BL704" t="s">
        <v>447</v>
      </c>
      <c r="BM704" t="s">
        <v>13471</v>
      </c>
      <c r="BN704" t="s">
        <v>74</v>
      </c>
      <c r="BO704" t="s">
        <v>74</v>
      </c>
      <c r="BP704" t="s">
        <v>74</v>
      </c>
      <c r="BQ704" t="s">
        <v>74</v>
      </c>
      <c r="BR704" t="s">
        <v>93</v>
      </c>
      <c r="BS704" t="s">
        <v>13472</v>
      </c>
      <c r="BT704" t="str">
        <f>HYPERLINK("https%3A%2F%2Fwww.webofscience.com%2Fwos%2Fwoscc%2Ffull-record%2FWOS:000346050000003","View Full Record in Web of Science")</f>
        <v>View Full Record in Web of Science</v>
      </c>
    </row>
    <row r="705" spans="1:72" x14ac:dyDescent="0.15">
      <c r="A705" t="s">
        <v>72</v>
      </c>
      <c r="B705" t="s">
        <v>13473</v>
      </c>
      <c r="C705" t="s">
        <v>74</v>
      </c>
      <c r="D705" t="s">
        <v>74</v>
      </c>
      <c r="E705" t="s">
        <v>74</v>
      </c>
      <c r="F705" t="s">
        <v>13474</v>
      </c>
      <c r="G705" t="s">
        <v>74</v>
      </c>
      <c r="H705" t="s">
        <v>74</v>
      </c>
      <c r="I705" t="s">
        <v>13475</v>
      </c>
      <c r="J705" t="s">
        <v>13476</v>
      </c>
      <c r="K705" t="s">
        <v>74</v>
      </c>
      <c r="L705" t="s">
        <v>74</v>
      </c>
      <c r="M705" t="s">
        <v>78</v>
      </c>
      <c r="N705" t="s">
        <v>99</v>
      </c>
      <c r="O705" t="s">
        <v>74</v>
      </c>
      <c r="P705" t="s">
        <v>74</v>
      </c>
      <c r="Q705" t="s">
        <v>74</v>
      </c>
      <c r="R705" t="s">
        <v>74</v>
      </c>
      <c r="S705" t="s">
        <v>74</v>
      </c>
      <c r="T705" t="s">
        <v>13477</v>
      </c>
      <c r="U705" t="s">
        <v>13478</v>
      </c>
      <c r="V705" t="s">
        <v>13479</v>
      </c>
      <c r="W705" t="s">
        <v>13480</v>
      </c>
      <c r="X705" t="s">
        <v>10261</v>
      </c>
      <c r="Y705" t="s">
        <v>13481</v>
      </c>
      <c r="Z705" t="s">
        <v>11223</v>
      </c>
      <c r="AA705" t="s">
        <v>10264</v>
      </c>
      <c r="AB705" t="s">
        <v>11224</v>
      </c>
      <c r="AC705" t="s">
        <v>10266</v>
      </c>
      <c r="AD705" t="s">
        <v>10267</v>
      </c>
      <c r="AE705" t="s">
        <v>13482</v>
      </c>
      <c r="AF705" t="s">
        <v>74</v>
      </c>
      <c r="AG705">
        <v>39</v>
      </c>
      <c r="AH705">
        <v>8</v>
      </c>
      <c r="AI705">
        <v>8</v>
      </c>
      <c r="AJ705">
        <v>0</v>
      </c>
      <c r="AK705">
        <v>3</v>
      </c>
      <c r="AL705" t="s">
        <v>13483</v>
      </c>
      <c r="AM705" t="s">
        <v>13484</v>
      </c>
      <c r="AN705" t="s">
        <v>13485</v>
      </c>
      <c r="AO705" t="s">
        <v>13486</v>
      </c>
      <c r="AP705" t="s">
        <v>74</v>
      </c>
      <c r="AQ705" t="s">
        <v>74</v>
      </c>
      <c r="AR705" t="s">
        <v>13487</v>
      </c>
      <c r="AS705" t="s">
        <v>13488</v>
      </c>
      <c r="AT705" t="s">
        <v>13469</v>
      </c>
      <c r="AU705">
        <v>2014</v>
      </c>
      <c r="AV705">
        <v>107</v>
      </c>
      <c r="AW705">
        <v>9</v>
      </c>
      <c r="AX705" t="s">
        <v>74</v>
      </c>
      <c r="AY705" t="s">
        <v>74</v>
      </c>
      <c r="AZ705" t="s">
        <v>74</v>
      </c>
      <c r="BA705" t="s">
        <v>74</v>
      </c>
      <c r="BB705">
        <v>1573</v>
      </c>
      <c r="BC705">
        <v>1581</v>
      </c>
      <c r="BD705" t="s">
        <v>74</v>
      </c>
      <c r="BE705" t="s">
        <v>74</v>
      </c>
      <c r="BF705" t="s">
        <v>74</v>
      </c>
      <c r="BG705" t="s">
        <v>74</v>
      </c>
      <c r="BH705" t="s">
        <v>74</v>
      </c>
      <c r="BI705">
        <v>9</v>
      </c>
      <c r="BJ705" t="s">
        <v>201</v>
      </c>
      <c r="BK705" t="s">
        <v>91</v>
      </c>
      <c r="BL705" t="s">
        <v>203</v>
      </c>
      <c r="BM705" t="s">
        <v>13489</v>
      </c>
      <c r="BN705" t="s">
        <v>74</v>
      </c>
      <c r="BO705" t="s">
        <v>74</v>
      </c>
      <c r="BP705" t="s">
        <v>74</v>
      </c>
      <c r="BQ705" t="s">
        <v>74</v>
      </c>
      <c r="BR705" t="s">
        <v>93</v>
      </c>
      <c r="BS705" t="s">
        <v>13490</v>
      </c>
      <c r="BT705" t="str">
        <f>HYPERLINK("https%3A%2F%2Fwww.webofscience.com%2Fwos%2Fwoscc%2Ffull-record%2FWOS:000345108200028","View Full Record in Web of Science")</f>
        <v>View Full Record in Web of Science</v>
      </c>
    </row>
    <row r="706" spans="1:72" x14ac:dyDescent="0.15">
      <c r="A706" t="s">
        <v>72</v>
      </c>
      <c r="B706" t="s">
        <v>13491</v>
      </c>
      <c r="C706" t="s">
        <v>74</v>
      </c>
      <c r="D706" t="s">
        <v>74</v>
      </c>
      <c r="E706" t="s">
        <v>74</v>
      </c>
      <c r="F706" t="s">
        <v>13492</v>
      </c>
      <c r="G706" t="s">
        <v>74</v>
      </c>
      <c r="H706" t="s">
        <v>74</v>
      </c>
      <c r="I706" t="s">
        <v>13493</v>
      </c>
      <c r="J706" t="s">
        <v>8965</v>
      </c>
      <c r="K706" t="s">
        <v>74</v>
      </c>
      <c r="L706" t="s">
        <v>74</v>
      </c>
      <c r="M706" t="s">
        <v>78</v>
      </c>
      <c r="N706" t="s">
        <v>99</v>
      </c>
      <c r="O706" t="s">
        <v>74</v>
      </c>
      <c r="P706" t="s">
        <v>74</v>
      </c>
      <c r="Q706" t="s">
        <v>74</v>
      </c>
      <c r="R706" t="s">
        <v>74</v>
      </c>
      <c r="S706" t="s">
        <v>74</v>
      </c>
      <c r="T706" t="s">
        <v>13494</v>
      </c>
      <c r="U706" t="s">
        <v>13495</v>
      </c>
      <c r="V706" t="s">
        <v>13496</v>
      </c>
      <c r="W706" t="s">
        <v>13497</v>
      </c>
      <c r="X706" t="s">
        <v>1211</v>
      </c>
      <c r="Y706" t="s">
        <v>13498</v>
      </c>
      <c r="Z706" t="s">
        <v>13499</v>
      </c>
      <c r="AA706" t="s">
        <v>13500</v>
      </c>
      <c r="AB706" t="s">
        <v>13501</v>
      </c>
      <c r="AC706" t="s">
        <v>13502</v>
      </c>
      <c r="AD706" t="s">
        <v>13502</v>
      </c>
      <c r="AE706" t="s">
        <v>13503</v>
      </c>
      <c r="AF706" t="s">
        <v>74</v>
      </c>
      <c r="AG706">
        <v>40</v>
      </c>
      <c r="AH706">
        <v>6</v>
      </c>
      <c r="AI706">
        <v>7</v>
      </c>
      <c r="AJ706">
        <v>2</v>
      </c>
      <c r="AK706">
        <v>38</v>
      </c>
      <c r="AL706" t="s">
        <v>2640</v>
      </c>
      <c r="AM706" t="s">
        <v>1176</v>
      </c>
      <c r="AN706" t="s">
        <v>2641</v>
      </c>
      <c r="AO706" t="s">
        <v>8978</v>
      </c>
      <c r="AP706" t="s">
        <v>8979</v>
      </c>
      <c r="AQ706" t="s">
        <v>74</v>
      </c>
      <c r="AR706" t="s">
        <v>8980</v>
      </c>
      <c r="AS706" t="s">
        <v>8981</v>
      </c>
      <c r="AT706" t="s">
        <v>13469</v>
      </c>
      <c r="AU706">
        <v>2014</v>
      </c>
      <c r="AV706">
        <v>291</v>
      </c>
      <c r="AW706" t="s">
        <v>74</v>
      </c>
      <c r="AX706" t="s">
        <v>74</v>
      </c>
      <c r="AY706" t="s">
        <v>74</v>
      </c>
      <c r="AZ706" t="s">
        <v>74</v>
      </c>
      <c r="BA706" t="s">
        <v>74</v>
      </c>
      <c r="BB706">
        <v>233</v>
      </c>
      <c r="BC706">
        <v>241</v>
      </c>
      <c r="BD706" t="s">
        <v>74</v>
      </c>
      <c r="BE706" t="s">
        <v>13504</v>
      </c>
      <c r="BF706" t="str">
        <f>HYPERLINK("http://dx.doi.org/10.1016/j.ecolmodel.2014.07.031","http://dx.doi.org/10.1016/j.ecolmodel.2014.07.031")</f>
        <v>http://dx.doi.org/10.1016/j.ecolmodel.2014.07.031</v>
      </c>
      <c r="BG706" t="s">
        <v>74</v>
      </c>
      <c r="BH706" t="s">
        <v>74</v>
      </c>
      <c r="BI706">
        <v>9</v>
      </c>
      <c r="BJ706" t="s">
        <v>5987</v>
      </c>
      <c r="BK706" t="s">
        <v>91</v>
      </c>
      <c r="BL706" t="s">
        <v>395</v>
      </c>
      <c r="BM706" t="s">
        <v>13505</v>
      </c>
      <c r="BN706" t="s">
        <v>74</v>
      </c>
      <c r="BO706" t="s">
        <v>4109</v>
      </c>
      <c r="BP706" t="s">
        <v>74</v>
      </c>
      <c r="BQ706" t="s">
        <v>74</v>
      </c>
      <c r="BR706" t="s">
        <v>93</v>
      </c>
      <c r="BS706" t="s">
        <v>13506</v>
      </c>
      <c r="BT706" t="str">
        <f>HYPERLINK("https%3A%2F%2Fwww.webofscience.com%2Fwos%2Fwoscc%2Ffull-record%2FWOS:000343386500021","View Full Record in Web of Science")</f>
        <v>View Full Record in Web of Science</v>
      </c>
    </row>
    <row r="707" spans="1:72" x14ac:dyDescent="0.15">
      <c r="A707" t="s">
        <v>72</v>
      </c>
      <c r="B707" t="s">
        <v>13507</v>
      </c>
      <c r="C707" t="s">
        <v>74</v>
      </c>
      <c r="D707" t="s">
        <v>74</v>
      </c>
      <c r="E707" t="s">
        <v>74</v>
      </c>
      <c r="F707" t="s">
        <v>13508</v>
      </c>
      <c r="G707" t="s">
        <v>74</v>
      </c>
      <c r="H707" t="s">
        <v>74</v>
      </c>
      <c r="I707" t="s">
        <v>13509</v>
      </c>
      <c r="J707" t="s">
        <v>9390</v>
      </c>
      <c r="K707" t="s">
        <v>74</v>
      </c>
      <c r="L707" t="s">
        <v>74</v>
      </c>
      <c r="M707" t="s">
        <v>78</v>
      </c>
      <c r="N707" t="s">
        <v>99</v>
      </c>
      <c r="O707" t="s">
        <v>74</v>
      </c>
      <c r="P707" t="s">
        <v>74</v>
      </c>
      <c r="Q707" t="s">
        <v>74</v>
      </c>
      <c r="R707" t="s">
        <v>74</v>
      </c>
      <c r="S707" t="s">
        <v>74</v>
      </c>
      <c r="T707" t="s">
        <v>13510</v>
      </c>
      <c r="U707" t="s">
        <v>13511</v>
      </c>
      <c r="V707" t="s">
        <v>13512</v>
      </c>
      <c r="W707" t="s">
        <v>13513</v>
      </c>
      <c r="X707" t="s">
        <v>13514</v>
      </c>
      <c r="Y707" t="s">
        <v>13515</v>
      </c>
      <c r="Z707" t="s">
        <v>13516</v>
      </c>
      <c r="AA707" t="s">
        <v>13517</v>
      </c>
      <c r="AB707" t="s">
        <v>13518</v>
      </c>
      <c r="AC707" t="s">
        <v>13519</v>
      </c>
      <c r="AD707" t="s">
        <v>13520</v>
      </c>
      <c r="AE707" t="s">
        <v>13521</v>
      </c>
      <c r="AF707" t="s">
        <v>74</v>
      </c>
      <c r="AG707">
        <v>78</v>
      </c>
      <c r="AH707">
        <v>41</v>
      </c>
      <c r="AI707">
        <v>42</v>
      </c>
      <c r="AJ707">
        <v>3</v>
      </c>
      <c r="AK707">
        <v>103</v>
      </c>
      <c r="AL707" t="s">
        <v>1219</v>
      </c>
      <c r="AM707" t="s">
        <v>1220</v>
      </c>
      <c r="AN707" t="s">
        <v>1221</v>
      </c>
      <c r="AO707" t="s">
        <v>9402</v>
      </c>
      <c r="AP707" t="s">
        <v>9403</v>
      </c>
      <c r="AQ707" t="s">
        <v>74</v>
      </c>
      <c r="AR707" t="s">
        <v>9404</v>
      </c>
      <c r="AS707" t="s">
        <v>9405</v>
      </c>
      <c r="AT707" t="s">
        <v>13522</v>
      </c>
      <c r="AU707">
        <v>2014</v>
      </c>
      <c r="AV707">
        <v>514</v>
      </c>
      <c r="AW707" t="s">
        <v>74</v>
      </c>
      <c r="AX707" t="s">
        <v>74</v>
      </c>
      <c r="AY707" t="s">
        <v>74</v>
      </c>
      <c r="AZ707" t="s">
        <v>74</v>
      </c>
      <c r="BA707" t="s">
        <v>74</v>
      </c>
      <c r="BB707">
        <v>57</v>
      </c>
      <c r="BC707">
        <v>70</v>
      </c>
      <c r="BD707" t="s">
        <v>74</v>
      </c>
      <c r="BE707" t="s">
        <v>13523</v>
      </c>
      <c r="BF707" t="str">
        <f>HYPERLINK("http://dx.doi.org/10.3354/meps10964","http://dx.doi.org/10.3354/meps10964")</f>
        <v>http://dx.doi.org/10.3354/meps10964</v>
      </c>
      <c r="BG707" t="s">
        <v>74</v>
      </c>
      <c r="BH707" t="s">
        <v>74</v>
      </c>
      <c r="BI707">
        <v>14</v>
      </c>
      <c r="BJ707" t="s">
        <v>9407</v>
      </c>
      <c r="BK707" t="s">
        <v>91</v>
      </c>
      <c r="BL707" t="s">
        <v>9408</v>
      </c>
      <c r="BM707" t="s">
        <v>13524</v>
      </c>
      <c r="BN707" t="s">
        <v>74</v>
      </c>
      <c r="BO707" t="s">
        <v>6867</v>
      </c>
      <c r="BP707" t="s">
        <v>74</v>
      </c>
      <c r="BQ707" t="s">
        <v>74</v>
      </c>
      <c r="BR707" t="s">
        <v>93</v>
      </c>
      <c r="BS707" t="s">
        <v>13525</v>
      </c>
      <c r="BT707" t="str">
        <f>HYPERLINK("https%3A%2F%2Fwww.webofscience.com%2Fwos%2Fwoscc%2Ffull-record%2FWOS:000345700700005","View Full Record in Web of Science")</f>
        <v>View Full Record in Web of Science</v>
      </c>
    </row>
    <row r="708" spans="1:72" x14ac:dyDescent="0.15">
      <c r="A708" t="s">
        <v>72</v>
      </c>
      <c r="B708" t="s">
        <v>13526</v>
      </c>
      <c r="C708" t="s">
        <v>74</v>
      </c>
      <c r="D708" t="s">
        <v>74</v>
      </c>
      <c r="E708" t="s">
        <v>74</v>
      </c>
      <c r="F708" t="s">
        <v>13527</v>
      </c>
      <c r="G708" t="s">
        <v>74</v>
      </c>
      <c r="H708" t="s">
        <v>74</v>
      </c>
      <c r="I708" t="s">
        <v>13528</v>
      </c>
      <c r="J708" t="s">
        <v>9084</v>
      </c>
      <c r="K708" t="s">
        <v>74</v>
      </c>
      <c r="L708" t="s">
        <v>74</v>
      </c>
      <c r="M708" t="s">
        <v>78</v>
      </c>
      <c r="N708" t="s">
        <v>99</v>
      </c>
      <c r="O708" t="s">
        <v>74</v>
      </c>
      <c r="P708" t="s">
        <v>74</v>
      </c>
      <c r="Q708" t="s">
        <v>74</v>
      </c>
      <c r="R708" t="s">
        <v>74</v>
      </c>
      <c r="S708" t="s">
        <v>74</v>
      </c>
      <c r="T708" t="s">
        <v>74</v>
      </c>
      <c r="U708" t="s">
        <v>13529</v>
      </c>
      <c r="V708" t="s">
        <v>13530</v>
      </c>
      <c r="W708" t="s">
        <v>13531</v>
      </c>
      <c r="X708" t="s">
        <v>13532</v>
      </c>
      <c r="Y708" t="s">
        <v>13533</v>
      </c>
      <c r="Z708" t="s">
        <v>13534</v>
      </c>
      <c r="AA708" t="s">
        <v>13535</v>
      </c>
      <c r="AB708" t="s">
        <v>13536</v>
      </c>
      <c r="AC708" t="s">
        <v>13537</v>
      </c>
      <c r="AD708" t="s">
        <v>13538</v>
      </c>
      <c r="AE708" t="s">
        <v>13539</v>
      </c>
      <c r="AF708" t="s">
        <v>74</v>
      </c>
      <c r="AG708">
        <v>82</v>
      </c>
      <c r="AH708">
        <v>17</v>
      </c>
      <c r="AI708">
        <v>19</v>
      </c>
      <c r="AJ708">
        <v>1</v>
      </c>
      <c r="AK708">
        <v>58</v>
      </c>
      <c r="AL708" t="s">
        <v>9093</v>
      </c>
      <c r="AM708" t="s">
        <v>9094</v>
      </c>
      <c r="AN708" t="s">
        <v>9095</v>
      </c>
      <c r="AO708" t="s">
        <v>9096</v>
      </c>
      <c r="AP708" t="s">
        <v>74</v>
      </c>
      <c r="AQ708" t="s">
        <v>74</v>
      </c>
      <c r="AR708" t="s">
        <v>9084</v>
      </c>
      <c r="AS708" t="s">
        <v>9097</v>
      </c>
      <c r="AT708" t="s">
        <v>13522</v>
      </c>
      <c r="AU708">
        <v>2014</v>
      </c>
      <c r="AV708">
        <v>9</v>
      </c>
      <c r="AW708">
        <v>11</v>
      </c>
      <c r="AX708" t="s">
        <v>74</v>
      </c>
      <c r="AY708" t="s">
        <v>74</v>
      </c>
      <c r="AZ708" t="s">
        <v>74</v>
      </c>
      <c r="BA708" t="s">
        <v>74</v>
      </c>
      <c r="BB708" t="s">
        <v>74</v>
      </c>
      <c r="BC708" t="s">
        <v>74</v>
      </c>
      <c r="BD708" t="s">
        <v>13540</v>
      </c>
      <c r="BE708" t="s">
        <v>13541</v>
      </c>
      <c r="BF708" t="str">
        <f>HYPERLINK("http://dx.doi.org/10.1371/journal.pone.0111835","http://dx.doi.org/10.1371/journal.pone.0111835")</f>
        <v>http://dx.doi.org/10.1371/journal.pone.0111835</v>
      </c>
      <c r="BG708" t="s">
        <v>74</v>
      </c>
      <c r="BH708" t="s">
        <v>74</v>
      </c>
      <c r="BI708">
        <v>14</v>
      </c>
      <c r="BJ708" t="s">
        <v>201</v>
      </c>
      <c r="BK708" t="s">
        <v>91</v>
      </c>
      <c r="BL708" t="s">
        <v>203</v>
      </c>
      <c r="BM708" t="s">
        <v>13542</v>
      </c>
      <c r="BN708">
        <v>25375329</v>
      </c>
      <c r="BO708" t="s">
        <v>4211</v>
      </c>
      <c r="BP708" t="s">
        <v>74</v>
      </c>
      <c r="BQ708" t="s">
        <v>74</v>
      </c>
      <c r="BR708" t="s">
        <v>93</v>
      </c>
      <c r="BS708" t="s">
        <v>13543</v>
      </c>
      <c r="BT708" t="str">
        <f>HYPERLINK("https%3A%2F%2Fwww.webofscience.com%2Fwos%2Fwoscc%2Ffull-record%2FWOS:000344402600065","View Full Record in Web of Science")</f>
        <v>View Full Record in Web of Science</v>
      </c>
    </row>
    <row r="709" spans="1:72" x14ac:dyDescent="0.15">
      <c r="A709" t="s">
        <v>72</v>
      </c>
      <c r="B709" t="s">
        <v>13544</v>
      </c>
      <c r="C709" t="s">
        <v>74</v>
      </c>
      <c r="D709" t="s">
        <v>74</v>
      </c>
      <c r="E709" t="s">
        <v>74</v>
      </c>
      <c r="F709" t="s">
        <v>13545</v>
      </c>
      <c r="G709" t="s">
        <v>74</v>
      </c>
      <c r="H709" t="s">
        <v>74</v>
      </c>
      <c r="I709" t="s">
        <v>13546</v>
      </c>
      <c r="J709" t="s">
        <v>13547</v>
      </c>
      <c r="K709" t="s">
        <v>74</v>
      </c>
      <c r="L709" t="s">
        <v>74</v>
      </c>
      <c r="M709" t="s">
        <v>2105</v>
      </c>
      <c r="N709" t="s">
        <v>99</v>
      </c>
      <c r="O709" t="s">
        <v>74</v>
      </c>
      <c r="P709" t="s">
        <v>74</v>
      </c>
      <c r="Q709" t="s">
        <v>74</v>
      </c>
      <c r="R709" t="s">
        <v>74</v>
      </c>
      <c r="S709" t="s">
        <v>74</v>
      </c>
      <c r="T709" t="s">
        <v>13548</v>
      </c>
      <c r="U709" t="s">
        <v>74</v>
      </c>
      <c r="V709" t="s">
        <v>13549</v>
      </c>
      <c r="W709" t="s">
        <v>13550</v>
      </c>
      <c r="X709" t="s">
        <v>13551</v>
      </c>
      <c r="Y709" t="s">
        <v>13552</v>
      </c>
      <c r="Z709" t="s">
        <v>13553</v>
      </c>
      <c r="AA709" t="s">
        <v>74</v>
      </c>
      <c r="AB709" t="s">
        <v>74</v>
      </c>
      <c r="AC709" t="s">
        <v>13554</v>
      </c>
      <c r="AD709" t="s">
        <v>1382</v>
      </c>
      <c r="AE709" t="s">
        <v>13555</v>
      </c>
      <c r="AF709" t="s">
        <v>74</v>
      </c>
      <c r="AG709">
        <v>11</v>
      </c>
      <c r="AH709">
        <v>0</v>
      </c>
      <c r="AI709">
        <v>0</v>
      </c>
      <c r="AJ709">
        <v>0</v>
      </c>
      <c r="AK709">
        <v>18</v>
      </c>
      <c r="AL709" t="s">
        <v>13556</v>
      </c>
      <c r="AM709" t="s">
        <v>2115</v>
      </c>
      <c r="AN709" t="s">
        <v>13557</v>
      </c>
      <c r="AO709" t="s">
        <v>13558</v>
      </c>
      <c r="AP709" t="s">
        <v>74</v>
      </c>
      <c r="AQ709" t="s">
        <v>74</v>
      </c>
      <c r="AR709" t="s">
        <v>13559</v>
      </c>
      <c r="AS709" t="s">
        <v>13560</v>
      </c>
      <c r="AT709" t="s">
        <v>13561</v>
      </c>
      <c r="AU709">
        <v>2014</v>
      </c>
      <c r="AV709">
        <v>63</v>
      </c>
      <c r="AW709">
        <v>21</v>
      </c>
      <c r="AX709" t="s">
        <v>74</v>
      </c>
      <c r="AY709" t="s">
        <v>74</v>
      </c>
      <c r="AZ709" t="s">
        <v>74</v>
      </c>
      <c r="BA709" t="s">
        <v>74</v>
      </c>
      <c r="BB709" t="s">
        <v>74</v>
      </c>
      <c r="BC709" t="s">
        <v>74</v>
      </c>
      <c r="BD709">
        <v>214701</v>
      </c>
      <c r="BE709" t="s">
        <v>13562</v>
      </c>
      <c r="BF709" t="str">
        <f>HYPERLINK("http://dx.doi.org/10.7498/aps.63.214701","http://dx.doi.org/10.7498/aps.63.214701")</f>
        <v>http://dx.doi.org/10.7498/aps.63.214701</v>
      </c>
      <c r="BG709" t="s">
        <v>74</v>
      </c>
      <c r="BH709" t="s">
        <v>74</v>
      </c>
      <c r="BI709">
        <v>4</v>
      </c>
      <c r="BJ709" t="s">
        <v>13563</v>
      </c>
      <c r="BK709" t="s">
        <v>91</v>
      </c>
      <c r="BL709" t="s">
        <v>13564</v>
      </c>
      <c r="BM709" t="s">
        <v>13565</v>
      </c>
      <c r="BN709" t="s">
        <v>74</v>
      </c>
      <c r="BO709" t="s">
        <v>134</v>
      </c>
      <c r="BP709" t="s">
        <v>74</v>
      </c>
      <c r="BQ709" t="s">
        <v>74</v>
      </c>
      <c r="BR709" t="s">
        <v>93</v>
      </c>
      <c r="BS709" t="s">
        <v>13566</v>
      </c>
      <c r="BT709" t="str">
        <f>HYPERLINK("https%3A%2F%2Fwww.webofscience.com%2Fwos%2Fwoscc%2Ffull-record%2FWOS:000344616700029","View Full Record in Web of Science")</f>
        <v>View Full Record in Web of Science</v>
      </c>
    </row>
    <row r="710" spans="1:72" x14ac:dyDescent="0.15">
      <c r="A710" t="s">
        <v>72</v>
      </c>
      <c r="B710" t="s">
        <v>13567</v>
      </c>
      <c r="C710" t="s">
        <v>74</v>
      </c>
      <c r="D710" t="s">
        <v>74</v>
      </c>
      <c r="E710" t="s">
        <v>74</v>
      </c>
      <c r="F710" t="s">
        <v>13568</v>
      </c>
      <c r="G710" t="s">
        <v>74</v>
      </c>
      <c r="H710" t="s">
        <v>74</v>
      </c>
      <c r="I710" t="s">
        <v>13569</v>
      </c>
      <c r="J710" t="s">
        <v>8788</v>
      </c>
      <c r="K710" t="s">
        <v>74</v>
      </c>
      <c r="L710" t="s">
        <v>74</v>
      </c>
      <c r="M710" t="s">
        <v>78</v>
      </c>
      <c r="N710" t="s">
        <v>99</v>
      </c>
      <c r="O710" t="s">
        <v>74</v>
      </c>
      <c r="P710" t="s">
        <v>74</v>
      </c>
      <c r="Q710" t="s">
        <v>74</v>
      </c>
      <c r="R710" t="s">
        <v>74</v>
      </c>
      <c r="S710" t="s">
        <v>74</v>
      </c>
      <c r="T710" t="s">
        <v>13570</v>
      </c>
      <c r="U710" t="s">
        <v>13571</v>
      </c>
      <c r="V710" t="s">
        <v>13572</v>
      </c>
      <c r="W710" t="s">
        <v>13573</v>
      </c>
      <c r="X710" t="s">
        <v>13574</v>
      </c>
      <c r="Y710" t="s">
        <v>1002</v>
      </c>
      <c r="Z710" t="s">
        <v>1003</v>
      </c>
      <c r="AA710" t="s">
        <v>74</v>
      </c>
      <c r="AB710" t="s">
        <v>74</v>
      </c>
      <c r="AC710" t="s">
        <v>13575</v>
      </c>
      <c r="AD710" t="s">
        <v>13576</v>
      </c>
      <c r="AE710" t="s">
        <v>13577</v>
      </c>
      <c r="AF710" t="s">
        <v>74</v>
      </c>
      <c r="AG710">
        <v>38</v>
      </c>
      <c r="AH710">
        <v>9</v>
      </c>
      <c r="AI710">
        <v>10</v>
      </c>
      <c r="AJ710">
        <v>0</v>
      </c>
      <c r="AK710">
        <v>10</v>
      </c>
      <c r="AL710" t="s">
        <v>8800</v>
      </c>
      <c r="AM710" t="s">
        <v>8801</v>
      </c>
      <c r="AN710" t="s">
        <v>13578</v>
      </c>
      <c r="AO710" t="s">
        <v>8803</v>
      </c>
      <c r="AP710" t="s">
        <v>8804</v>
      </c>
      <c r="AQ710" t="s">
        <v>74</v>
      </c>
      <c r="AR710" t="s">
        <v>8788</v>
      </c>
      <c r="AS710" t="s">
        <v>8805</v>
      </c>
      <c r="AT710" t="s">
        <v>13561</v>
      </c>
      <c r="AU710">
        <v>2014</v>
      </c>
      <c r="AV710">
        <v>184</v>
      </c>
      <c r="AW710">
        <v>3</v>
      </c>
      <c r="AX710" t="s">
        <v>74</v>
      </c>
      <c r="AY710" t="s">
        <v>74</v>
      </c>
      <c r="AZ710" t="s">
        <v>74</v>
      </c>
      <c r="BA710" t="s">
        <v>74</v>
      </c>
      <c r="BB710">
        <v>139</v>
      </c>
      <c r="BC710">
        <v>147</v>
      </c>
      <c r="BD710" t="s">
        <v>74</v>
      </c>
      <c r="BE710" t="s">
        <v>13579</v>
      </c>
      <c r="BF710" t="str">
        <f>HYPERLINK("http://dx.doi.org/10.11646/phytotaxa.184.3.3","http://dx.doi.org/10.11646/phytotaxa.184.3.3")</f>
        <v>http://dx.doi.org/10.11646/phytotaxa.184.3.3</v>
      </c>
      <c r="BG710" t="s">
        <v>74</v>
      </c>
      <c r="BH710" t="s">
        <v>74</v>
      </c>
      <c r="BI710">
        <v>9</v>
      </c>
      <c r="BJ710" t="s">
        <v>1015</v>
      </c>
      <c r="BK710" t="s">
        <v>91</v>
      </c>
      <c r="BL710" t="s">
        <v>1015</v>
      </c>
      <c r="BM710" t="s">
        <v>13580</v>
      </c>
      <c r="BN710" t="s">
        <v>74</v>
      </c>
      <c r="BO710" t="s">
        <v>74</v>
      </c>
      <c r="BP710" t="s">
        <v>74</v>
      </c>
      <c r="BQ710" t="s">
        <v>74</v>
      </c>
      <c r="BR710" t="s">
        <v>93</v>
      </c>
      <c r="BS710" t="s">
        <v>13581</v>
      </c>
      <c r="BT710" t="str">
        <f>HYPERLINK("https%3A%2F%2Fwww.webofscience.com%2Fwos%2Fwoscc%2Ffull-record%2FWOS:000344492800003","View Full Record in Web of Science")</f>
        <v>View Full Record in Web of Science</v>
      </c>
    </row>
    <row r="711" spans="1:72" x14ac:dyDescent="0.15">
      <c r="A711" t="s">
        <v>72</v>
      </c>
      <c r="B711" t="s">
        <v>13582</v>
      </c>
      <c r="C711" t="s">
        <v>74</v>
      </c>
      <c r="D711" t="s">
        <v>74</v>
      </c>
      <c r="E711" t="s">
        <v>74</v>
      </c>
      <c r="F711" t="s">
        <v>13583</v>
      </c>
      <c r="G711" t="s">
        <v>74</v>
      </c>
      <c r="H711" t="s">
        <v>74</v>
      </c>
      <c r="I711" t="s">
        <v>13584</v>
      </c>
      <c r="J711" t="s">
        <v>9084</v>
      </c>
      <c r="K711" t="s">
        <v>74</v>
      </c>
      <c r="L711" t="s">
        <v>74</v>
      </c>
      <c r="M711" t="s">
        <v>78</v>
      </c>
      <c r="N711" t="s">
        <v>99</v>
      </c>
      <c r="O711" t="s">
        <v>74</v>
      </c>
      <c r="P711" t="s">
        <v>74</v>
      </c>
      <c r="Q711" t="s">
        <v>74</v>
      </c>
      <c r="R711" t="s">
        <v>74</v>
      </c>
      <c r="S711" t="s">
        <v>74</v>
      </c>
      <c r="T711" t="s">
        <v>74</v>
      </c>
      <c r="U711" t="s">
        <v>13585</v>
      </c>
      <c r="V711" t="s">
        <v>13586</v>
      </c>
      <c r="W711" t="s">
        <v>13587</v>
      </c>
      <c r="X711" t="s">
        <v>13588</v>
      </c>
      <c r="Y711" t="s">
        <v>13589</v>
      </c>
      <c r="Z711" t="s">
        <v>13590</v>
      </c>
      <c r="AA711" t="s">
        <v>13591</v>
      </c>
      <c r="AB711" t="s">
        <v>13592</v>
      </c>
      <c r="AC711" t="s">
        <v>13593</v>
      </c>
      <c r="AD711" t="s">
        <v>13594</v>
      </c>
      <c r="AE711" t="s">
        <v>13595</v>
      </c>
      <c r="AF711" t="s">
        <v>74</v>
      </c>
      <c r="AG711">
        <v>40</v>
      </c>
      <c r="AH711">
        <v>8</v>
      </c>
      <c r="AI711">
        <v>8</v>
      </c>
      <c r="AJ711">
        <v>0</v>
      </c>
      <c r="AK711">
        <v>16</v>
      </c>
      <c r="AL711" t="s">
        <v>9093</v>
      </c>
      <c r="AM711" t="s">
        <v>9094</v>
      </c>
      <c r="AN711" t="s">
        <v>9095</v>
      </c>
      <c r="AO711" t="s">
        <v>9096</v>
      </c>
      <c r="AP711" t="s">
        <v>74</v>
      </c>
      <c r="AQ711" t="s">
        <v>74</v>
      </c>
      <c r="AR711" t="s">
        <v>9084</v>
      </c>
      <c r="AS711" t="s">
        <v>9097</v>
      </c>
      <c r="AT711" t="s">
        <v>13596</v>
      </c>
      <c r="AU711">
        <v>2014</v>
      </c>
      <c r="AV711">
        <v>9</v>
      </c>
      <c r="AW711">
        <v>11</v>
      </c>
      <c r="AX711" t="s">
        <v>74</v>
      </c>
      <c r="AY711" t="s">
        <v>74</v>
      </c>
      <c r="AZ711" t="s">
        <v>74</v>
      </c>
      <c r="BA711" t="s">
        <v>74</v>
      </c>
      <c r="BB711" t="s">
        <v>74</v>
      </c>
      <c r="BC711" t="s">
        <v>74</v>
      </c>
      <c r="BD711" t="s">
        <v>13597</v>
      </c>
      <c r="BE711" t="s">
        <v>13598</v>
      </c>
      <c r="BF711" t="str">
        <f>HYPERLINK("http://dx.doi.org/10.1371/journal.pone.0111497","http://dx.doi.org/10.1371/journal.pone.0111497")</f>
        <v>http://dx.doi.org/10.1371/journal.pone.0111497</v>
      </c>
      <c r="BG711" t="s">
        <v>74</v>
      </c>
      <c r="BH711" t="s">
        <v>74</v>
      </c>
      <c r="BI711">
        <v>9</v>
      </c>
      <c r="BJ711" t="s">
        <v>201</v>
      </c>
      <c r="BK711" t="s">
        <v>91</v>
      </c>
      <c r="BL711" t="s">
        <v>203</v>
      </c>
      <c r="BM711" t="s">
        <v>13599</v>
      </c>
      <c r="BN711">
        <v>25369066</v>
      </c>
      <c r="BO711" t="s">
        <v>592</v>
      </c>
      <c r="BP711" t="s">
        <v>74</v>
      </c>
      <c r="BQ711" t="s">
        <v>74</v>
      </c>
      <c r="BR711" t="s">
        <v>93</v>
      </c>
      <c r="BS711" t="s">
        <v>13600</v>
      </c>
      <c r="BT711" t="str">
        <f>HYPERLINK("https%3A%2F%2Fwww.webofscience.com%2Fwos%2Fwoscc%2Ffull-record%2FWOS:000344402000060","View Full Record in Web of Science")</f>
        <v>View Full Record in Web of Science</v>
      </c>
    </row>
    <row r="712" spans="1:72" x14ac:dyDescent="0.15">
      <c r="A712" t="s">
        <v>72</v>
      </c>
      <c r="B712" t="s">
        <v>13601</v>
      </c>
      <c r="C712" t="s">
        <v>74</v>
      </c>
      <c r="D712" t="s">
        <v>74</v>
      </c>
      <c r="E712" t="s">
        <v>74</v>
      </c>
      <c r="F712" t="s">
        <v>13602</v>
      </c>
      <c r="G712" t="s">
        <v>74</v>
      </c>
      <c r="H712" t="s">
        <v>74</v>
      </c>
      <c r="I712" t="s">
        <v>13603</v>
      </c>
      <c r="J712" t="s">
        <v>13604</v>
      </c>
      <c r="K712" t="s">
        <v>74</v>
      </c>
      <c r="L712" t="s">
        <v>74</v>
      </c>
      <c r="M712" t="s">
        <v>78</v>
      </c>
      <c r="N712" t="s">
        <v>99</v>
      </c>
      <c r="O712" t="s">
        <v>74</v>
      </c>
      <c r="P712" t="s">
        <v>74</v>
      </c>
      <c r="Q712" t="s">
        <v>74</v>
      </c>
      <c r="R712" t="s">
        <v>74</v>
      </c>
      <c r="S712" t="s">
        <v>74</v>
      </c>
      <c r="T712" t="s">
        <v>13605</v>
      </c>
      <c r="U712" t="s">
        <v>13606</v>
      </c>
      <c r="V712" t="s">
        <v>13607</v>
      </c>
      <c r="W712" t="s">
        <v>13608</v>
      </c>
      <c r="X712" t="s">
        <v>13609</v>
      </c>
      <c r="Y712" t="s">
        <v>13610</v>
      </c>
      <c r="Z712" t="s">
        <v>13611</v>
      </c>
      <c r="AA712" t="s">
        <v>74</v>
      </c>
      <c r="AB712" t="s">
        <v>13612</v>
      </c>
      <c r="AC712" t="s">
        <v>74</v>
      </c>
      <c r="AD712" t="s">
        <v>74</v>
      </c>
      <c r="AE712" t="s">
        <v>74</v>
      </c>
      <c r="AF712" t="s">
        <v>74</v>
      </c>
      <c r="AG712">
        <v>35</v>
      </c>
      <c r="AH712">
        <v>17</v>
      </c>
      <c r="AI712">
        <v>23</v>
      </c>
      <c r="AJ712">
        <v>1</v>
      </c>
      <c r="AK712">
        <v>24</v>
      </c>
      <c r="AL712" t="s">
        <v>13613</v>
      </c>
      <c r="AM712" t="s">
        <v>1946</v>
      </c>
      <c r="AN712" t="s">
        <v>13614</v>
      </c>
      <c r="AO712" t="s">
        <v>13615</v>
      </c>
      <c r="AP712" t="s">
        <v>13616</v>
      </c>
      <c r="AQ712" t="s">
        <v>74</v>
      </c>
      <c r="AR712" t="s">
        <v>13617</v>
      </c>
      <c r="AS712" t="s">
        <v>13618</v>
      </c>
      <c r="AT712" t="s">
        <v>13619</v>
      </c>
      <c r="AU712">
        <v>2014</v>
      </c>
      <c r="AV712">
        <v>3</v>
      </c>
      <c r="AW712">
        <v>4</v>
      </c>
      <c r="AX712" t="s">
        <v>74</v>
      </c>
      <c r="AY712" t="s">
        <v>74</v>
      </c>
      <c r="AZ712" t="s">
        <v>74</v>
      </c>
      <c r="BA712" t="s">
        <v>74</v>
      </c>
      <c r="BB712">
        <v>273</v>
      </c>
      <c r="BC712">
        <v>287</v>
      </c>
      <c r="BD712" t="s">
        <v>74</v>
      </c>
      <c r="BE712" t="s">
        <v>13620</v>
      </c>
      <c r="BF712" t="str">
        <f>HYPERLINK("http://dx.doi.org/10.1037/spy0000022","http://dx.doi.org/10.1037/spy0000022")</f>
        <v>http://dx.doi.org/10.1037/spy0000022</v>
      </c>
      <c r="BG712" t="s">
        <v>74</v>
      </c>
      <c r="BH712" t="s">
        <v>74</v>
      </c>
      <c r="BI712">
        <v>15</v>
      </c>
      <c r="BJ712" t="s">
        <v>13621</v>
      </c>
      <c r="BK712" t="s">
        <v>891</v>
      </c>
      <c r="BL712" t="s">
        <v>13622</v>
      </c>
      <c r="BM712" t="s">
        <v>13623</v>
      </c>
      <c r="BN712" t="s">
        <v>74</v>
      </c>
      <c r="BO712" t="s">
        <v>574</v>
      </c>
      <c r="BP712" t="s">
        <v>74</v>
      </c>
      <c r="BQ712" t="s">
        <v>74</v>
      </c>
      <c r="BR712" t="s">
        <v>93</v>
      </c>
      <c r="BS712" t="s">
        <v>13624</v>
      </c>
      <c r="BT712" t="str">
        <f>HYPERLINK("https%3A%2F%2Fwww.webofscience.com%2Fwos%2Fwoscc%2Ffull-record%2FWOS:000356671500005","View Full Record in Web of Science")</f>
        <v>View Full Record in Web of Science</v>
      </c>
    </row>
    <row r="713" spans="1:72" x14ac:dyDescent="0.15">
      <c r="A713" t="s">
        <v>72</v>
      </c>
      <c r="B713" t="s">
        <v>13625</v>
      </c>
      <c r="C713" t="s">
        <v>74</v>
      </c>
      <c r="D713" t="s">
        <v>74</v>
      </c>
      <c r="E713" t="s">
        <v>74</v>
      </c>
      <c r="F713" t="s">
        <v>13626</v>
      </c>
      <c r="G713" t="s">
        <v>74</v>
      </c>
      <c r="H713" t="s">
        <v>74</v>
      </c>
      <c r="I713" t="s">
        <v>13627</v>
      </c>
      <c r="J713" t="s">
        <v>13628</v>
      </c>
      <c r="K713" t="s">
        <v>74</v>
      </c>
      <c r="L713" t="s">
        <v>74</v>
      </c>
      <c r="M713" t="s">
        <v>78</v>
      </c>
      <c r="N713" t="s">
        <v>99</v>
      </c>
      <c r="O713" t="s">
        <v>74</v>
      </c>
      <c r="P713" t="s">
        <v>74</v>
      </c>
      <c r="Q713" t="s">
        <v>74</v>
      </c>
      <c r="R713" t="s">
        <v>74</v>
      </c>
      <c r="S713" t="s">
        <v>74</v>
      </c>
      <c r="T713" t="s">
        <v>13629</v>
      </c>
      <c r="U713" t="s">
        <v>13630</v>
      </c>
      <c r="V713" t="s">
        <v>13631</v>
      </c>
      <c r="W713" t="s">
        <v>13632</v>
      </c>
      <c r="X713" t="s">
        <v>13633</v>
      </c>
      <c r="Y713" t="s">
        <v>13634</v>
      </c>
      <c r="Z713" t="s">
        <v>13635</v>
      </c>
      <c r="AA713" t="s">
        <v>74</v>
      </c>
      <c r="AB713" t="s">
        <v>74</v>
      </c>
      <c r="AC713" t="s">
        <v>74</v>
      </c>
      <c r="AD713" t="s">
        <v>74</v>
      </c>
      <c r="AE713" t="s">
        <v>74</v>
      </c>
      <c r="AF713" t="s">
        <v>74</v>
      </c>
      <c r="AG713">
        <v>42</v>
      </c>
      <c r="AH713">
        <v>30</v>
      </c>
      <c r="AI713">
        <v>36</v>
      </c>
      <c r="AJ713">
        <v>0</v>
      </c>
      <c r="AK713">
        <v>58</v>
      </c>
      <c r="AL713" t="s">
        <v>13636</v>
      </c>
      <c r="AM713" t="s">
        <v>13637</v>
      </c>
      <c r="AN713" t="s">
        <v>13638</v>
      </c>
      <c r="AO713" t="s">
        <v>13639</v>
      </c>
      <c r="AP713" t="s">
        <v>13640</v>
      </c>
      <c r="AQ713" t="s">
        <v>74</v>
      </c>
      <c r="AR713" t="s">
        <v>13641</v>
      </c>
      <c r="AS713" t="s">
        <v>13642</v>
      </c>
      <c r="AT713" t="s">
        <v>13643</v>
      </c>
      <c r="AU713">
        <v>2014</v>
      </c>
      <c r="AV713">
        <v>346</v>
      </c>
      <c r="AW713" t="s">
        <v>13644</v>
      </c>
      <c r="AX713" t="s">
        <v>74</v>
      </c>
      <c r="AY713" t="s">
        <v>74</v>
      </c>
      <c r="AZ713" t="s">
        <v>74</v>
      </c>
      <c r="BA713" t="s">
        <v>74</v>
      </c>
      <c r="BB713">
        <v>279</v>
      </c>
      <c r="BC713">
        <v>286</v>
      </c>
      <c r="BD713" t="s">
        <v>74</v>
      </c>
      <c r="BE713" t="s">
        <v>13645</v>
      </c>
      <c r="BF713" t="str">
        <f>HYPERLINK("http://dx.doi.org/10.1016/j.crte.2014.07.003","http://dx.doi.org/10.1016/j.crte.2014.07.003")</f>
        <v>http://dx.doi.org/10.1016/j.crte.2014.07.003</v>
      </c>
      <c r="BG713" t="s">
        <v>74</v>
      </c>
      <c r="BH713" t="s">
        <v>74</v>
      </c>
      <c r="BI713">
        <v>8</v>
      </c>
      <c r="BJ713" t="s">
        <v>1953</v>
      </c>
      <c r="BK713" t="s">
        <v>91</v>
      </c>
      <c r="BL713" t="s">
        <v>1954</v>
      </c>
      <c r="BM713" t="s">
        <v>13646</v>
      </c>
      <c r="BN713" t="s">
        <v>74</v>
      </c>
      <c r="BO713" t="s">
        <v>2056</v>
      </c>
      <c r="BP713" t="s">
        <v>74</v>
      </c>
      <c r="BQ713" t="s">
        <v>74</v>
      </c>
      <c r="BR713" t="s">
        <v>93</v>
      </c>
      <c r="BS713" t="s">
        <v>13647</v>
      </c>
      <c r="BT713" t="str">
        <f>HYPERLINK("https%3A%2F%2Fwww.webofscience.com%2Fwos%2Fwoscc%2Ffull-record%2FWOS:000348247600003","View Full Record in Web of Science")</f>
        <v>View Full Record in Web of Science</v>
      </c>
    </row>
    <row r="714" spans="1:72" x14ac:dyDescent="0.15">
      <c r="A714" t="s">
        <v>72</v>
      </c>
      <c r="B714" t="s">
        <v>13648</v>
      </c>
      <c r="C714" t="s">
        <v>74</v>
      </c>
      <c r="D714" t="s">
        <v>74</v>
      </c>
      <c r="E714" t="s">
        <v>74</v>
      </c>
      <c r="F714" t="s">
        <v>13649</v>
      </c>
      <c r="G714" t="s">
        <v>74</v>
      </c>
      <c r="H714" t="s">
        <v>74</v>
      </c>
      <c r="I714" t="s">
        <v>13650</v>
      </c>
      <c r="J714" t="s">
        <v>13651</v>
      </c>
      <c r="K714" t="s">
        <v>74</v>
      </c>
      <c r="L714" t="s">
        <v>74</v>
      </c>
      <c r="M714" t="s">
        <v>3714</v>
      </c>
      <c r="N714" t="s">
        <v>454</v>
      </c>
      <c r="O714" t="s">
        <v>74</v>
      </c>
      <c r="P714" t="s">
        <v>74</v>
      </c>
      <c r="Q714" t="s">
        <v>74</v>
      </c>
      <c r="R714" t="s">
        <v>74</v>
      </c>
      <c r="S714" t="s">
        <v>74</v>
      </c>
      <c r="T714" t="s">
        <v>13652</v>
      </c>
      <c r="U714" t="s">
        <v>13653</v>
      </c>
      <c r="V714" t="s">
        <v>13654</v>
      </c>
      <c r="W714" t="s">
        <v>13655</v>
      </c>
      <c r="X714" t="s">
        <v>13656</v>
      </c>
      <c r="Y714" t="s">
        <v>13657</v>
      </c>
      <c r="Z714" t="s">
        <v>13658</v>
      </c>
      <c r="AA714" t="s">
        <v>13659</v>
      </c>
      <c r="AB714" t="s">
        <v>13660</v>
      </c>
      <c r="AC714" t="s">
        <v>74</v>
      </c>
      <c r="AD714" t="s">
        <v>74</v>
      </c>
      <c r="AE714" t="s">
        <v>74</v>
      </c>
      <c r="AF714" t="s">
        <v>74</v>
      </c>
      <c r="AG714">
        <v>73</v>
      </c>
      <c r="AH714">
        <v>0</v>
      </c>
      <c r="AI714">
        <v>1</v>
      </c>
      <c r="AJ714">
        <v>1</v>
      </c>
      <c r="AK714">
        <v>28</v>
      </c>
      <c r="AL714" t="s">
        <v>13661</v>
      </c>
      <c r="AM714" t="s">
        <v>13662</v>
      </c>
      <c r="AN714" t="s">
        <v>13663</v>
      </c>
      <c r="AO714" t="s">
        <v>13664</v>
      </c>
      <c r="AP714" t="s">
        <v>13665</v>
      </c>
      <c r="AQ714" t="s">
        <v>74</v>
      </c>
      <c r="AR714" t="s">
        <v>13666</v>
      </c>
      <c r="AS714" t="s">
        <v>13667</v>
      </c>
      <c r="AT714" t="s">
        <v>13619</v>
      </c>
      <c r="AU714">
        <v>2014</v>
      </c>
      <c r="AV714">
        <v>42</v>
      </c>
      <c r="AW714">
        <v>5</v>
      </c>
      <c r="AX714" t="s">
        <v>74</v>
      </c>
      <c r="AY714" t="s">
        <v>74</v>
      </c>
      <c r="AZ714" t="s">
        <v>74</v>
      </c>
      <c r="BA714" t="s">
        <v>74</v>
      </c>
      <c r="BB714">
        <v>1035</v>
      </c>
      <c r="BC714">
        <v>1049</v>
      </c>
      <c r="BD714" t="s">
        <v>74</v>
      </c>
      <c r="BE714" t="s">
        <v>13668</v>
      </c>
      <c r="BF714" t="str">
        <f>HYPERLINK("http://dx.doi.org/10.3856/vol42-issue5-fulltext-8","http://dx.doi.org/10.3856/vol42-issue5-fulltext-8")</f>
        <v>http://dx.doi.org/10.3856/vol42-issue5-fulltext-8</v>
      </c>
      <c r="BG714" t="s">
        <v>74</v>
      </c>
      <c r="BH714" t="s">
        <v>74</v>
      </c>
      <c r="BI714">
        <v>15</v>
      </c>
      <c r="BJ714" t="s">
        <v>4130</v>
      </c>
      <c r="BK714" t="s">
        <v>91</v>
      </c>
      <c r="BL714" t="s">
        <v>4130</v>
      </c>
      <c r="BM714" t="s">
        <v>13669</v>
      </c>
      <c r="BN714" t="s">
        <v>74</v>
      </c>
      <c r="BO714" t="s">
        <v>10140</v>
      </c>
      <c r="BP714" t="s">
        <v>74</v>
      </c>
      <c r="BQ714" t="s">
        <v>74</v>
      </c>
      <c r="BR714" t="s">
        <v>93</v>
      </c>
      <c r="BS714" t="s">
        <v>13670</v>
      </c>
      <c r="BT714" t="str">
        <f>HYPERLINK("https%3A%2F%2Fwww.webofscience.com%2Fwos%2Fwoscc%2Ffull-record%2FWOS:000347406200008","View Full Record in Web of Science")</f>
        <v>View Full Record in Web of Science</v>
      </c>
    </row>
    <row r="715" spans="1:72" x14ac:dyDescent="0.15">
      <c r="A715" t="s">
        <v>72</v>
      </c>
      <c r="B715" t="s">
        <v>13671</v>
      </c>
      <c r="C715" t="s">
        <v>74</v>
      </c>
      <c r="D715" t="s">
        <v>74</v>
      </c>
      <c r="E715" t="s">
        <v>74</v>
      </c>
      <c r="F715" t="s">
        <v>13672</v>
      </c>
      <c r="G715" t="s">
        <v>74</v>
      </c>
      <c r="H715" t="s">
        <v>74</v>
      </c>
      <c r="I715" t="s">
        <v>13673</v>
      </c>
      <c r="J715" t="s">
        <v>13674</v>
      </c>
      <c r="K715" t="s">
        <v>74</v>
      </c>
      <c r="L715" t="s">
        <v>74</v>
      </c>
      <c r="M715" t="s">
        <v>78</v>
      </c>
      <c r="N715" t="s">
        <v>99</v>
      </c>
      <c r="O715" t="s">
        <v>74</v>
      </c>
      <c r="P715" t="s">
        <v>74</v>
      </c>
      <c r="Q715" t="s">
        <v>74</v>
      </c>
      <c r="R715" t="s">
        <v>74</v>
      </c>
      <c r="S715" t="s">
        <v>74</v>
      </c>
      <c r="T715" t="s">
        <v>13675</v>
      </c>
      <c r="U715" t="s">
        <v>13676</v>
      </c>
      <c r="V715" t="s">
        <v>13677</v>
      </c>
      <c r="W715" t="s">
        <v>13678</v>
      </c>
      <c r="X715" t="s">
        <v>10196</v>
      </c>
      <c r="Y715" t="s">
        <v>13679</v>
      </c>
      <c r="Z715" t="s">
        <v>13680</v>
      </c>
      <c r="AA715" t="s">
        <v>13681</v>
      </c>
      <c r="AB715" t="s">
        <v>13682</v>
      </c>
      <c r="AC715" t="s">
        <v>74</v>
      </c>
      <c r="AD715" t="s">
        <v>74</v>
      </c>
      <c r="AE715" t="s">
        <v>74</v>
      </c>
      <c r="AF715" t="s">
        <v>74</v>
      </c>
      <c r="AG715">
        <v>44</v>
      </c>
      <c r="AH715">
        <v>9</v>
      </c>
      <c r="AI715">
        <v>10</v>
      </c>
      <c r="AJ715">
        <v>0</v>
      </c>
      <c r="AK715">
        <v>21</v>
      </c>
      <c r="AL715" t="s">
        <v>4624</v>
      </c>
      <c r="AM715" t="s">
        <v>2007</v>
      </c>
      <c r="AN715" t="s">
        <v>2008</v>
      </c>
      <c r="AO715" t="s">
        <v>13683</v>
      </c>
      <c r="AP715" t="s">
        <v>13684</v>
      </c>
      <c r="AQ715" t="s">
        <v>74</v>
      </c>
      <c r="AR715" t="s">
        <v>13685</v>
      </c>
      <c r="AS715" t="s">
        <v>13686</v>
      </c>
      <c r="AT715" t="s">
        <v>13643</v>
      </c>
      <c r="AU715">
        <v>2014</v>
      </c>
      <c r="AV715">
        <v>45</v>
      </c>
      <c r="AW715" t="s">
        <v>13644</v>
      </c>
      <c r="AX715" t="s">
        <v>74</v>
      </c>
      <c r="AY715" t="s">
        <v>74</v>
      </c>
      <c r="AZ715" t="s">
        <v>1437</v>
      </c>
      <c r="BA715" t="s">
        <v>74</v>
      </c>
      <c r="BB715">
        <v>1180</v>
      </c>
      <c r="BC715">
        <v>1185</v>
      </c>
      <c r="BD715" t="s">
        <v>74</v>
      </c>
      <c r="BE715" t="s">
        <v>13687</v>
      </c>
      <c r="BF715" t="str">
        <f>HYPERLINK("http://dx.doi.org/10.1002/jrs.4517","http://dx.doi.org/10.1002/jrs.4517")</f>
        <v>http://dx.doi.org/10.1002/jrs.4517</v>
      </c>
      <c r="BG715" t="s">
        <v>74</v>
      </c>
      <c r="BH715" t="s">
        <v>74</v>
      </c>
      <c r="BI715">
        <v>6</v>
      </c>
      <c r="BJ715" t="s">
        <v>13688</v>
      </c>
      <c r="BK715" t="s">
        <v>91</v>
      </c>
      <c r="BL715" t="s">
        <v>13688</v>
      </c>
      <c r="BM715" t="s">
        <v>13689</v>
      </c>
      <c r="BN715" t="s">
        <v>74</v>
      </c>
      <c r="BO715" t="s">
        <v>74</v>
      </c>
      <c r="BP715" t="s">
        <v>74</v>
      </c>
      <c r="BQ715" t="s">
        <v>74</v>
      </c>
      <c r="BR715" t="s">
        <v>93</v>
      </c>
      <c r="BS715" t="s">
        <v>13690</v>
      </c>
      <c r="BT715" t="str">
        <f>HYPERLINK("https%3A%2F%2Fwww.webofscience.com%2Fwos%2Fwoscc%2Ffull-record%2FWOS:000346912700026","View Full Record in Web of Science")</f>
        <v>View Full Record in Web of Science</v>
      </c>
    </row>
    <row r="716" spans="1:72" x14ac:dyDescent="0.15">
      <c r="A716" t="s">
        <v>72</v>
      </c>
      <c r="B716" t="s">
        <v>13691</v>
      </c>
      <c r="C716" t="s">
        <v>74</v>
      </c>
      <c r="D716" t="s">
        <v>74</v>
      </c>
      <c r="E716" t="s">
        <v>74</v>
      </c>
      <c r="F716" t="s">
        <v>13692</v>
      </c>
      <c r="G716" t="s">
        <v>74</v>
      </c>
      <c r="H716" t="s">
        <v>74</v>
      </c>
      <c r="I716" t="s">
        <v>13693</v>
      </c>
      <c r="J716" t="s">
        <v>13694</v>
      </c>
      <c r="K716" t="s">
        <v>74</v>
      </c>
      <c r="L716" t="s">
        <v>74</v>
      </c>
      <c r="M716" t="s">
        <v>78</v>
      </c>
      <c r="N716" t="s">
        <v>99</v>
      </c>
      <c r="O716" t="s">
        <v>74</v>
      </c>
      <c r="P716" t="s">
        <v>74</v>
      </c>
      <c r="Q716" t="s">
        <v>74</v>
      </c>
      <c r="R716" t="s">
        <v>74</v>
      </c>
      <c r="S716" t="s">
        <v>74</v>
      </c>
      <c r="T716" t="s">
        <v>74</v>
      </c>
      <c r="U716" t="s">
        <v>13695</v>
      </c>
      <c r="V716" t="s">
        <v>13696</v>
      </c>
      <c r="W716" t="s">
        <v>13697</v>
      </c>
      <c r="X716" t="s">
        <v>2128</v>
      </c>
      <c r="Y716" t="s">
        <v>13698</v>
      </c>
      <c r="Z716" t="s">
        <v>13699</v>
      </c>
      <c r="AA716" t="s">
        <v>13700</v>
      </c>
      <c r="AB716" t="s">
        <v>13701</v>
      </c>
      <c r="AC716" t="s">
        <v>13702</v>
      </c>
      <c r="AD716" t="s">
        <v>13703</v>
      </c>
      <c r="AE716" t="s">
        <v>13704</v>
      </c>
      <c r="AF716" t="s">
        <v>74</v>
      </c>
      <c r="AG716">
        <v>17</v>
      </c>
      <c r="AH716">
        <v>13</v>
      </c>
      <c r="AI716">
        <v>13</v>
      </c>
      <c r="AJ716">
        <v>1</v>
      </c>
      <c r="AK716">
        <v>9</v>
      </c>
      <c r="AL716" t="s">
        <v>2132</v>
      </c>
      <c r="AM716" t="s">
        <v>342</v>
      </c>
      <c r="AN716" t="s">
        <v>2133</v>
      </c>
      <c r="AO716" t="s">
        <v>13705</v>
      </c>
      <c r="AP716" t="s">
        <v>13706</v>
      </c>
      <c r="AQ716" t="s">
        <v>74</v>
      </c>
      <c r="AR716" t="s">
        <v>13707</v>
      </c>
      <c r="AS716" t="s">
        <v>13708</v>
      </c>
      <c r="AT716" t="s">
        <v>13619</v>
      </c>
      <c r="AU716">
        <v>2014</v>
      </c>
      <c r="AV716">
        <v>54</v>
      </c>
      <c r="AW716">
        <v>6</v>
      </c>
      <c r="AX716" t="s">
        <v>74</v>
      </c>
      <c r="AY716" t="s">
        <v>74</v>
      </c>
      <c r="AZ716" t="s">
        <v>74</v>
      </c>
      <c r="BA716" t="s">
        <v>74</v>
      </c>
      <c r="BB716">
        <v>677</v>
      </c>
      <c r="BC716">
        <v>687</v>
      </c>
      <c r="BD716" t="s">
        <v>74</v>
      </c>
      <c r="BE716" t="s">
        <v>13709</v>
      </c>
      <c r="BF716" t="str">
        <f>HYPERLINK("http://dx.doi.org/10.1134/S0001437014050130","http://dx.doi.org/10.1134/S0001437014050130")</f>
        <v>http://dx.doi.org/10.1134/S0001437014050130</v>
      </c>
      <c r="BG716" t="s">
        <v>74</v>
      </c>
      <c r="BH716" t="s">
        <v>74</v>
      </c>
      <c r="BI716">
        <v>11</v>
      </c>
      <c r="BJ716" t="s">
        <v>2054</v>
      </c>
      <c r="BK716" t="s">
        <v>91</v>
      </c>
      <c r="BL716" t="s">
        <v>2054</v>
      </c>
      <c r="BM716" t="s">
        <v>13710</v>
      </c>
      <c r="BN716" t="s">
        <v>74</v>
      </c>
      <c r="BO716" t="s">
        <v>74</v>
      </c>
      <c r="BP716" t="s">
        <v>74</v>
      </c>
      <c r="BQ716" t="s">
        <v>74</v>
      </c>
      <c r="BR716" t="s">
        <v>93</v>
      </c>
      <c r="BS716" t="s">
        <v>13711</v>
      </c>
      <c r="BT716" t="str">
        <f>HYPERLINK("https%3A%2F%2Fwww.webofscience.com%2Fwos%2Fwoscc%2Ffull-record%2FWOS:000346782000001","View Full Record in Web of Science")</f>
        <v>View Full Record in Web of Science</v>
      </c>
    </row>
    <row r="717" spans="1:72" x14ac:dyDescent="0.15">
      <c r="A717" t="s">
        <v>72</v>
      </c>
      <c r="B717" t="s">
        <v>13712</v>
      </c>
      <c r="C717" t="s">
        <v>74</v>
      </c>
      <c r="D717" t="s">
        <v>74</v>
      </c>
      <c r="E717" t="s">
        <v>74</v>
      </c>
      <c r="F717" t="s">
        <v>13713</v>
      </c>
      <c r="G717" t="s">
        <v>74</v>
      </c>
      <c r="H717" t="s">
        <v>74</v>
      </c>
      <c r="I717" t="s">
        <v>13714</v>
      </c>
      <c r="J717" t="s">
        <v>1909</v>
      </c>
      <c r="K717" t="s">
        <v>74</v>
      </c>
      <c r="L717" t="s">
        <v>74</v>
      </c>
      <c r="M717" t="s">
        <v>78</v>
      </c>
      <c r="N717" t="s">
        <v>99</v>
      </c>
      <c r="O717" t="s">
        <v>74</v>
      </c>
      <c r="P717" t="s">
        <v>74</v>
      </c>
      <c r="Q717" t="s">
        <v>74</v>
      </c>
      <c r="R717" t="s">
        <v>74</v>
      </c>
      <c r="S717" t="s">
        <v>74</v>
      </c>
      <c r="T717" t="s">
        <v>13715</v>
      </c>
      <c r="U717" t="s">
        <v>13716</v>
      </c>
      <c r="V717" t="s">
        <v>13717</v>
      </c>
      <c r="W717" t="s">
        <v>13718</v>
      </c>
      <c r="X717" t="s">
        <v>13719</v>
      </c>
      <c r="Y717" t="s">
        <v>13720</v>
      </c>
      <c r="Z717" t="s">
        <v>13721</v>
      </c>
      <c r="AA717" t="s">
        <v>13722</v>
      </c>
      <c r="AB717" t="s">
        <v>74</v>
      </c>
      <c r="AC717" t="s">
        <v>13723</v>
      </c>
      <c r="AD717" t="s">
        <v>13724</v>
      </c>
      <c r="AE717" t="s">
        <v>13725</v>
      </c>
      <c r="AF717" t="s">
        <v>74</v>
      </c>
      <c r="AG717">
        <v>40</v>
      </c>
      <c r="AH717">
        <v>10</v>
      </c>
      <c r="AI717">
        <v>11</v>
      </c>
      <c r="AJ717">
        <v>0</v>
      </c>
      <c r="AK717">
        <v>22</v>
      </c>
      <c r="AL717" t="s">
        <v>1895</v>
      </c>
      <c r="AM717" t="s">
        <v>1411</v>
      </c>
      <c r="AN717" t="s">
        <v>1896</v>
      </c>
      <c r="AO717" t="s">
        <v>1920</v>
      </c>
      <c r="AP717" t="s">
        <v>1921</v>
      </c>
      <c r="AQ717" t="s">
        <v>74</v>
      </c>
      <c r="AR717" t="s">
        <v>1922</v>
      </c>
      <c r="AS717" t="s">
        <v>1923</v>
      </c>
      <c r="AT717" t="s">
        <v>13643</v>
      </c>
      <c r="AU717">
        <v>2014</v>
      </c>
      <c r="AV717">
        <v>71</v>
      </c>
      <c r="AW717">
        <v>9</v>
      </c>
      <c r="AX717" t="s">
        <v>74</v>
      </c>
      <c r="AY717" t="s">
        <v>74</v>
      </c>
      <c r="AZ717" t="s">
        <v>74</v>
      </c>
      <c r="BA717" t="s">
        <v>74</v>
      </c>
      <c r="BB717">
        <v>2550</v>
      </c>
      <c r="BC717">
        <v>2563</v>
      </c>
      <c r="BD717" t="s">
        <v>74</v>
      </c>
      <c r="BE717" t="s">
        <v>13726</v>
      </c>
      <c r="BF717" t="str">
        <f>HYPERLINK("http://dx.doi.org/10.1093/icesjms/fsu109","http://dx.doi.org/10.1093/icesjms/fsu109")</f>
        <v>http://dx.doi.org/10.1093/icesjms/fsu109</v>
      </c>
      <c r="BG717" t="s">
        <v>74</v>
      </c>
      <c r="BH717" t="s">
        <v>74</v>
      </c>
      <c r="BI717">
        <v>14</v>
      </c>
      <c r="BJ717" t="s">
        <v>1926</v>
      </c>
      <c r="BK717" t="s">
        <v>91</v>
      </c>
      <c r="BL717" t="s">
        <v>1926</v>
      </c>
      <c r="BM717" t="s">
        <v>13727</v>
      </c>
      <c r="BN717" t="s">
        <v>74</v>
      </c>
      <c r="BO717" t="s">
        <v>375</v>
      </c>
      <c r="BP717" t="s">
        <v>74</v>
      </c>
      <c r="BQ717" t="s">
        <v>74</v>
      </c>
      <c r="BR717" t="s">
        <v>93</v>
      </c>
      <c r="BS717" t="s">
        <v>13728</v>
      </c>
      <c r="BT717" t="str">
        <f>HYPERLINK("https%3A%2F%2Fwww.webofscience.com%2Fwos%2Fwoscc%2Ffull-record%2FWOS:000346191300018","View Full Record in Web of Science")</f>
        <v>View Full Record in Web of Science</v>
      </c>
    </row>
    <row r="718" spans="1:72" x14ac:dyDescent="0.15">
      <c r="A718" t="s">
        <v>72</v>
      </c>
      <c r="B718" t="s">
        <v>13729</v>
      </c>
      <c r="C718" t="s">
        <v>74</v>
      </c>
      <c r="D718" t="s">
        <v>74</v>
      </c>
      <c r="E718" t="s">
        <v>74</v>
      </c>
      <c r="F718" t="s">
        <v>13730</v>
      </c>
      <c r="G718" t="s">
        <v>74</v>
      </c>
      <c r="H718" t="s">
        <v>74</v>
      </c>
      <c r="I718" t="s">
        <v>13731</v>
      </c>
      <c r="J718" t="s">
        <v>13732</v>
      </c>
      <c r="K718" t="s">
        <v>74</v>
      </c>
      <c r="L718" t="s">
        <v>74</v>
      </c>
      <c r="M718" t="s">
        <v>78</v>
      </c>
      <c r="N718" t="s">
        <v>99</v>
      </c>
      <c r="O718" t="s">
        <v>74</v>
      </c>
      <c r="P718" t="s">
        <v>74</v>
      </c>
      <c r="Q718" t="s">
        <v>74</v>
      </c>
      <c r="R718" t="s">
        <v>74</v>
      </c>
      <c r="S718" t="s">
        <v>74</v>
      </c>
      <c r="T718" t="s">
        <v>13733</v>
      </c>
      <c r="U718" t="s">
        <v>74</v>
      </c>
      <c r="V718" t="s">
        <v>13734</v>
      </c>
      <c r="W718" t="s">
        <v>13735</v>
      </c>
      <c r="X718" t="s">
        <v>13736</v>
      </c>
      <c r="Y718" t="s">
        <v>13737</v>
      </c>
      <c r="Z718" t="s">
        <v>13738</v>
      </c>
      <c r="AA718" t="s">
        <v>13739</v>
      </c>
      <c r="AB718" t="s">
        <v>13740</v>
      </c>
      <c r="AC718" t="s">
        <v>13741</v>
      </c>
      <c r="AD718" t="s">
        <v>13742</v>
      </c>
      <c r="AE718" t="s">
        <v>13743</v>
      </c>
      <c r="AF718" t="s">
        <v>74</v>
      </c>
      <c r="AG718">
        <v>10</v>
      </c>
      <c r="AH718">
        <v>7</v>
      </c>
      <c r="AI718">
        <v>7</v>
      </c>
      <c r="AJ718">
        <v>2</v>
      </c>
      <c r="AK718">
        <v>26</v>
      </c>
      <c r="AL718" t="s">
        <v>6470</v>
      </c>
      <c r="AM718" t="s">
        <v>6471</v>
      </c>
      <c r="AN718" t="s">
        <v>6472</v>
      </c>
      <c r="AO718" t="s">
        <v>13744</v>
      </c>
      <c r="AP718" t="s">
        <v>13745</v>
      </c>
      <c r="AQ718" t="s">
        <v>74</v>
      </c>
      <c r="AR718" t="s">
        <v>13746</v>
      </c>
      <c r="AS718" t="s">
        <v>13747</v>
      </c>
      <c r="AT718" t="s">
        <v>13619</v>
      </c>
      <c r="AU718">
        <v>2014</v>
      </c>
      <c r="AV718">
        <v>14</v>
      </c>
      <c r="AW718">
        <v>11</v>
      </c>
      <c r="AX718" t="s">
        <v>74</v>
      </c>
      <c r="AY718" t="s">
        <v>74</v>
      </c>
      <c r="AZ718" t="s">
        <v>74</v>
      </c>
      <c r="BA718" t="s">
        <v>74</v>
      </c>
      <c r="BB718">
        <v>3738</v>
      </c>
      <c r="BC718">
        <v>3744</v>
      </c>
      <c r="BD718" t="s">
        <v>74</v>
      </c>
      <c r="BE718" t="s">
        <v>13748</v>
      </c>
      <c r="BF718" t="str">
        <f>HYPERLINK("http://dx.doi.org/10.1109/JSEN.2014.2309654","http://dx.doi.org/10.1109/JSEN.2014.2309654")</f>
        <v>http://dx.doi.org/10.1109/JSEN.2014.2309654</v>
      </c>
      <c r="BG718" t="s">
        <v>74</v>
      </c>
      <c r="BH718" t="s">
        <v>74</v>
      </c>
      <c r="BI718">
        <v>7</v>
      </c>
      <c r="BJ718" t="s">
        <v>13749</v>
      </c>
      <c r="BK718" t="s">
        <v>91</v>
      </c>
      <c r="BL718" t="s">
        <v>13750</v>
      </c>
      <c r="BM718" t="s">
        <v>13751</v>
      </c>
      <c r="BN718" t="s">
        <v>74</v>
      </c>
      <c r="BO718" t="s">
        <v>74</v>
      </c>
      <c r="BP718" t="s">
        <v>74</v>
      </c>
      <c r="BQ718" t="s">
        <v>74</v>
      </c>
      <c r="BR718" t="s">
        <v>93</v>
      </c>
      <c r="BS718" t="s">
        <v>13752</v>
      </c>
      <c r="BT718" t="str">
        <f>HYPERLINK("https%3A%2F%2Fwww.webofscience.com%2Fwos%2Fwoscc%2Ffull-record%2FWOS:000346963700001","View Full Record in Web of Science")</f>
        <v>View Full Record in Web of Science</v>
      </c>
    </row>
    <row r="719" spans="1:72" x14ac:dyDescent="0.15">
      <c r="A719" t="s">
        <v>72</v>
      </c>
      <c r="B719" t="s">
        <v>13753</v>
      </c>
      <c r="C719" t="s">
        <v>74</v>
      </c>
      <c r="D719" t="s">
        <v>74</v>
      </c>
      <c r="E719" t="s">
        <v>74</v>
      </c>
      <c r="F719" t="s">
        <v>13754</v>
      </c>
      <c r="G719" t="s">
        <v>74</v>
      </c>
      <c r="H719" t="s">
        <v>74</v>
      </c>
      <c r="I719" t="s">
        <v>13755</v>
      </c>
      <c r="J719" t="s">
        <v>1932</v>
      </c>
      <c r="K719" t="s">
        <v>74</v>
      </c>
      <c r="L719" t="s">
        <v>74</v>
      </c>
      <c r="M719" t="s">
        <v>78</v>
      </c>
      <c r="N719" t="s">
        <v>99</v>
      </c>
      <c r="O719" t="s">
        <v>74</v>
      </c>
      <c r="P719" t="s">
        <v>74</v>
      </c>
      <c r="Q719" t="s">
        <v>74</v>
      </c>
      <c r="R719" t="s">
        <v>74</v>
      </c>
      <c r="S719" t="s">
        <v>74</v>
      </c>
      <c r="T719" t="s">
        <v>13756</v>
      </c>
      <c r="U719" t="s">
        <v>13757</v>
      </c>
      <c r="V719" t="s">
        <v>13758</v>
      </c>
      <c r="W719" t="s">
        <v>13759</v>
      </c>
      <c r="X719" t="s">
        <v>13760</v>
      </c>
      <c r="Y719" t="s">
        <v>13761</v>
      </c>
      <c r="Z719" t="s">
        <v>13762</v>
      </c>
      <c r="AA719" t="s">
        <v>13763</v>
      </c>
      <c r="AB719" t="s">
        <v>13764</v>
      </c>
      <c r="AC719" t="s">
        <v>13765</v>
      </c>
      <c r="AD719" t="s">
        <v>7063</v>
      </c>
      <c r="AE719" t="s">
        <v>13766</v>
      </c>
      <c r="AF719" t="s">
        <v>74</v>
      </c>
      <c r="AG719">
        <v>90</v>
      </c>
      <c r="AH719">
        <v>85</v>
      </c>
      <c r="AI719">
        <v>95</v>
      </c>
      <c r="AJ719">
        <v>1</v>
      </c>
      <c r="AK719">
        <v>30</v>
      </c>
      <c r="AL719" t="s">
        <v>1945</v>
      </c>
      <c r="AM719" t="s">
        <v>1946</v>
      </c>
      <c r="AN719" t="s">
        <v>1947</v>
      </c>
      <c r="AO719" t="s">
        <v>1948</v>
      </c>
      <c r="AP719" t="s">
        <v>1949</v>
      </c>
      <c r="AQ719" t="s">
        <v>74</v>
      </c>
      <c r="AR719" t="s">
        <v>1950</v>
      </c>
      <c r="AS719" t="s">
        <v>1951</v>
      </c>
      <c r="AT719" t="s">
        <v>13619</v>
      </c>
      <c r="AU719">
        <v>2014</v>
      </c>
      <c r="AV719">
        <v>119</v>
      </c>
      <c r="AW719">
        <v>11</v>
      </c>
      <c r="AX719" t="s">
        <v>74</v>
      </c>
      <c r="AY719" t="s">
        <v>74</v>
      </c>
      <c r="AZ719" t="s">
        <v>74</v>
      </c>
      <c r="BA719" t="s">
        <v>74</v>
      </c>
      <c r="BB719">
        <v>2361</v>
      </c>
      <c r="BC719">
        <v>2380</v>
      </c>
      <c r="BD719" t="s">
        <v>74</v>
      </c>
      <c r="BE719" t="s">
        <v>13767</v>
      </c>
      <c r="BF719" t="str">
        <f>HYPERLINK("http://dx.doi.org/10.1002/2014JF003171","http://dx.doi.org/10.1002/2014JF003171")</f>
        <v>http://dx.doi.org/10.1002/2014JF003171</v>
      </c>
      <c r="BG719" t="s">
        <v>74</v>
      </c>
      <c r="BH719" t="s">
        <v>74</v>
      </c>
      <c r="BI719">
        <v>20</v>
      </c>
      <c r="BJ719" t="s">
        <v>1953</v>
      </c>
      <c r="BK719" t="s">
        <v>91</v>
      </c>
      <c r="BL719" t="s">
        <v>1954</v>
      </c>
      <c r="BM719" t="s">
        <v>13768</v>
      </c>
      <c r="BN719" t="s">
        <v>74</v>
      </c>
      <c r="BO719" t="s">
        <v>375</v>
      </c>
      <c r="BP719" t="s">
        <v>74</v>
      </c>
      <c r="BQ719" t="s">
        <v>74</v>
      </c>
      <c r="BR719" t="s">
        <v>93</v>
      </c>
      <c r="BS719" t="s">
        <v>13769</v>
      </c>
      <c r="BT719" t="str">
        <f>HYPERLINK("https%3A%2F%2Fwww.webofscience.com%2Fwos%2Fwoscc%2Ffull-record%2FWOS:000346346000003","View Full Record in Web of Science")</f>
        <v>View Full Record in Web of Science</v>
      </c>
    </row>
    <row r="720" spans="1:72" x14ac:dyDescent="0.15">
      <c r="A720" t="s">
        <v>72</v>
      </c>
      <c r="B720" t="s">
        <v>13770</v>
      </c>
      <c r="C720" t="s">
        <v>74</v>
      </c>
      <c r="D720" t="s">
        <v>74</v>
      </c>
      <c r="E720" t="s">
        <v>74</v>
      </c>
      <c r="F720" t="s">
        <v>13771</v>
      </c>
      <c r="G720" t="s">
        <v>74</v>
      </c>
      <c r="H720" t="s">
        <v>74</v>
      </c>
      <c r="I720" t="s">
        <v>13772</v>
      </c>
      <c r="J720" t="s">
        <v>1932</v>
      </c>
      <c r="K720" t="s">
        <v>74</v>
      </c>
      <c r="L720" t="s">
        <v>74</v>
      </c>
      <c r="M720" t="s">
        <v>78</v>
      </c>
      <c r="N720" t="s">
        <v>99</v>
      </c>
      <c r="O720" t="s">
        <v>74</v>
      </c>
      <c r="P720" t="s">
        <v>74</v>
      </c>
      <c r="Q720" t="s">
        <v>74</v>
      </c>
      <c r="R720" t="s">
        <v>74</v>
      </c>
      <c r="S720" t="s">
        <v>74</v>
      </c>
      <c r="T720" t="s">
        <v>13773</v>
      </c>
      <c r="U720" t="s">
        <v>13774</v>
      </c>
      <c r="V720" t="s">
        <v>13775</v>
      </c>
      <c r="W720" t="s">
        <v>13776</v>
      </c>
      <c r="X720" t="s">
        <v>13777</v>
      </c>
      <c r="Y720" t="s">
        <v>13778</v>
      </c>
      <c r="Z720" t="s">
        <v>13779</v>
      </c>
      <c r="AA720" t="s">
        <v>13780</v>
      </c>
      <c r="AB720" t="s">
        <v>13781</v>
      </c>
      <c r="AC720" t="s">
        <v>13782</v>
      </c>
      <c r="AD720" t="s">
        <v>13783</v>
      </c>
      <c r="AE720" t="s">
        <v>13784</v>
      </c>
      <c r="AF720" t="s">
        <v>74</v>
      </c>
      <c r="AG720">
        <v>71</v>
      </c>
      <c r="AH720">
        <v>26</v>
      </c>
      <c r="AI720">
        <v>27</v>
      </c>
      <c r="AJ720">
        <v>2</v>
      </c>
      <c r="AK720">
        <v>20</v>
      </c>
      <c r="AL720" t="s">
        <v>1945</v>
      </c>
      <c r="AM720" t="s">
        <v>1946</v>
      </c>
      <c r="AN720" t="s">
        <v>1947</v>
      </c>
      <c r="AO720" t="s">
        <v>1948</v>
      </c>
      <c r="AP720" t="s">
        <v>1949</v>
      </c>
      <c r="AQ720" t="s">
        <v>74</v>
      </c>
      <c r="AR720" t="s">
        <v>1950</v>
      </c>
      <c r="AS720" t="s">
        <v>1951</v>
      </c>
      <c r="AT720" t="s">
        <v>13619</v>
      </c>
      <c r="AU720">
        <v>2014</v>
      </c>
      <c r="AV720">
        <v>119</v>
      </c>
      <c r="AW720">
        <v>11</v>
      </c>
      <c r="AX720" t="s">
        <v>74</v>
      </c>
      <c r="AY720" t="s">
        <v>74</v>
      </c>
      <c r="AZ720" t="s">
        <v>74</v>
      </c>
      <c r="BA720" t="s">
        <v>74</v>
      </c>
      <c r="BB720">
        <v>2460</v>
      </c>
      <c r="BC720">
        <v>2480</v>
      </c>
      <c r="BD720" t="s">
        <v>74</v>
      </c>
      <c r="BE720" t="s">
        <v>13785</v>
      </c>
      <c r="BF720" t="str">
        <f>HYPERLINK("http://dx.doi.org/10.1002/2014JF003228","http://dx.doi.org/10.1002/2014JF003228")</f>
        <v>http://dx.doi.org/10.1002/2014JF003228</v>
      </c>
      <c r="BG720" t="s">
        <v>74</v>
      </c>
      <c r="BH720" t="s">
        <v>74</v>
      </c>
      <c r="BI720">
        <v>21</v>
      </c>
      <c r="BJ720" t="s">
        <v>1953</v>
      </c>
      <c r="BK720" t="s">
        <v>91</v>
      </c>
      <c r="BL720" t="s">
        <v>1954</v>
      </c>
      <c r="BM720" t="s">
        <v>13768</v>
      </c>
      <c r="BN720" t="s">
        <v>74</v>
      </c>
      <c r="BO720" t="s">
        <v>3478</v>
      </c>
      <c r="BP720" t="s">
        <v>74</v>
      </c>
      <c r="BQ720" t="s">
        <v>74</v>
      </c>
      <c r="BR720" t="s">
        <v>93</v>
      </c>
      <c r="BS720" t="s">
        <v>13786</v>
      </c>
      <c r="BT720" t="str">
        <f>HYPERLINK("https%3A%2F%2Fwww.webofscience.com%2Fwos%2Fwoscc%2Ffull-record%2FWOS:000346346000009","View Full Record in Web of Science")</f>
        <v>View Full Record in Web of Science</v>
      </c>
    </row>
    <row r="721" spans="1:72" x14ac:dyDescent="0.15">
      <c r="A721" t="s">
        <v>72</v>
      </c>
      <c r="B721" t="s">
        <v>13787</v>
      </c>
      <c r="C721" t="s">
        <v>74</v>
      </c>
      <c r="D721" t="s">
        <v>74</v>
      </c>
      <c r="E721" t="s">
        <v>74</v>
      </c>
      <c r="F721" t="s">
        <v>13788</v>
      </c>
      <c r="G721" t="s">
        <v>74</v>
      </c>
      <c r="H721" t="s">
        <v>74</v>
      </c>
      <c r="I721" t="s">
        <v>13789</v>
      </c>
      <c r="J721" t="s">
        <v>1932</v>
      </c>
      <c r="K721" t="s">
        <v>74</v>
      </c>
      <c r="L721" t="s">
        <v>74</v>
      </c>
      <c r="M721" t="s">
        <v>78</v>
      </c>
      <c r="N721" t="s">
        <v>99</v>
      </c>
      <c r="O721" t="s">
        <v>74</v>
      </c>
      <c r="P721" t="s">
        <v>74</v>
      </c>
      <c r="Q721" t="s">
        <v>74</v>
      </c>
      <c r="R721" t="s">
        <v>74</v>
      </c>
      <c r="S721" t="s">
        <v>74</v>
      </c>
      <c r="T721" t="s">
        <v>13790</v>
      </c>
      <c r="U721" t="s">
        <v>13791</v>
      </c>
      <c r="V721" t="s">
        <v>13792</v>
      </c>
      <c r="W721" t="s">
        <v>13793</v>
      </c>
      <c r="X721" t="s">
        <v>13794</v>
      </c>
      <c r="Y721" t="s">
        <v>13795</v>
      </c>
      <c r="Z721" t="s">
        <v>13796</v>
      </c>
      <c r="AA721" t="s">
        <v>74</v>
      </c>
      <c r="AB721" t="s">
        <v>74</v>
      </c>
      <c r="AC721" t="s">
        <v>13797</v>
      </c>
      <c r="AD721" t="s">
        <v>13798</v>
      </c>
      <c r="AE721" t="s">
        <v>13799</v>
      </c>
      <c r="AF721" t="s">
        <v>74</v>
      </c>
      <c r="AG721">
        <v>144</v>
      </c>
      <c r="AH721">
        <v>29</v>
      </c>
      <c r="AI721">
        <v>36</v>
      </c>
      <c r="AJ721">
        <v>1</v>
      </c>
      <c r="AK721">
        <v>24</v>
      </c>
      <c r="AL721" t="s">
        <v>1945</v>
      </c>
      <c r="AM721" t="s">
        <v>1946</v>
      </c>
      <c r="AN721" t="s">
        <v>1947</v>
      </c>
      <c r="AO721" t="s">
        <v>1948</v>
      </c>
      <c r="AP721" t="s">
        <v>1949</v>
      </c>
      <c r="AQ721" t="s">
        <v>74</v>
      </c>
      <c r="AR721" t="s">
        <v>1950</v>
      </c>
      <c r="AS721" t="s">
        <v>1951</v>
      </c>
      <c r="AT721" t="s">
        <v>13619</v>
      </c>
      <c r="AU721">
        <v>2014</v>
      </c>
      <c r="AV721">
        <v>119</v>
      </c>
      <c r="AW721">
        <v>11</v>
      </c>
      <c r="AX721" t="s">
        <v>74</v>
      </c>
      <c r="AY721" t="s">
        <v>74</v>
      </c>
      <c r="AZ721" t="s">
        <v>74</v>
      </c>
      <c r="BA721" t="s">
        <v>74</v>
      </c>
      <c r="BB721">
        <v>2505</v>
      </c>
      <c r="BC721">
        <v>2540</v>
      </c>
      <c r="BD721" t="s">
        <v>74</v>
      </c>
      <c r="BE721" t="s">
        <v>13800</v>
      </c>
      <c r="BF721" t="str">
        <f>HYPERLINK("http://dx.doi.org/10.1002/2014JF003178","http://dx.doi.org/10.1002/2014JF003178")</f>
        <v>http://dx.doi.org/10.1002/2014JF003178</v>
      </c>
      <c r="BG721" t="s">
        <v>74</v>
      </c>
      <c r="BH721" t="s">
        <v>74</v>
      </c>
      <c r="BI721">
        <v>36</v>
      </c>
      <c r="BJ721" t="s">
        <v>1953</v>
      </c>
      <c r="BK721" t="s">
        <v>91</v>
      </c>
      <c r="BL721" t="s">
        <v>1954</v>
      </c>
      <c r="BM721" t="s">
        <v>13768</v>
      </c>
      <c r="BN721" t="s">
        <v>74</v>
      </c>
      <c r="BO721" t="s">
        <v>375</v>
      </c>
      <c r="BP721" t="s">
        <v>74</v>
      </c>
      <c r="BQ721" t="s">
        <v>74</v>
      </c>
      <c r="BR721" t="s">
        <v>93</v>
      </c>
      <c r="BS721" t="s">
        <v>13801</v>
      </c>
      <c r="BT721" t="str">
        <f>HYPERLINK("https%3A%2F%2Fwww.webofscience.com%2Fwos%2Fwoscc%2Ffull-record%2FWOS:000346346000011","View Full Record in Web of Science")</f>
        <v>View Full Record in Web of Science</v>
      </c>
    </row>
    <row r="722" spans="1:72" x14ac:dyDescent="0.15">
      <c r="A722" t="s">
        <v>72</v>
      </c>
      <c r="B722" t="s">
        <v>13802</v>
      </c>
      <c r="C722" t="s">
        <v>74</v>
      </c>
      <c r="D722" t="s">
        <v>74</v>
      </c>
      <c r="E722" t="s">
        <v>74</v>
      </c>
      <c r="F722" t="s">
        <v>13803</v>
      </c>
      <c r="G722" t="s">
        <v>74</v>
      </c>
      <c r="H722" t="s">
        <v>74</v>
      </c>
      <c r="I722" t="s">
        <v>13804</v>
      </c>
      <c r="J722" t="s">
        <v>9922</v>
      </c>
      <c r="K722" t="s">
        <v>74</v>
      </c>
      <c r="L722" t="s">
        <v>74</v>
      </c>
      <c r="M722" t="s">
        <v>78</v>
      </c>
      <c r="N722" t="s">
        <v>99</v>
      </c>
      <c r="O722" t="s">
        <v>74</v>
      </c>
      <c r="P722" t="s">
        <v>74</v>
      </c>
      <c r="Q722" t="s">
        <v>74</v>
      </c>
      <c r="R722" t="s">
        <v>74</v>
      </c>
      <c r="S722" t="s">
        <v>74</v>
      </c>
      <c r="T722" t="s">
        <v>13805</v>
      </c>
      <c r="U722" t="s">
        <v>13806</v>
      </c>
      <c r="V722" t="s">
        <v>13807</v>
      </c>
      <c r="W722" t="s">
        <v>13808</v>
      </c>
      <c r="X722" t="s">
        <v>13809</v>
      </c>
      <c r="Y722" t="s">
        <v>13810</v>
      </c>
      <c r="Z722" t="s">
        <v>13811</v>
      </c>
      <c r="AA722" t="s">
        <v>13812</v>
      </c>
      <c r="AB722" t="s">
        <v>13813</v>
      </c>
      <c r="AC722" t="s">
        <v>13814</v>
      </c>
      <c r="AD722" t="s">
        <v>13815</v>
      </c>
      <c r="AE722" t="s">
        <v>13816</v>
      </c>
      <c r="AF722" t="s">
        <v>74</v>
      </c>
      <c r="AG722">
        <v>93</v>
      </c>
      <c r="AH722">
        <v>12</v>
      </c>
      <c r="AI722">
        <v>12</v>
      </c>
      <c r="AJ722">
        <v>0</v>
      </c>
      <c r="AK722">
        <v>38</v>
      </c>
      <c r="AL722" t="s">
        <v>1945</v>
      </c>
      <c r="AM722" t="s">
        <v>1946</v>
      </c>
      <c r="AN722" t="s">
        <v>1947</v>
      </c>
      <c r="AO722" t="s">
        <v>9933</v>
      </c>
      <c r="AP722" t="s">
        <v>9934</v>
      </c>
      <c r="AQ722" t="s">
        <v>74</v>
      </c>
      <c r="AR722" t="s">
        <v>9922</v>
      </c>
      <c r="AS722" t="s">
        <v>9935</v>
      </c>
      <c r="AT722" t="s">
        <v>13619</v>
      </c>
      <c r="AU722">
        <v>2014</v>
      </c>
      <c r="AV722">
        <v>29</v>
      </c>
      <c r="AW722">
        <v>11</v>
      </c>
      <c r="AX722" t="s">
        <v>74</v>
      </c>
      <c r="AY722" t="s">
        <v>74</v>
      </c>
      <c r="AZ722" t="s">
        <v>74</v>
      </c>
      <c r="BA722" t="s">
        <v>74</v>
      </c>
      <c r="BB722">
        <v>1003</v>
      </c>
      <c r="BC722">
        <v>1023</v>
      </c>
      <c r="BD722" t="s">
        <v>74</v>
      </c>
      <c r="BE722" t="s">
        <v>13817</v>
      </c>
      <c r="BF722" t="str">
        <f>HYPERLINK("http://dx.doi.org/10.1002/2014PA002658","http://dx.doi.org/10.1002/2014PA002658")</f>
        <v>http://dx.doi.org/10.1002/2014PA002658</v>
      </c>
      <c r="BG722" t="s">
        <v>74</v>
      </c>
      <c r="BH722" t="s">
        <v>74</v>
      </c>
      <c r="BI722">
        <v>21</v>
      </c>
      <c r="BJ722" t="s">
        <v>9937</v>
      </c>
      <c r="BK722" t="s">
        <v>91</v>
      </c>
      <c r="BL722" t="s">
        <v>9938</v>
      </c>
      <c r="BM722" t="s">
        <v>13818</v>
      </c>
      <c r="BN722" t="s">
        <v>74</v>
      </c>
      <c r="BO722" t="s">
        <v>13819</v>
      </c>
      <c r="BP722" t="s">
        <v>74</v>
      </c>
      <c r="BQ722" t="s">
        <v>74</v>
      </c>
      <c r="BR722" t="s">
        <v>93</v>
      </c>
      <c r="BS722" t="s">
        <v>13820</v>
      </c>
      <c r="BT722" t="str">
        <f>HYPERLINK("https%3A%2F%2Fwww.webofscience.com%2Fwos%2Fwoscc%2Ffull-record%2FWOS:000346489000001","View Full Record in Web of Science")</f>
        <v>View Full Record in Web of Science</v>
      </c>
    </row>
    <row r="723" spans="1:72" x14ac:dyDescent="0.15">
      <c r="A723" t="s">
        <v>72</v>
      </c>
      <c r="B723" t="s">
        <v>13821</v>
      </c>
      <c r="C723" t="s">
        <v>74</v>
      </c>
      <c r="D723" t="s">
        <v>74</v>
      </c>
      <c r="E723" t="s">
        <v>74</v>
      </c>
      <c r="F723" t="s">
        <v>13822</v>
      </c>
      <c r="G723" t="s">
        <v>74</v>
      </c>
      <c r="H723" t="s">
        <v>74</v>
      </c>
      <c r="I723" t="s">
        <v>13823</v>
      </c>
      <c r="J723" t="s">
        <v>2125</v>
      </c>
      <c r="K723" t="s">
        <v>74</v>
      </c>
      <c r="L723" t="s">
        <v>74</v>
      </c>
      <c r="M723" t="s">
        <v>78</v>
      </c>
      <c r="N723" t="s">
        <v>99</v>
      </c>
      <c r="O723" t="s">
        <v>74</v>
      </c>
      <c r="P723" t="s">
        <v>74</v>
      </c>
      <c r="Q723" t="s">
        <v>74</v>
      </c>
      <c r="R723" t="s">
        <v>74</v>
      </c>
      <c r="S723" t="s">
        <v>74</v>
      </c>
      <c r="T723" t="s">
        <v>74</v>
      </c>
      <c r="U723" t="s">
        <v>74</v>
      </c>
      <c r="V723" t="s">
        <v>74</v>
      </c>
      <c r="W723" t="s">
        <v>13824</v>
      </c>
      <c r="X723" t="s">
        <v>2186</v>
      </c>
      <c r="Y723" t="s">
        <v>13825</v>
      </c>
      <c r="Z723" t="s">
        <v>13826</v>
      </c>
      <c r="AA723" t="s">
        <v>74</v>
      </c>
      <c r="AB723" t="s">
        <v>74</v>
      </c>
      <c r="AC723" t="s">
        <v>74</v>
      </c>
      <c r="AD723" t="s">
        <v>74</v>
      </c>
      <c r="AE723" t="s">
        <v>74</v>
      </c>
      <c r="AF723" t="s">
        <v>74</v>
      </c>
      <c r="AG723">
        <v>12</v>
      </c>
      <c r="AH723">
        <v>0</v>
      </c>
      <c r="AI723">
        <v>0</v>
      </c>
      <c r="AJ723">
        <v>0</v>
      </c>
      <c r="AK723">
        <v>0</v>
      </c>
      <c r="AL723" t="s">
        <v>2132</v>
      </c>
      <c r="AM723" t="s">
        <v>342</v>
      </c>
      <c r="AN723" t="s">
        <v>2133</v>
      </c>
      <c r="AO723" t="s">
        <v>2134</v>
      </c>
      <c r="AP723" t="s">
        <v>2135</v>
      </c>
      <c r="AQ723" t="s">
        <v>74</v>
      </c>
      <c r="AR723" t="s">
        <v>2136</v>
      </c>
      <c r="AS723" t="s">
        <v>2137</v>
      </c>
      <c r="AT723" t="s">
        <v>13619</v>
      </c>
      <c r="AU723">
        <v>2014</v>
      </c>
      <c r="AV723">
        <v>459</v>
      </c>
      <c r="AW723">
        <v>1</v>
      </c>
      <c r="AX723" t="s">
        <v>74</v>
      </c>
      <c r="AY723" t="s">
        <v>74</v>
      </c>
      <c r="AZ723" t="s">
        <v>74</v>
      </c>
      <c r="BA723" t="s">
        <v>74</v>
      </c>
      <c r="BB723">
        <v>1403</v>
      </c>
      <c r="BC723">
        <v>1408</v>
      </c>
      <c r="BD723" t="s">
        <v>74</v>
      </c>
      <c r="BE723" t="s">
        <v>13827</v>
      </c>
      <c r="BF723" t="str">
        <f>HYPERLINK("http://dx.doi.org/10.1134/S1028334X14090037","http://dx.doi.org/10.1134/S1028334X14090037")</f>
        <v>http://dx.doi.org/10.1134/S1028334X14090037</v>
      </c>
      <c r="BG723" t="s">
        <v>74</v>
      </c>
      <c r="BH723" t="s">
        <v>74</v>
      </c>
      <c r="BI723">
        <v>6</v>
      </c>
      <c r="BJ723" t="s">
        <v>1953</v>
      </c>
      <c r="BK723" t="s">
        <v>91</v>
      </c>
      <c r="BL723" t="s">
        <v>1954</v>
      </c>
      <c r="BM723" t="s">
        <v>13828</v>
      </c>
      <c r="BN723" t="s">
        <v>74</v>
      </c>
      <c r="BO723" t="s">
        <v>74</v>
      </c>
      <c r="BP723" t="s">
        <v>74</v>
      </c>
      <c r="BQ723" t="s">
        <v>74</v>
      </c>
      <c r="BR723" t="s">
        <v>93</v>
      </c>
      <c r="BS723" t="s">
        <v>13829</v>
      </c>
      <c r="BT723" t="str">
        <f>HYPERLINK("https%3A%2F%2Fwww.webofscience.com%2Fwos%2Fwoscc%2Ffull-record%2FWOS:000346005200019","View Full Record in Web of Science")</f>
        <v>View Full Record in Web of Science</v>
      </c>
    </row>
    <row r="724" spans="1:72" x14ac:dyDescent="0.15">
      <c r="A724" t="s">
        <v>72</v>
      </c>
      <c r="B724" t="s">
        <v>13830</v>
      </c>
      <c r="C724" t="s">
        <v>74</v>
      </c>
      <c r="D724" t="s">
        <v>74</v>
      </c>
      <c r="E724" t="s">
        <v>74</v>
      </c>
      <c r="F724" t="s">
        <v>13831</v>
      </c>
      <c r="G724" t="s">
        <v>74</v>
      </c>
      <c r="H724" t="s">
        <v>74</v>
      </c>
      <c r="I724" t="s">
        <v>13832</v>
      </c>
      <c r="J724" t="s">
        <v>13833</v>
      </c>
      <c r="K724" t="s">
        <v>74</v>
      </c>
      <c r="L724" t="s">
        <v>74</v>
      </c>
      <c r="M724" t="s">
        <v>78</v>
      </c>
      <c r="N724" t="s">
        <v>99</v>
      </c>
      <c r="O724" t="s">
        <v>74</v>
      </c>
      <c r="P724" t="s">
        <v>74</v>
      </c>
      <c r="Q724" t="s">
        <v>74</v>
      </c>
      <c r="R724" t="s">
        <v>74</v>
      </c>
      <c r="S724" t="s">
        <v>74</v>
      </c>
      <c r="T724" t="s">
        <v>74</v>
      </c>
      <c r="U724" t="s">
        <v>13834</v>
      </c>
      <c r="V724" t="s">
        <v>13835</v>
      </c>
      <c r="W724" t="s">
        <v>13836</v>
      </c>
      <c r="X724" t="s">
        <v>2575</v>
      </c>
      <c r="Y724" t="s">
        <v>13837</v>
      </c>
      <c r="Z724" t="s">
        <v>13838</v>
      </c>
      <c r="AA724" t="s">
        <v>74</v>
      </c>
      <c r="AB724" t="s">
        <v>74</v>
      </c>
      <c r="AC724" t="s">
        <v>13839</v>
      </c>
      <c r="AD724" t="s">
        <v>13839</v>
      </c>
      <c r="AE724" t="s">
        <v>13840</v>
      </c>
      <c r="AF724" t="s">
        <v>74</v>
      </c>
      <c r="AG724">
        <v>52</v>
      </c>
      <c r="AH724">
        <v>5</v>
      </c>
      <c r="AI724">
        <v>5</v>
      </c>
      <c r="AJ724">
        <v>0</v>
      </c>
      <c r="AK724">
        <v>5</v>
      </c>
      <c r="AL724" t="s">
        <v>13841</v>
      </c>
      <c r="AM724" t="s">
        <v>6202</v>
      </c>
      <c r="AN724" t="s">
        <v>13842</v>
      </c>
      <c r="AO724" t="s">
        <v>13843</v>
      </c>
      <c r="AP724" t="s">
        <v>13844</v>
      </c>
      <c r="AQ724" t="s">
        <v>74</v>
      </c>
      <c r="AR724" t="s">
        <v>13845</v>
      </c>
      <c r="AS724" t="s">
        <v>13846</v>
      </c>
      <c r="AT724" t="s">
        <v>13619</v>
      </c>
      <c r="AU724">
        <v>2014</v>
      </c>
      <c r="AV724">
        <v>46</v>
      </c>
      <c r="AW724">
        <v>4</v>
      </c>
      <c r="AX724" t="s">
        <v>74</v>
      </c>
      <c r="AY724" t="s">
        <v>74</v>
      </c>
      <c r="AZ724" t="s">
        <v>1437</v>
      </c>
      <c r="BA724" t="s">
        <v>74</v>
      </c>
      <c r="BB724">
        <v>719</v>
      </c>
      <c r="BC724">
        <v>734</v>
      </c>
      <c r="BD724" t="s">
        <v>74</v>
      </c>
      <c r="BE724" t="s">
        <v>13847</v>
      </c>
      <c r="BF724" t="str">
        <f>HYPERLINK("http://dx.doi.org/10.1657/1938-4246-46.4.719","http://dx.doi.org/10.1657/1938-4246-46.4.719")</f>
        <v>http://dx.doi.org/10.1657/1938-4246-46.4.719</v>
      </c>
      <c r="BG724" t="s">
        <v>74</v>
      </c>
      <c r="BH724" t="s">
        <v>74</v>
      </c>
      <c r="BI724">
        <v>16</v>
      </c>
      <c r="BJ724" t="s">
        <v>13848</v>
      </c>
      <c r="BK724" t="s">
        <v>91</v>
      </c>
      <c r="BL724" t="s">
        <v>6693</v>
      </c>
      <c r="BM724" t="s">
        <v>13849</v>
      </c>
      <c r="BN724" t="s">
        <v>74</v>
      </c>
      <c r="BO724" t="s">
        <v>2081</v>
      </c>
      <c r="BP724" t="s">
        <v>74</v>
      </c>
      <c r="BQ724" t="s">
        <v>74</v>
      </c>
      <c r="BR724" t="s">
        <v>93</v>
      </c>
      <c r="BS724" t="s">
        <v>13850</v>
      </c>
      <c r="BT724" t="str">
        <f>HYPERLINK("https%3A%2F%2Fwww.webofscience.com%2Fwos%2Fwoscc%2Ffull-record%2FWOS:000346219500003","View Full Record in Web of Science")</f>
        <v>View Full Record in Web of Science</v>
      </c>
    </row>
    <row r="725" spans="1:72" x14ac:dyDescent="0.15">
      <c r="A725" t="s">
        <v>72</v>
      </c>
      <c r="B725" t="s">
        <v>13851</v>
      </c>
      <c r="C725" t="s">
        <v>74</v>
      </c>
      <c r="D725" t="s">
        <v>74</v>
      </c>
      <c r="E725" t="s">
        <v>74</v>
      </c>
      <c r="F725" t="s">
        <v>13852</v>
      </c>
      <c r="G725" t="s">
        <v>74</v>
      </c>
      <c r="H725" t="s">
        <v>74</v>
      </c>
      <c r="I725" t="s">
        <v>13853</v>
      </c>
      <c r="J725" t="s">
        <v>13833</v>
      </c>
      <c r="K725" t="s">
        <v>74</v>
      </c>
      <c r="L725" t="s">
        <v>74</v>
      </c>
      <c r="M725" t="s">
        <v>78</v>
      </c>
      <c r="N725" t="s">
        <v>99</v>
      </c>
      <c r="O725" t="s">
        <v>74</v>
      </c>
      <c r="P725" t="s">
        <v>74</v>
      </c>
      <c r="Q725" t="s">
        <v>74</v>
      </c>
      <c r="R725" t="s">
        <v>74</v>
      </c>
      <c r="S725" t="s">
        <v>74</v>
      </c>
      <c r="T725" t="s">
        <v>74</v>
      </c>
      <c r="U725" t="s">
        <v>13854</v>
      </c>
      <c r="V725" t="s">
        <v>13855</v>
      </c>
      <c r="W725" t="s">
        <v>13856</v>
      </c>
      <c r="X725" t="s">
        <v>13857</v>
      </c>
      <c r="Y725" t="s">
        <v>13858</v>
      </c>
      <c r="Z725" t="s">
        <v>13859</v>
      </c>
      <c r="AA725" t="s">
        <v>74</v>
      </c>
      <c r="AB725" t="s">
        <v>74</v>
      </c>
      <c r="AC725" t="s">
        <v>13860</v>
      </c>
      <c r="AD725" t="s">
        <v>13861</v>
      </c>
      <c r="AE725" t="s">
        <v>13862</v>
      </c>
      <c r="AF725" t="s">
        <v>74</v>
      </c>
      <c r="AG725">
        <v>19</v>
      </c>
      <c r="AH725">
        <v>4</v>
      </c>
      <c r="AI725">
        <v>4</v>
      </c>
      <c r="AJ725">
        <v>0</v>
      </c>
      <c r="AK725">
        <v>16</v>
      </c>
      <c r="AL725" t="s">
        <v>13841</v>
      </c>
      <c r="AM725" t="s">
        <v>6202</v>
      </c>
      <c r="AN725" t="s">
        <v>13842</v>
      </c>
      <c r="AO725" t="s">
        <v>13843</v>
      </c>
      <c r="AP725" t="s">
        <v>13844</v>
      </c>
      <c r="AQ725" t="s">
        <v>74</v>
      </c>
      <c r="AR725" t="s">
        <v>13845</v>
      </c>
      <c r="AS725" t="s">
        <v>13846</v>
      </c>
      <c r="AT725" t="s">
        <v>13619</v>
      </c>
      <c r="AU725">
        <v>2014</v>
      </c>
      <c r="AV725">
        <v>46</v>
      </c>
      <c r="AW725">
        <v>4</v>
      </c>
      <c r="AX725" t="s">
        <v>74</v>
      </c>
      <c r="AY725" t="s">
        <v>74</v>
      </c>
      <c r="AZ725" t="s">
        <v>1437</v>
      </c>
      <c r="BA725" t="s">
        <v>74</v>
      </c>
      <c r="BB725">
        <v>745</v>
      </c>
      <c r="BC725">
        <v>753</v>
      </c>
      <c r="BD725" t="s">
        <v>74</v>
      </c>
      <c r="BE725" t="s">
        <v>13863</v>
      </c>
      <c r="BF725" t="str">
        <f>HYPERLINK("http://dx.doi.org/10.1657/1938-4246-46.4.745","http://dx.doi.org/10.1657/1938-4246-46.4.745")</f>
        <v>http://dx.doi.org/10.1657/1938-4246-46.4.745</v>
      </c>
      <c r="BG725" t="s">
        <v>74</v>
      </c>
      <c r="BH725" t="s">
        <v>74</v>
      </c>
      <c r="BI725">
        <v>9</v>
      </c>
      <c r="BJ725" t="s">
        <v>13848</v>
      </c>
      <c r="BK725" t="s">
        <v>91</v>
      </c>
      <c r="BL725" t="s">
        <v>6693</v>
      </c>
      <c r="BM725" t="s">
        <v>13849</v>
      </c>
      <c r="BN725" t="s">
        <v>74</v>
      </c>
      <c r="BO725" t="s">
        <v>2081</v>
      </c>
      <c r="BP725" t="s">
        <v>74</v>
      </c>
      <c r="BQ725" t="s">
        <v>74</v>
      </c>
      <c r="BR725" t="s">
        <v>93</v>
      </c>
      <c r="BS725" t="s">
        <v>13864</v>
      </c>
      <c r="BT725" t="str">
        <f>HYPERLINK("https%3A%2F%2Fwww.webofscience.com%2Fwos%2Fwoscc%2Ffull-record%2FWOS:000346219500005","View Full Record in Web of Science")</f>
        <v>View Full Record in Web of Science</v>
      </c>
    </row>
    <row r="726" spans="1:72" x14ac:dyDescent="0.15">
      <c r="A726" t="s">
        <v>72</v>
      </c>
      <c r="B726" t="s">
        <v>13865</v>
      </c>
      <c r="C726" t="s">
        <v>74</v>
      </c>
      <c r="D726" t="s">
        <v>74</v>
      </c>
      <c r="E726" t="s">
        <v>74</v>
      </c>
      <c r="F726" t="s">
        <v>13866</v>
      </c>
      <c r="G726" t="s">
        <v>74</v>
      </c>
      <c r="H726" t="s">
        <v>74</v>
      </c>
      <c r="I726" t="s">
        <v>13867</v>
      </c>
      <c r="J726" t="s">
        <v>13833</v>
      </c>
      <c r="K726" t="s">
        <v>74</v>
      </c>
      <c r="L726" t="s">
        <v>74</v>
      </c>
      <c r="M726" t="s">
        <v>78</v>
      </c>
      <c r="N726" t="s">
        <v>99</v>
      </c>
      <c r="O726" t="s">
        <v>74</v>
      </c>
      <c r="P726" t="s">
        <v>74</v>
      </c>
      <c r="Q726" t="s">
        <v>74</v>
      </c>
      <c r="R726" t="s">
        <v>74</v>
      </c>
      <c r="S726" t="s">
        <v>74</v>
      </c>
      <c r="T726" t="s">
        <v>74</v>
      </c>
      <c r="U726" t="s">
        <v>13868</v>
      </c>
      <c r="V726" t="s">
        <v>13869</v>
      </c>
      <c r="W726" t="s">
        <v>13870</v>
      </c>
      <c r="X726" t="s">
        <v>13871</v>
      </c>
      <c r="Y726" t="s">
        <v>13872</v>
      </c>
      <c r="Z726" t="s">
        <v>13873</v>
      </c>
      <c r="AA726" t="s">
        <v>13874</v>
      </c>
      <c r="AB726" t="s">
        <v>13875</v>
      </c>
      <c r="AC726" t="s">
        <v>13876</v>
      </c>
      <c r="AD726" t="s">
        <v>13877</v>
      </c>
      <c r="AE726" t="s">
        <v>13878</v>
      </c>
      <c r="AF726" t="s">
        <v>74</v>
      </c>
      <c r="AG726">
        <v>39</v>
      </c>
      <c r="AH726">
        <v>18</v>
      </c>
      <c r="AI726">
        <v>22</v>
      </c>
      <c r="AJ726">
        <v>1</v>
      </c>
      <c r="AK726">
        <v>64</v>
      </c>
      <c r="AL726" t="s">
        <v>82</v>
      </c>
      <c r="AM726" t="s">
        <v>83</v>
      </c>
      <c r="AN726" t="s">
        <v>150</v>
      </c>
      <c r="AO726" t="s">
        <v>13843</v>
      </c>
      <c r="AP726" t="s">
        <v>13844</v>
      </c>
      <c r="AQ726" t="s">
        <v>74</v>
      </c>
      <c r="AR726" t="s">
        <v>13845</v>
      </c>
      <c r="AS726" t="s">
        <v>13846</v>
      </c>
      <c r="AT726" t="s">
        <v>13619</v>
      </c>
      <c r="AU726">
        <v>2014</v>
      </c>
      <c r="AV726">
        <v>46</v>
      </c>
      <c r="AW726">
        <v>4</v>
      </c>
      <c r="AX726" t="s">
        <v>74</v>
      </c>
      <c r="AY726" t="s">
        <v>74</v>
      </c>
      <c r="AZ726" t="s">
        <v>1437</v>
      </c>
      <c r="BA726" t="s">
        <v>74</v>
      </c>
      <c r="BB726">
        <v>777</v>
      </c>
      <c r="BC726">
        <v>786</v>
      </c>
      <c r="BD726" t="s">
        <v>74</v>
      </c>
      <c r="BE726" t="s">
        <v>13879</v>
      </c>
      <c r="BF726" t="str">
        <f>HYPERLINK("http://dx.doi.org/10.1657/1938-4246-46.4.777","http://dx.doi.org/10.1657/1938-4246-46.4.777")</f>
        <v>http://dx.doi.org/10.1657/1938-4246-46.4.777</v>
      </c>
      <c r="BG726" t="s">
        <v>74</v>
      </c>
      <c r="BH726" t="s">
        <v>74</v>
      </c>
      <c r="BI726">
        <v>10</v>
      </c>
      <c r="BJ726" t="s">
        <v>13848</v>
      </c>
      <c r="BK726" t="s">
        <v>91</v>
      </c>
      <c r="BL726" t="s">
        <v>6693</v>
      </c>
      <c r="BM726" t="s">
        <v>13849</v>
      </c>
      <c r="BN726" t="s">
        <v>74</v>
      </c>
      <c r="BO726" t="s">
        <v>2081</v>
      </c>
      <c r="BP726" t="s">
        <v>74</v>
      </c>
      <c r="BQ726" t="s">
        <v>74</v>
      </c>
      <c r="BR726" t="s">
        <v>93</v>
      </c>
      <c r="BS726" t="s">
        <v>13880</v>
      </c>
      <c r="BT726" t="str">
        <f>HYPERLINK("https%3A%2F%2Fwww.webofscience.com%2Fwos%2Fwoscc%2Ffull-record%2FWOS:000346219500008","View Full Record in Web of Science")</f>
        <v>View Full Record in Web of Science</v>
      </c>
    </row>
    <row r="727" spans="1:72" x14ac:dyDescent="0.15">
      <c r="A727" t="s">
        <v>72</v>
      </c>
      <c r="B727" t="s">
        <v>13881</v>
      </c>
      <c r="C727" t="s">
        <v>74</v>
      </c>
      <c r="D727" t="s">
        <v>74</v>
      </c>
      <c r="E727" t="s">
        <v>74</v>
      </c>
      <c r="F727" t="s">
        <v>13882</v>
      </c>
      <c r="G727" t="s">
        <v>74</v>
      </c>
      <c r="H727" t="s">
        <v>74</v>
      </c>
      <c r="I727" t="s">
        <v>13883</v>
      </c>
      <c r="J727" t="s">
        <v>13833</v>
      </c>
      <c r="K727" t="s">
        <v>74</v>
      </c>
      <c r="L727" t="s">
        <v>74</v>
      </c>
      <c r="M727" t="s">
        <v>78</v>
      </c>
      <c r="N727" t="s">
        <v>99</v>
      </c>
      <c r="O727" t="s">
        <v>74</v>
      </c>
      <c r="P727" t="s">
        <v>74</v>
      </c>
      <c r="Q727" t="s">
        <v>74</v>
      </c>
      <c r="R727" t="s">
        <v>74</v>
      </c>
      <c r="S727" t="s">
        <v>74</v>
      </c>
      <c r="T727" t="s">
        <v>74</v>
      </c>
      <c r="U727" t="s">
        <v>13884</v>
      </c>
      <c r="V727" t="s">
        <v>13885</v>
      </c>
      <c r="W727" t="s">
        <v>13886</v>
      </c>
      <c r="X727" t="s">
        <v>13887</v>
      </c>
      <c r="Y727" t="s">
        <v>13888</v>
      </c>
      <c r="Z727" t="s">
        <v>13889</v>
      </c>
      <c r="AA727" t="s">
        <v>13890</v>
      </c>
      <c r="AB727" t="s">
        <v>13891</v>
      </c>
      <c r="AC727" t="s">
        <v>13892</v>
      </c>
      <c r="AD727" t="s">
        <v>13893</v>
      </c>
      <c r="AE727" t="s">
        <v>13894</v>
      </c>
      <c r="AF727" t="s">
        <v>74</v>
      </c>
      <c r="AG727">
        <v>66</v>
      </c>
      <c r="AH727">
        <v>18</v>
      </c>
      <c r="AI727">
        <v>23</v>
      </c>
      <c r="AJ727">
        <v>0</v>
      </c>
      <c r="AK727">
        <v>44</v>
      </c>
      <c r="AL727" t="s">
        <v>82</v>
      </c>
      <c r="AM727" t="s">
        <v>83</v>
      </c>
      <c r="AN727" t="s">
        <v>150</v>
      </c>
      <c r="AO727" t="s">
        <v>13843</v>
      </c>
      <c r="AP727" t="s">
        <v>13844</v>
      </c>
      <c r="AQ727" t="s">
        <v>74</v>
      </c>
      <c r="AR727" t="s">
        <v>13845</v>
      </c>
      <c r="AS727" t="s">
        <v>13846</v>
      </c>
      <c r="AT727" t="s">
        <v>13619</v>
      </c>
      <c r="AU727">
        <v>2014</v>
      </c>
      <c r="AV727">
        <v>46</v>
      </c>
      <c r="AW727">
        <v>4</v>
      </c>
      <c r="AX727" t="s">
        <v>74</v>
      </c>
      <c r="AY727" t="s">
        <v>74</v>
      </c>
      <c r="AZ727" t="s">
        <v>1437</v>
      </c>
      <c r="BA727" t="s">
        <v>74</v>
      </c>
      <c r="BB727">
        <v>787</v>
      </c>
      <c r="BC727">
        <v>799</v>
      </c>
      <c r="BD727" t="s">
        <v>74</v>
      </c>
      <c r="BE727" t="s">
        <v>13895</v>
      </c>
      <c r="BF727" t="str">
        <f>HYPERLINK("http://dx.doi.org/10.1657/1938-4246-46.4.787","http://dx.doi.org/10.1657/1938-4246-46.4.787")</f>
        <v>http://dx.doi.org/10.1657/1938-4246-46.4.787</v>
      </c>
      <c r="BG727" t="s">
        <v>74</v>
      </c>
      <c r="BH727" t="s">
        <v>74</v>
      </c>
      <c r="BI727">
        <v>13</v>
      </c>
      <c r="BJ727" t="s">
        <v>13848</v>
      </c>
      <c r="BK727" t="s">
        <v>91</v>
      </c>
      <c r="BL727" t="s">
        <v>6693</v>
      </c>
      <c r="BM727" t="s">
        <v>13849</v>
      </c>
      <c r="BN727" t="s">
        <v>74</v>
      </c>
      <c r="BO727" t="s">
        <v>8285</v>
      </c>
      <c r="BP727" t="s">
        <v>74</v>
      </c>
      <c r="BQ727" t="s">
        <v>74</v>
      </c>
      <c r="BR727" t="s">
        <v>93</v>
      </c>
      <c r="BS727" t="s">
        <v>13896</v>
      </c>
      <c r="BT727" t="str">
        <f>HYPERLINK("https%3A%2F%2Fwww.webofscience.com%2Fwos%2Fwoscc%2Ffull-record%2FWOS:000346219500009","View Full Record in Web of Science")</f>
        <v>View Full Record in Web of Science</v>
      </c>
    </row>
    <row r="728" spans="1:72" x14ac:dyDescent="0.15">
      <c r="A728" t="s">
        <v>72</v>
      </c>
      <c r="B728" t="s">
        <v>13897</v>
      </c>
      <c r="C728" t="s">
        <v>74</v>
      </c>
      <c r="D728" t="s">
        <v>74</v>
      </c>
      <c r="E728" t="s">
        <v>74</v>
      </c>
      <c r="F728" t="s">
        <v>13898</v>
      </c>
      <c r="G728" t="s">
        <v>74</v>
      </c>
      <c r="H728" t="s">
        <v>74</v>
      </c>
      <c r="I728" t="s">
        <v>13899</v>
      </c>
      <c r="J728" t="s">
        <v>13833</v>
      </c>
      <c r="K728" t="s">
        <v>74</v>
      </c>
      <c r="L728" t="s">
        <v>74</v>
      </c>
      <c r="M728" t="s">
        <v>78</v>
      </c>
      <c r="N728" t="s">
        <v>99</v>
      </c>
      <c r="O728" t="s">
        <v>74</v>
      </c>
      <c r="P728" t="s">
        <v>74</v>
      </c>
      <c r="Q728" t="s">
        <v>74</v>
      </c>
      <c r="R728" t="s">
        <v>74</v>
      </c>
      <c r="S728" t="s">
        <v>74</v>
      </c>
      <c r="T728" t="s">
        <v>74</v>
      </c>
      <c r="U728" t="s">
        <v>13900</v>
      </c>
      <c r="V728" t="s">
        <v>13901</v>
      </c>
      <c r="W728" t="s">
        <v>13902</v>
      </c>
      <c r="X728" t="s">
        <v>13903</v>
      </c>
      <c r="Y728" t="s">
        <v>13904</v>
      </c>
      <c r="Z728" t="s">
        <v>13905</v>
      </c>
      <c r="AA728" t="s">
        <v>13906</v>
      </c>
      <c r="AB728" t="s">
        <v>13907</v>
      </c>
      <c r="AC728" t="s">
        <v>74</v>
      </c>
      <c r="AD728" t="s">
        <v>74</v>
      </c>
      <c r="AE728" t="s">
        <v>74</v>
      </c>
      <c r="AF728" t="s">
        <v>74</v>
      </c>
      <c r="AG728">
        <v>33</v>
      </c>
      <c r="AH728">
        <v>20</v>
      </c>
      <c r="AI728">
        <v>20</v>
      </c>
      <c r="AJ728">
        <v>0</v>
      </c>
      <c r="AK728">
        <v>16</v>
      </c>
      <c r="AL728" t="s">
        <v>13841</v>
      </c>
      <c r="AM728" t="s">
        <v>6202</v>
      </c>
      <c r="AN728" t="s">
        <v>13842</v>
      </c>
      <c r="AO728" t="s">
        <v>13843</v>
      </c>
      <c r="AP728" t="s">
        <v>13844</v>
      </c>
      <c r="AQ728" t="s">
        <v>74</v>
      </c>
      <c r="AR728" t="s">
        <v>13845</v>
      </c>
      <c r="AS728" t="s">
        <v>13846</v>
      </c>
      <c r="AT728" t="s">
        <v>13619</v>
      </c>
      <c r="AU728">
        <v>2014</v>
      </c>
      <c r="AV728">
        <v>46</v>
      </c>
      <c r="AW728">
        <v>4</v>
      </c>
      <c r="AX728" t="s">
        <v>74</v>
      </c>
      <c r="AY728" t="s">
        <v>74</v>
      </c>
      <c r="AZ728" t="s">
        <v>1437</v>
      </c>
      <c r="BA728" t="s">
        <v>74</v>
      </c>
      <c r="BB728">
        <v>801</v>
      </c>
      <c r="BC728">
        <v>809</v>
      </c>
      <c r="BD728" t="s">
        <v>74</v>
      </c>
      <c r="BE728" t="s">
        <v>13908</v>
      </c>
      <c r="BF728" t="str">
        <f>HYPERLINK("http://dx.doi.org/10.1657/1938-4246-46.4.801","http://dx.doi.org/10.1657/1938-4246-46.4.801")</f>
        <v>http://dx.doi.org/10.1657/1938-4246-46.4.801</v>
      </c>
      <c r="BG728" t="s">
        <v>74</v>
      </c>
      <c r="BH728" t="s">
        <v>74</v>
      </c>
      <c r="BI728">
        <v>9</v>
      </c>
      <c r="BJ728" t="s">
        <v>13848</v>
      </c>
      <c r="BK728" t="s">
        <v>91</v>
      </c>
      <c r="BL728" t="s">
        <v>6693</v>
      </c>
      <c r="BM728" t="s">
        <v>13849</v>
      </c>
      <c r="BN728" t="s">
        <v>74</v>
      </c>
      <c r="BO728" t="s">
        <v>2081</v>
      </c>
      <c r="BP728" t="s">
        <v>74</v>
      </c>
      <c r="BQ728" t="s">
        <v>74</v>
      </c>
      <c r="BR728" t="s">
        <v>93</v>
      </c>
      <c r="BS728" t="s">
        <v>13909</v>
      </c>
      <c r="BT728" t="str">
        <f>HYPERLINK("https%3A%2F%2Fwww.webofscience.com%2Fwos%2Fwoscc%2Ffull-record%2FWOS:000346219500010","View Full Record in Web of Science")</f>
        <v>View Full Record in Web of Science</v>
      </c>
    </row>
    <row r="729" spans="1:72" x14ac:dyDescent="0.15">
      <c r="A729" t="s">
        <v>72</v>
      </c>
      <c r="B729" t="s">
        <v>13910</v>
      </c>
      <c r="C729" t="s">
        <v>74</v>
      </c>
      <c r="D729" t="s">
        <v>74</v>
      </c>
      <c r="E729" t="s">
        <v>74</v>
      </c>
      <c r="F729" t="s">
        <v>13911</v>
      </c>
      <c r="G729" t="s">
        <v>74</v>
      </c>
      <c r="H729" t="s">
        <v>74</v>
      </c>
      <c r="I729" t="s">
        <v>13912</v>
      </c>
      <c r="J729" t="s">
        <v>13833</v>
      </c>
      <c r="K729" t="s">
        <v>74</v>
      </c>
      <c r="L729" t="s">
        <v>74</v>
      </c>
      <c r="M729" t="s">
        <v>78</v>
      </c>
      <c r="N729" t="s">
        <v>99</v>
      </c>
      <c r="O729" t="s">
        <v>74</v>
      </c>
      <c r="P729" t="s">
        <v>74</v>
      </c>
      <c r="Q729" t="s">
        <v>74</v>
      </c>
      <c r="R729" t="s">
        <v>74</v>
      </c>
      <c r="S729" t="s">
        <v>74</v>
      </c>
      <c r="T729" t="s">
        <v>74</v>
      </c>
      <c r="U729" t="s">
        <v>13913</v>
      </c>
      <c r="V729" t="s">
        <v>13914</v>
      </c>
      <c r="W729" t="s">
        <v>13915</v>
      </c>
      <c r="X729" t="s">
        <v>13916</v>
      </c>
      <c r="Y729" t="s">
        <v>13917</v>
      </c>
      <c r="Z729" t="s">
        <v>13918</v>
      </c>
      <c r="AA729" t="s">
        <v>13919</v>
      </c>
      <c r="AB729" t="s">
        <v>13920</v>
      </c>
      <c r="AC729" t="s">
        <v>13921</v>
      </c>
      <c r="AD729" t="s">
        <v>13921</v>
      </c>
      <c r="AE729" t="s">
        <v>13922</v>
      </c>
      <c r="AF729" t="s">
        <v>74</v>
      </c>
      <c r="AG729">
        <v>51</v>
      </c>
      <c r="AH729">
        <v>13</v>
      </c>
      <c r="AI729">
        <v>15</v>
      </c>
      <c r="AJ729">
        <v>2</v>
      </c>
      <c r="AK729">
        <v>49</v>
      </c>
      <c r="AL729" t="s">
        <v>82</v>
      </c>
      <c r="AM729" t="s">
        <v>83</v>
      </c>
      <c r="AN729" t="s">
        <v>150</v>
      </c>
      <c r="AO729" t="s">
        <v>13843</v>
      </c>
      <c r="AP729" t="s">
        <v>13844</v>
      </c>
      <c r="AQ729" t="s">
        <v>74</v>
      </c>
      <c r="AR729" t="s">
        <v>13845</v>
      </c>
      <c r="AS729" t="s">
        <v>13846</v>
      </c>
      <c r="AT729" t="s">
        <v>13619</v>
      </c>
      <c r="AU729">
        <v>2014</v>
      </c>
      <c r="AV729">
        <v>46</v>
      </c>
      <c r="AW729">
        <v>4</v>
      </c>
      <c r="AX729" t="s">
        <v>74</v>
      </c>
      <c r="AY729" t="s">
        <v>74</v>
      </c>
      <c r="AZ729" t="s">
        <v>1437</v>
      </c>
      <c r="BA729" t="s">
        <v>74</v>
      </c>
      <c r="BB729">
        <v>841</v>
      </c>
      <c r="BC729">
        <v>851</v>
      </c>
      <c r="BD729" t="s">
        <v>74</v>
      </c>
      <c r="BE729" t="s">
        <v>13923</v>
      </c>
      <c r="BF729" t="str">
        <f>HYPERLINK("http://dx.doi.org/10.1657/1938-4246-46.4.841","http://dx.doi.org/10.1657/1938-4246-46.4.841")</f>
        <v>http://dx.doi.org/10.1657/1938-4246-46.4.841</v>
      </c>
      <c r="BG729" t="s">
        <v>74</v>
      </c>
      <c r="BH729" t="s">
        <v>74</v>
      </c>
      <c r="BI729">
        <v>11</v>
      </c>
      <c r="BJ729" t="s">
        <v>13848</v>
      </c>
      <c r="BK729" t="s">
        <v>91</v>
      </c>
      <c r="BL729" t="s">
        <v>6693</v>
      </c>
      <c r="BM729" t="s">
        <v>13849</v>
      </c>
      <c r="BN729" t="s">
        <v>74</v>
      </c>
      <c r="BO729" t="s">
        <v>2056</v>
      </c>
      <c r="BP729" t="s">
        <v>74</v>
      </c>
      <c r="BQ729" t="s">
        <v>74</v>
      </c>
      <c r="BR729" t="s">
        <v>93</v>
      </c>
      <c r="BS729" t="s">
        <v>13924</v>
      </c>
      <c r="BT729" t="str">
        <f>HYPERLINK("https%3A%2F%2Fwww.webofscience.com%2Fwos%2Fwoscc%2Ffull-record%2FWOS:000346219500013","View Full Record in Web of Science")</f>
        <v>View Full Record in Web of Science</v>
      </c>
    </row>
    <row r="730" spans="1:72" x14ac:dyDescent="0.15">
      <c r="A730" t="s">
        <v>72</v>
      </c>
      <c r="B730" t="s">
        <v>13925</v>
      </c>
      <c r="C730" t="s">
        <v>74</v>
      </c>
      <c r="D730" t="s">
        <v>74</v>
      </c>
      <c r="E730" t="s">
        <v>74</v>
      </c>
      <c r="F730" t="s">
        <v>13926</v>
      </c>
      <c r="G730" t="s">
        <v>74</v>
      </c>
      <c r="H730" t="s">
        <v>74</v>
      </c>
      <c r="I730" t="s">
        <v>13927</v>
      </c>
      <c r="J730" t="s">
        <v>13833</v>
      </c>
      <c r="K730" t="s">
        <v>74</v>
      </c>
      <c r="L730" t="s">
        <v>74</v>
      </c>
      <c r="M730" t="s">
        <v>78</v>
      </c>
      <c r="N730" t="s">
        <v>99</v>
      </c>
      <c r="O730" t="s">
        <v>74</v>
      </c>
      <c r="P730" t="s">
        <v>74</v>
      </c>
      <c r="Q730" t="s">
        <v>74</v>
      </c>
      <c r="R730" t="s">
        <v>74</v>
      </c>
      <c r="S730" t="s">
        <v>74</v>
      </c>
      <c r="T730" t="s">
        <v>74</v>
      </c>
      <c r="U730" t="s">
        <v>13928</v>
      </c>
      <c r="V730" t="s">
        <v>13929</v>
      </c>
      <c r="W730" t="s">
        <v>13930</v>
      </c>
      <c r="X730" t="s">
        <v>13931</v>
      </c>
      <c r="Y730" t="s">
        <v>13932</v>
      </c>
      <c r="Z730" t="s">
        <v>13933</v>
      </c>
      <c r="AA730" t="s">
        <v>13934</v>
      </c>
      <c r="AB730" t="s">
        <v>13935</v>
      </c>
      <c r="AC730" t="s">
        <v>13936</v>
      </c>
      <c r="AD730" t="s">
        <v>13937</v>
      </c>
      <c r="AE730" t="s">
        <v>13938</v>
      </c>
      <c r="AF730" t="s">
        <v>74</v>
      </c>
      <c r="AG730">
        <v>45</v>
      </c>
      <c r="AH730">
        <v>8</v>
      </c>
      <c r="AI730">
        <v>9</v>
      </c>
      <c r="AJ730">
        <v>2</v>
      </c>
      <c r="AK730">
        <v>33</v>
      </c>
      <c r="AL730" t="s">
        <v>82</v>
      </c>
      <c r="AM730" t="s">
        <v>83</v>
      </c>
      <c r="AN730" t="s">
        <v>150</v>
      </c>
      <c r="AO730" t="s">
        <v>13843</v>
      </c>
      <c r="AP730" t="s">
        <v>13844</v>
      </c>
      <c r="AQ730" t="s">
        <v>74</v>
      </c>
      <c r="AR730" t="s">
        <v>13845</v>
      </c>
      <c r="AS730" t="s">
        <v>13846</v>
      </c>
      <c r="AT730" t="s">
        <v>13619</v>
      </c>
      <c r="AU730">
        <v>2014</v>
      </c>
      <c r="AV730">
        <v>46</v>
      </c>
      <c r="AW730">
        <v>4</v>
      </c>
      <c r="AX730" t="s">
        <v>74</v>
      </c>
      <c r="AY730" t="s">
        <v>74</v>
      </c>
      <c r="AZ730" t="s">
        <v>1437</v>
      </c>
      <c r="BA730" t="s">
        <v>74</v>
      </c>
      <c r="BB730">
        <v>853</v>
      </c>
      <c r="BC730">
        <v>858</v>
      </c>
      <c r="BD730" t="s">
        <v>74</v>
      </c>
      <c r="BE730" t="s">
        <v>13939</v>
      </c>
      <c r="BF730" t="str">
        <f>HYPERLINK("http://dx.doi.org/10.1657/1938-4246-46.4.853","http://dx.doi.org/10.1657/1938-4246-46.4.853")</f>
        <v>http://dx.doi.org/10.1657/1938-4246-46.4.853</v>
      </c>
      <c r="BG730" t="s">
        <v>74</v>
      </c>
      <c r="BH730" t="s">
        <v>74</v>
      </c>
      <c r="BI730">
        <v>6</v>
      </c>
      <c r="BJ730" t="s">
        <v>13848</v>
      </c>
      <c r="BK730" t="s">
        <v>91</v>
      </c>
      <c r="BL730" t="s">
        <v>6693</v>
      </c>
      <c r="BM730" t="s">
        <v>13849</v>
      </c>
      <c r="BN730" t="s">
        <v>74</v>
      </c>
      <c r="BO730" t="s">
        <v>2081</v>
      </c>
      <c r="BP730" t="s">
        <v>74</v>
      </c>
      <c r="BQ730" t="s">
        <v>74</v>
      </c>
      <c r="BR730" t="s">
        <v>93</v>
      </c>
      <c r="BS730" t="s">
        <v>13940</v>
      </c>
      <c r="BT730" t="str">
        <f>HYPERLINK("https%3A%2F%2Fwww.webofscience.com%2Fwos%2Fwoscc%2Ffull-record%2FWOS:000346219500014","View Full Record in Web of Science")</f>
        <v>View Full Record in Web of Science</v>
      </c>
    </row>
    <row r="731" spans="1:72" x14ac:dyDescent="0.15">
      <c r="A731" t="s">
        <v>72</v>
      </c>
      <c r="B731" t="s">
        <v>13941</v>
      </c>
      <c r="C731" t="s">
        <v>74</v>
      </c>
      <c r="D731" t="s">
        <v>74</v>
      </c>
      <c r="E731" t="s">
        <v>74</v>
      </c>
      <c r="F731" t="s">
        <v>13942</v>
      </c>
      <c r="G731" t="s">
        <v>74</v>
      </c>
      <c r="H731" t="s">
        <v>74</v>
      </c>
      <c r="I731" t="s">
        <v>13943</v>
      </c>
      <c r="J731" t="s">
        <v>13833</v>
      </c>
      <c r="K731" t="s">
        <v>74</v>
      </c>
      <c r="L731" t="s">
        <v>74</v>
      </c>
      <c r="M731" t="s">
        <v>78</v>
      </c>
      <c r="N731" t="s">
        <v>99</v>
      </c>
      <c r="O731" t="s">
        <v>74</v>
      </c>
      <c r="P731" t="s">
        <v>74</v>
      </c>
      <c r="Q731" t="s">
        <v>74</v>
      </c>
      <c r="R731" t="s">
        <v>74</v>
      </c>
      <c r="S731" t="s">
        <v>74</v>
      </c>
      <c r="T731" t="s">
        <v>74</v>
      </c>
      <c r="U731" t="s">
        <v>13944</v>
      </c>
      <c r="V731" t="s">
        <v>13945</v>
      </c>
      <c r="W731" t="s">
        <v>13946</v>
      </c>
      <c r="X731" t="s">
        <v>13947</v>
      </c>
      <c r="Y731" t="s">
        <v>13948</v>
      </c>
      <c r="Z731" t="s">
        <v>13949</v>
      </c>
      <c r="AA731" t="s">
        <v>13950</v>
      </c>
      <c r="AB731" t="s">
        <v>13951</v>
      </c>
      <c r="AC731" t="s">
        <v>13952</v>
      </c>
      <c r="AD731" t="s">
        <v>13952</v>
      </c>
      <c r="AE731" t="s">
        <v>13953</v>
      </c>
      <c r="AF731" t="s">
        <v>74</v>
      </c>
      <c r="AG731">
        <v>60</v>
      </c>
      <c r="AH731">
        <v>30</v>
      </c>
      <c r="AI731">
        <v>30</v>
      </c>
      <c r="AJ731">
        <v>3</v>
      </c>
      <c r="AK731">
        <v>46</v>
      </c>
      <c r="AL731" t="s">
        <v>13841</v>
      </c>
      <c r="AM731" t="s">
        <v>6202</v>
      </c>
      <c r="AN731" t="s">
        <v>13842</v>
      </c>
      <c r="AO731" t="s">
        <v>13843</v>
      </c>
      <c r="AP731" t="s">
        <v>13844</v>
      </c>
      <c r="AQ731" t="s">
        <v>74</v>
      </c>
      <c r="AR731" t="s">
        <v>13845</v>
      </c>
      <c r="AS731" t="s">
        <v>13846</v>
      </c>
      <c r="AT731" t="s">
        <v>13619</v>
      </c>
      <c r="AU731">
        <v>2014</v>
      </c>
      <c r="AV731">
        <v>46</v>
      </c>
      <c r="AW731">
        <v>4</v>
      </c>
      <c r="AX731" t="s">
        <v>74</v>
      </c>
      <c r="AY731" t="s">
        <v>74</v>
      </c>
      <c r="AZ731" t="s">
        <v>1437</v>
      </c>
      <c r="BA731" t="s">
        <v>74</v>
      </c>
      <c r="BB731">
        <v>859</v>
      </c>
      <c r="BC731">
        <v>869</v>
      </c>
      <c r="BD731" t="s">
        <v>74</v>
      </c>
      <c r="BE731" t="s">
        <v>13954</v>
      </c>
      <c r="BF731" t="str">
        <f>HYPERLINK("http://dx.doi.org/10.1657/1938-4246-46.4.859","http://dx.doi.org/10.1657/1938-4246-46.4.859")</f>
        <v>http://dx.doi.org/10.1657/1938-4246-46.4.859</v>
      </c>
      <c r="BG731" t="s">
        <v>74</v>
      </c>
      <c r="BH731" t="s">
        <v>74</v>
      </c>
      <c r="BI731">
        <v>11</v>
      </c>
      <c r="BJ731" t="s">
        <v>13848</v>
      </c>
      <c r="BK731" t="s">
        <v>91</v>
      </c>
      <c r="BL731" t="s">
        <v>6693</v>
      </c>
      <c r="BM731" t="s">
        <v>13849</v>
      </c>
      <c r="BN731" t="s">
        <v>74</v>
      </c>
      <c r="BO731" t="s">
        <v>3478</v>
      </c>
      <c r="BP731" t="s">
        <v>74</v>
      </c>
      <c r="BQ731" t="s">
        <v>74</v>
      </c>
      <c r="BR731" t="s">
        <v>93</v>
      </c>
      <c r="BS731" t="s">
        <v>13955</v>
      </c>
      <c r="BT731" t="str">
        <f>HYPERLINK("https%3A%2F%2Fwww.webofscience.com%2Fwos%2Fwoscc%2Ffull-record%2FWOS:000346219500015","View Full Record in Web of Science")</f>
        <v>View Full Record in Web of Science</v>
      </c>
    </row>
    <row r="732" spans="1:72" x14ac:dyDescent="0.15">
      <c r="A732" t="s">
        <v>72</v>
      </c>
      <c r="B732" t="s">
        <v>13956</v>
      </c>
      <c r="C732" t="s">
        <v>74</v>
      </c>
      <c r="D732" t="s">
        <v>74</v>
      </c>
      <c r="E732" t="s">
        <v>74</v>
      </c>
      <c r="F732" t="s">
        <v>13957</v>
      </c>
      <c r="G732" t="s">
        <v>74</v>
      </c>
      <c r="H732" t="s">
        <v>74</v>
      </c>
      <c r="I732" t="s">
        <v>13958</v>
      </c>
      <c r="J732" t="s">
        <v>13833</v>
      </c>
      <c r="K732" t="s">
        <v>74</v>
      </c>
      <c r="L732" t="s">
        <v>74</v>
      </c>
      <c r="M732" t="s">
        <v>78</v>
      </c>
      <c r="N732" t="s">
        <v>99</v>
      </c>
      <c r="O732" t="s">
        <v>74</v>
      </c>
      <c r="P732" t="s">
        <v>74</v>
      </c>
      <c r="Q732" t="s">
        <v>74</v>
      </c>
      <c r="R732" t="s">
        <v>74</v>
      </c>
      <c r="S732" t="s">
        <v>74</v>
      </c>
      <c r="T732" t="s">
        <v>74</v>
      </c>
      <c r="U732" t="s">
        <v>13959</v>
      </c>
      <c r="V732" t="s">
        <v>13960</v>
      </c>
      <c r="W732" t="s">
        <v>13961</v>
      </c>
      <c r="X732" t="s">
        <v>13962</v>
      </c>
      <c r="Y732" t="s">
        <v>13963</v>
      </c>
      <c r="Z732" t="s">
        <v>13964</v>
      </c>
      <c r="AA732" t="s">
        <v>13965</v>
      </c>
      <c r="AB732" t="s">
        <v>13966</v>
      </c>
      <c r="AC732" t="s">
        <v>13967</v>
      </c>
      <c r="AD732" t="s">
        <v>13968</v>
      </c>
      <c r="AE732" t="s">
        <v>13969</v>
      </c>
      <c r="AF732" t="s">
        <v>74</v>
      </c>
      <c r="AG732">
        <v>97</v>
      </c>
      <c r="AH732">
        <v>14</v>
      </c>
      <c r="AI732">
        <v>19</v>
      </c>
      <c r="AJ732">
        <v>0</v>
      </c>
      <c r="AK732">
        <v>38</v>
      </c>
      <c r="AL732" t="s">
        <v>82</v>
      </c>
      <c r="AM732" t="s">
        <v>83</v>
      </c>
      <c r="AN732" t="s">
        <v>150</v>
      </c>
      <c r="AO732" t="s">
        <v>13843</v>
      </c>
      <c r="AP732" t="s">
        <v>13844</v>
      </c>
      <c r="AQ732" t="s">
        <v>74</v>
      </c>
      <c r="AR732" t="s">
        <v>13845</v>
      </c>
      <c r="AS732" t="s">
        <v>13846</v>
      </c>
      <c r="AT732" t="s">
        <v>13619</v>
      </c>
      <c r="AU732">
        <v>2014</v>
      </c>
      <c r="AV732">
        <v>46</v>
      </c>
      <c r="AW732">
        <v>4</v>
      </c>
      <c r="AX732" t="s">
        <v>74</v>
      </c>
      <c r="AY732" t="s">
        <v>74</v>
      </c>
      <c r="AZ732" t="s">
        <v>1437</v>
      </c>
      <c r="BA732" t="s">
        <v>74</v>
      </c>
      <c r="BB732">
        <v>871</v>
      </c>
      <c r="BC732">
        <v>889</v>
      </c>
      <c r="BD732" t="s">
        <v>74</v>
      </c>
      <c r="BE732" t="s">
        <v>13970</v>
      </c>
      <c r="BF732" t="str">
        <f>HYPERLINK("http://dx.doi.org/10.1657/1938-4246-46.4.871","http://dx.doi.org/10.1657/1938-4246-46.4.871")</f>
        <v>http://dx.doi.org/10.1657/1938-4246-46.4.871</v>
      </c>
      <c r="BG732" t="s">
        <v>74</v>
      </c>
      <c r="BH732" t="s">
        <v>74</v>
      </c>
      <c r="BI732">
        <v>19</v>
      </c>
      <c r="BJ732" t="s">
        <v>13848</v>
      </c>
      <c r="BK732" t="s">
        <v>91</v>
      </c>
      <c r="BL732" t="s">
        <v>6693</v>
      </c>
      <c r="BM732" t="s">
        <v>13849</v>
      </c>
      <c r="BN732" t="s">
        <v>74</v>
      </c>
      <c r="BO732" t="s">
        <v>2858</v>
      </c>
      <c r="BP732" t="s">
        <v>74</v>
      </c>
      <c r="BQ732" t="s">
        <v>74</v>
      </c>
      <c r="BR732" t="s">
        <v>93</v>
      </c>
      <c r="BS732" t="s">
        <v>13971</v>
      </c>
      <c r="BT732" t="str">
        <f>HYPERLINK("https%3A%2F%2Fwww.webofscience.com%2Fwos%2Fwoscc%2Ffull-record%2FWOS:000346219500016","View Full Record in Web of Science")</f>
        <v>View Full Record in Web of Science</v>
      </c>
    </row>
    <row r="733" spans="1:72" x14ac:dyDescent="0.15">
      <c r="A733" t="s">
        <v>72</v>
      </c>
      <c r="B733" t="s">
        <v>13972</v>
      </c>
      <c r="C733" t="s">
        <v>74</v>
      </c>
      <c r="D733" t="s">
        <v>74</v>
      </c>
      <c r="E733" t="s">
        <v>74</v>
      </c>
      <c r="F733" t="s">
        <v>13973</v>
      </c>
      <c r="G733" t="s">
        <v>74</v>
      </c>
      <c r="H733" t="s">
        <v>74</v>
      </c>
      <c r="I733" t="s">
        <v>13974</v>
      </c>
      <c r="J733" t="s">
        <v>13833</v>
      </c>
      <c r="K733" t="s">
        <v>74</v>
      </c>
      <c r="L733" t="s">
        <v>74</v>
      </c>
      <c r="M733" t="s">
        <v>78</v>
      </c>
      <c r="N733" t="s">
        <v>99</v>
      </c>
      <c r="O733" t="s">
        <v>74</v>
      </c>
      <c r="P733" t="s">
        <v>74</v>
      </c>
      <c r="Q733" t="s">
        <v>74</v>
      </c>
      <c r="R733" t="s">
        <v>74</v>
      </c>
      <c r="S733" t="s">
        <v>74</v>
      </c>
      <c r="T733" t="s">
        <v>74</v>
      </c>
      <c r="U733" t="s">
        <v>13975</v>
      </c>
      <c r="V733" t="s">
        <v>13976</v>
      </c>
      <c r="W733" t="s">
        <v>13977</v>
      </c>
      <c r="X733" t="s">
        <v>13978</v>
      </c>
      <c r="Y733" t="s">
        <v>13979</v>
      </c>
      <c r="Z733" t="s">
        <v>13980</v>
      </c>
      <c r="AA733" t="s">
        <v>13981</v>
      </c>
      <c r="AB733" t="s">
        <v>13982</v>
      </c>
      <c r="AC733" t="s">
        <v>74</v>
      </c>
      <c r="AD733" t="s">
        <v>74</v>
      </c>
      <c r="AE733" t="s">
        <v>74</v>
      </c>
      <c r="AF733" t="s">
        <v>74</v>
      </c>
      <c r="AG733">
        <v>55</v>
      </c>
      <c r="AH733">
        <v>6</v>
      </c>
      <c r="AI733">
        <v>6</v>
      </c>
      <c r="AJ733">
        <v>0</v>
      </c>
      <c r="AK733">
        <v>14</v>
      </c>
      <c r="AL733" t="s">
        <v>13841</v>
      </c>
      <c r="AM733" t="s">
        <v>6202</v>
      </c>
      <c r="AN733" t="s">
        <v>13842</v>
      </c>
      <c r="AO733" t="s">
        <v>13843</v>
      </c>
      <c r="AP733" t="s">
        <v>13844</v>
      </c>
      <c r="AQ733" t="s">
        <v>74</v>
      </c>
      <c r="AR733" t="s">
        <v>13845</v>
      </c>
      <c r="AS733" t="s">
        <v>13846</v>
      </c>
      <c r="AT733" t="s">
        <v>13619</v>
      </c>
      <c r="AU733">
        <v>2014</v>
      </c>
      <c r="AV733">
        <v>46</v>
      </c>
      <c r="AW733">
        <v>4</v>
      </c>
      <c r="AX733" t="s">
        <v>74</v>
      </c>
      <c r="AY733" t="s">
        <v>74</v>
      </c>
      <c r="AZ733" t="s">
        <v>1437</v>
      </c>
      <c r="BA733" t="s">
        <v>74</v>
      </c>
      <c r="BB733">
        <v>919</v>
      </c>
      <c r="BC733">
        <v>932</v>
      </c>
      <c r="BD733" t="s">
        <v>74</v>
      </c>
      <c r="BE733" t="s">
        <v>13983</v>
      </c>
      <c r="BF733" t="str">
        <f>HYPERLINK("http://dx.doi.org/10.1657/1938-4246-46.4.919","http://dx.doi.org/10.1657/1938-4246-46.4.919")</f>
        <v>http://dx.doi.org/10.1657/1938-4246-46.4.919</v>
      </c>
      <c r="BG733" t="s">
        <v>74</v>
      </c>
      <c r="BH733" t="s">
        <v>74</v>
      </c>
      <c r="BI733">
        <v>14</v>
      </c>
      <c r="BJ733" t="s">
        <v>13848</v>
      </c>
      <c r="BK733" t="s">
        <v>91</v>
      </c>
      <c r="BL733" t="s">
        <v>6693</v>
      </c>
      <c r="BM733" t="s">
        <v>13849</v>
      </c>
      <c r="BN733" t="s">
        <v>74</v>
      </c>
      <c r="BO733" t="s">
        <v>3478</v>
      </c>
      <c r="BP733" t="s">
        <v>74</v>
      </c>
      <c r="BQ733" t="s">
        <v>74</v>
      </c>
      <c r="BR733" t="s">
        <v>93</v>
      </c>
      <c r="BS733" t="s">
        <v>13984</v>
      </c>
      <c r="BT733" t="str">
        <f>HYPERLINK("https%3A%2F%2Fwww.webofscience.com%2Fwos%2Fwoscc%2Ffull-record%2FWOS:000346219500019","View Full Record in Web of Science")</f>
        <v>View Full Record in Web of Science</v>
      </c>
    </row>
    <row r="734" spans="1:72" x14ac:dyDescent="0.15">
      <c r="A734" t="s">
        <v>72</v>
      </c>
      <c r="B734" t="s">
        <v>13985</v>
      </c>
      <c r="C734" t="s">
        <v>74</v>
      </c>
      <c r="D734" t="s">
        <v>74</v>
      </c>
      <c r="E734" t="s">
        <v>74</v>
      </c>
      <c r="F734" t="s">
        <v>13986</v>
      </c>
      <c r="G734" t="s">
        <v>74</v>
      </c>
      <c r="H734" t="s">
        <v>74</v>
      </c>
      <c r="I734" t="s">
        <v>13987</v>
      </c>
      <c r="J734" t="s">
        <v>13833</v>
      </c>
      <c r="K734" t="s">
        <v>74</v>
      </c>
      <c r="L734" t="s">
        <v>74</v>
      </c>
      <c r="M734" t="s">
        <v>78</v>
      </c>
      <c r="N734" t="s">
        <v>99</v>
      </c>
      <c r="O734" t="s">
        <v>74</v>
      </c>
      <c r="P734" t="s">
        <v>74</v>
      </c>
      <c r="Q734" t="s">
        <v>74</v>
      </c>
      <c r="R734" t="s">
        <v>74</v>
      </c>
      <c r="S734" t="s">
        <v>74</v>
      </c>
      <c r="T734" t="s">
        <v>74</v>
      </c>
      <c r="U734" t="s">
        <v>13988</v>
      </c>
      <c r="V734" t="s">
        <v>13989</v>
      </c>
      <c r="W734" t="s">
        <v>13990</v>
      </c>
      <c r="X734" t="s">
        <v>13991</v>
      </c>
      <c r="Y734" t="s">
        <v>13992</v>
      </c>
      <c r="Z734" t="s">
        <v>13993</v>
      </c>
      <c r="AA734" t="s">
        <v>74</v>
      </c>
      <c r="AB734" t="s">
        <v>74</v>
      </c>
      <c r="AC734" t="s">
        <v>13994</v>
      </c>
      <c r="AD734" t="s">
        <v>13995</v>
      </c>
      <c r="AE734" t="s">
        <v>13996</v>
      </c>
      <c r="AF734" t="s">
        <v>74</v>
      </c>
      <c r="AG734">
        <v>46</v>
      </c>
      <c r="AH734">
        <v>22</v>
      </c>
      <c r="AI734">
        <v>24</v>
      </c>
      <c r="AJ734">
        <v>1</v>
      </c>
      <c r="AK734">
        <v>51</v>
      </c>
      <c r="AL734" t="s">
        <v>82</v>
      </c>
      <c r="AM734" t="s">
        <v>83</v>
      </c>
      <c r="AN734" t="s">
        <v>150</v>
      </c>
      <c r="AO734" t="s">
        <v>13843</v>
      </c>
      <c r="AP734" t="s">
        <v>13844</v>
      </c>
      <c r="AQ734" t="s">
        <v>74</v>
      </c>
      <c r="AR734" t="s">
        <v>13845</v>
      </c>
      <c r="AS734" t="s">
        <v>13846</v>
      </c>
      <c r="AT734" t="s">
        <v>13619</v>
      </c>
      <c r="AU734">
        <v>2014</v>
      </c>
      <c r="AV734">
        <v>46</v>
      </c>
      <c r="AW734">
        <v>4</v>
      </c>
      <c r="AX734" t="s">
        <v>74</v>
      </c>
      <c r="AY734" t="s">
        <v>74</v>
      </c>
      <c r="AZ734" t="s">
        <v>1437</v>
      </c>
      <c r="BA734" t="s">
        <v>74</v>
      </c>
      <c r="BB734">
        <v>963</v>
      </c>
      <c r="BC734">
        <v>974</v>
      </c>
      <c r="BD734" t="s">
        <v>74</v>
      </c>
      <c r="BE734" t="s">
        <v>13997</v>
      </c>
      <c r="BF734" t="str">
        <f>HYPERLINK("http://dx.doi.org/10.1657/1938-4246-46.4.963","http://dx.doi.org/10.1657/1938-4246-46.4.963")</f>
        <v>http://dx.doi.org/10.1657/1938-4246-46.4.963</v>
      </c>
      <c r="BG734" t="s">
        <v>74</v>
      </c>
      <c r="BH734" t="s">
        <v>74</v>
      </c>
      <c r="BI734">
        <v>12</v>
      </c>
      <c r="BJ734" t="s">
        <v>13848</v>
      </c>
      <c r="BK734" t="s">
        <v>91</v>
      </c>
      <c r="BL734" t="s">
        <v>6693</v>
      </c>
      <c r="BM734" t="s">
        <v>13849</v>
      </c>
      <c r="BN734" t="s">
        <v>74</v>
      </c>
      <c r="BO734" t="s">
        <v>2056</v>
      </c>
      <c r="BP734" t="s">
        <v>74</v>
      </c>
      <c r="BQ734" t="s">
        <v>74</v>
      </c>
      <c r="BR734" t="s">
        <v>93</v>
      </c>
      <c r="BS734" t="s">
        <v>13998</v>
      </c>
      <c r="BT734" t="str">
        <f>HYPERLINK("https%3A%2F%2Fwww.webofscience.com%2Fwos%2Fwoscc%2Ffull-record%2FWOS:000346219500022","View Full Record in Web of Science")</f>
        <v>View Full Record in Web of Science</v>
      </c>
    </row>
    <row r="735" spans="1:72" x14ac:dyDescent="0.15">
      <c r="A735" t="s">
        <v>72</v>
      </c>
      <c r="B735" t="s">
        <v>13999</v>
      </c>
      <c r="C735" t="s">
        <v>74</v>
      </c>
      <c r="D735" t="s">
        <v>74</v>
      </c>
      <c r="E735" t="s">
        <v>74</v>
      </c>
      <c r="F735" t="s">
        <v>14000</v>
      </c>
      <c r="G735" t="s">
        <v>74</v>
      </c>
      <c r="H735" t="s">
        <v>74</v>
      </c>
      <c r="I735" t="s">
        <v>14001</v>
      </c>
      <c r="J735" t="s">
        <v>13833</v>
      </c>
      <c r="K735" t="s">
        <v>74</v>
      </c>
      <c r="L735" t="s">
        <v>74</v>
      </c>
      <c r="M735" t="s">
        <v>78</v>
      </c>
      <c r="N735" t="s">
        <v>99</v>
      </c>
      <c r="O735" t="s">
        <v>74</v>
      </c>
      <c r="P735" t="s">
        <v>74</v>
      </c>
      <c r="Q735" t="s">
        <v>74</v>
      </c>
      <c r="R735" t="s">
        <v>74</v>
      </c>
      <c r="S735" t="s">
        <v>74</v>
      </c>
      <c r="T735" t="s">
        <v>74</v>
      </c>
      <c r="U735" t="s">
        <v>14002</v>
      </c>
      <c r="V735" t="s">
        <v>14003</v>
      </c>
      <c r="W735" t="s">
        <v>14004</v>
      </c>
      <c r="X735" t="s">
        <v>14005</v>
      </c>
      <c r="Y735" t="s">
        <v>14006</v>
      </c>
      <c r="Z735" t="s">
        <v>14007</v>
      </c>
      <c r="AA735" t="s">
        <v>14008</v>
      </c>
      <c r="AB735" t="s">
        <v>14009</v>
      </c>
      <c r="AC735" t="s">
        <v>14010</v>
      </c>
      <c r="AD735" t="s">
        <v>14010</v>
      </c>
      <c r="AE735" t="s">
        <v>14011</v>
      </c>
      <c r="AF735" t="s">
        <v>74</v>
      </c>
      <c r="AG735">
        <v>76</v>
      </c>
      <c r="AH735">
        <v>7</v>
      </c>
      <c r="AI735">
        <v>7</v>
      </c>
      <c r="AJ735">
        <v>1</v>
      </c>
      <c r="AK735">
        <v>28</v>
      </c>
      <c r="AL735" t="s">
        <v>82</v>
      </c>
      <c r="AM735" t="s">
        <v>83</v>
      </c>
      <c r="AN735" t="s">
        <v>150</v>
      </c>
      <c r="AO735" t="s">
        <v>13843</v>
      </c>
      <c r="AP735" t="s">
        <v>13844</v>
      </c>
      <c r="AQ735" t="s">
        <v>74</v>
      </c>
      <c r="AR735" t="s">
        <v>13845</v>
      </c>
      <c r="AS735" t="s">
        <v>13846</v>
      </c>
      <c r="AT735" t="s">
        <v>13619</v>
      </c>
      <c r="AU735">
        <v>2014</v>
      </c>
      <c r="AV735">
        <v>46</v>
      </c>
      <c r="AW735">
        <v>4</v>
      </c>
      <c r="AX735" t="s">
        <v>74</v>
      </c>
      <c r="AY735" t="s">
        <v>74</v>
      </c>
      <c r="AZ735" t="s">
        <v>1437</v>
      </c>
      <c r="BA735" t="s">
        <v>74</v>
      </c>
      <c r="BB735">
        <v>975</v>
      </c>
      <c r="BC735">
        <v>986</v>
      </c>
      <c r="BD735" t="s">
        <v>74</v>
      </c>
      <c r="BE735" t="s">
        <v>14012</v>
      </c>
      <c r="BF735" t="str">
        <f>HYPERLINK("http://dx.doi.org/10.1657/1938-4246-46.4.975","http://dx.doi.org/10.1657/1938-4246-46.4.975")</f>
        <v>http://dx.doi.org/10.1657/1938-4246-46.4.975</v>
      </c>
      <c r="BG735" t="s">
        <v>74</v>
      </c>
      <c r="BH735" t="s">
        <v>74</v>
      </c>
      <c r="BI735">
        <v>12</v>
      </c>
      <c r="BJ735" t="s">
        <v>13848</v>
      </c>
      <c r="BK735" t="s">
        <v>91</v>
      </c>
      <c r="BL735" t="s">
        <v>6693</v>
      </c>
      <c r="BM735" t="s">
        <v>13849</v>
      </c>
      <c r="BN735" t="s">
        <v>74</v>
      </c>
      <c r="BO735" t="s">
        <v>2081</v>
      </c>
      <c r="BP735" t="s">
        <v>74</v>
      </c>
      <c r="BQ735" t="s">
        <v>74</v>
      </c>
      <c r="BR735" t="s">
        <v>93</v>
      </c>
      <c r="BS735" t="s">
        <v>14013</v>
      </c>
      <c r="BT735" t="str">
        <f>HYPERLINK("https%3A%2F%2Fwww.webofscience.com%2Fwos%2Fwoscc%2Ffull-record%2FWOS:000346219500023","View Full Record in Web of Science")</f>
        <v>View Full Record in Web of Science</v>
      </c>
    </row>
    <row r="736" spans="1:72" x14ac:dyDescent="0.15">
      <c r="A736" t="s">
        <v>72</v>
      </c>
      <c r="B736" t="s">
        <v>14014</v>
      </c>
      <c r="C736" t="s">
        <v>74</v>
      </c>
      <c r="D736" t="s">
        <v>74</v>
      </c>
      <c r="E736" t="s">
        <v>74</v>
      </c>
      <c r="F736" t="s">
        <v>14015</v>
      </c>
      <c r="G736" t="s">
        <v>74</v>
      </c>
      <c r="H736" t="s">
        <v>74</v>
      </c>
      <c r="I736" t="s">
        <v>14016</v>
      </c>
      <c r="J736" t="s">
        <v>13833</v>
      </c>
      <c r="K736" t="s">
        <v>74</v>
      </c>
      <c r="L736" t="s">
        <v>74</v>
      </c>
      <c r="M736" t="s">
        <v>78</v>
      </c>
      <c r="N736" t="s">
        <v>126</v>
      </c>
      <c r="O736" t="s">
        <v>74</v>
      </c>
      <c r="P736" t="s">
        <v>74</v>
      </c>
      <c r="Q736" t="s">
        <v>74</v>
      </c>
      <c r="R736" t="s">
        <v>74</v>
      </c>
      <c r="S736" t="s">
        <v>74</v>
      </c>
      <c r="T736" t="s">
        <v>74</v>
      </c>
      <c r="U736" t="s">
        <v>74</v>
      </c>
      <c r="V736" t="s">
        <v>74</v>
      </c>
      <c r="W736" t="s">
        <v>14017</v>
      </c>
      <c r="X736" t="s">
        <v>14018</v>
      </c>
      <c r="Y736" t="s">
        <v>14019</v>
      </c>
      <c r="Z736" t="s">
        <v>14020</v>
      </c>
      <c r="AA736" t="s">
        <v>74</v>
      </c>
      <c r="AB736" t="s">
        <v>74</v>
      </c>
      <c r="AC736" t="s">
        <v>74</v>
      </c>
      <c r="AD736" t="s">
        <v>74</v>
      </c>
      <c r="AE736" t="s">
        <v>74</v>
      </c>
      <c r="AF736" t="s">
        <v>74</v>
      </c>
      <c r="AG736">
        <v>1</v>
      </c>
      <c r="AH736">
        <v>0</v>
      </c>
      <c r="AI736">
        <v>0</v>
      </c>
      <c r="AJ736">
        <v>0</v>
      </c>
      <c r="AK736">
        <v>10</v>
      </c>
      <c r="AL736" t="s">
        <v>13841</v>
      </c>
      <c r="AM736" t="s">
        <v>6202</v>
      </c>
      <c r="AN736" t="s">
        <v>13842</v>
      </c>
      <c r="AO736" t="s">
        <v>13843</v>
      </c>
      <c r="AP736" t="s">
        <v>13844</v>
      </c>
      <c r="AQ736" t="s">
        <v>74</v>
      </c>
      <c r="AR736" t="s">
        <v>13845</v>
      </c>
      <c r="AS736" t="s">
        <v>13846</v>
      </c>
      <c r="AT736" t="s">
        <v>13619</v>
      </c>
      <c r="AU736">
        <v>2014</v>
      </c>
      <c r="AV736">
        <v>46</v>
      </c>
      <c r="AW736">
        <v>4</v>
      </c>
      <c r="AX736" t="s">
        <v>74</v>
      </c>
      <c r="AY736" t="s">
        <v>74</v>
      </c>
      <c r="AZ736" t="s">
        <v>1437</v>
      </c>
      <c r="BA736" t="s">
        <v>74</v>
      </c>
      <c r="BB736">
        <v>1007</v>
      </c>
      <c r="BC736">
        <v>1010</v>
      </c>
      <c r="BD736" t="s">
        <v>74</v>
      </c>
      <c r="BE736" t="s">
        <v>14021</v>
      </c>
      <c r="BF736" t="str">
        <f>HYPERLINK("http://dx.doi.org/10.1657/1938-4246-46.4.1007","http://dx.doi.org/10.1657/1938-4246-46.4.1007")</f>
        <v>http://dx.doi.org/10.1657/1938-4246-46.4.1007</v>
      </c>
      <c r="BG736" t="s">
        <v>74</v>
      </c>
      <c r="BH736" t="s">
        <v>74</v>
      </c>
      <c r="BI736">
        <v>4</v>
      </c>
      <c r="BJ736" t="s">
        <v>13848</v>
      </c>
      <c r="BK736" t="s">
        <v>91</v>
      </c>
      <c r="BL736" t="s">
        <v>6693</v>
      </c>
      <c r="BM736" t="s">
        <v>13849</v>
      </c>
      <c r="BN736" t="s">
        <v>74</v>
      </c>
      <c r="BO736" t="s">
        <v>3478</v>
      </c>
      <c r="BP736" t="s">
        <v>74</v>
      </c>
      <c r="BQ736" t="s">
        <v>74</v>
      </c>
      <c r="BR736" t="s">
        <v>93</v>
      </c>
      <c r="BS736" t="s">
        <v>14022</v>
      </c>
      <c r="BT736" t="str">
        <f>HYPERLINK("https%3A%2F%2Fwww.webofscience.com%2Fwos%2Fwoscc%2Ffull-record%2FWOS:000346219500025","View Full Record in Web of Science")</f>
        <v>View Full Record in Web of Science</v>
      </c>
    </row>
    <row r="737" spans="1:72" x14ac:dyDescent="0.15">
      <c r="A737" t="s">
        <v>72</v>
      </c>
      <c r="B737" t="s">
        <v>14023</v>
      </c>
      <c r="C737" t="s">
        <v>74</v>
      </c>
      <c r="D737" t="s">
        <v>74</v>
      </c>
      <c r="E737" t="s">
        <v>74</v>
      </c>
      <c r="F737" t="s">
        <v>14024</v>
      </c>
      <c r="G737" t="s">
        <v>74</v>
      </c>
      <c r="H737" t="s">
        <v>74</v>
      </c>
      <c r="I737" t="s">
        <v>14025</v>
      </c>
      <c r="J737" t="s">
        <v>14026</v>
      </c>
      <c r="K737" t="s">
        <v>74</v>
      </c>
      <c r="L737" t="s">
        <v>74</v>
      </c>
      <c r="M737" t="s">
        <v>78</v>
      </c>
      <c r="N737" t="s">
        <v>99</v>
      </c>
      <c r="O737" t="s">
        <v>74</v>
      </c>
      <c r="P737" t="s">
        <v>74</v>
      </c>
      <c r="Q737" t="s">
        <v>74</v>
      </c>
      <c r="R737" t="s">
        <v>74</v>
      </c>
      <c r="S737" t="s">
        <v>74</v>
      </c>
      <c r="T737" t="s">
        <v>14027</v>
      </c>
      <c r="U737" t="s">
        <v>14028</v>
      </c>
      <c r="V737" t="s">
        <v>14029</v>
      </c>
      <c r="W737" t="s">
        <v>14030</v>
      </c>
      <c r="X737" t="s">
        <v>14031</v>
      </c>
      <c r="Y737" t="s">
        <v>14032</v>
      </c>
      <c r="Z737" t="s">
        <v>14033</v>
      </c>
      <c r="AA737" t="s">
        <v>74</v>
      </c>
      <c r="AB737" t="s">
        <v>74</v>
      </c>
      <c r="AC737" t="s">
        <v>14034</v>
      </c>
      <c r="AD737" t="s">
        <v>14035</v>
      </c>
      <c r="AE737" t="s">
        <v>14036</v>
      </c>
      <c r="AF737" t="s">
        <v>74</v>
      </c>
      <c r="AG737">
        <v>110</v>
      </c>
      <c r="AH737">
        <v>22</v>
      </c>
      <c r="AI737">
        <v>23</v>
      </c>
      <c r="AJ737">
        <v>0</v>
      </c>
      <c r="AK737">
        <v>14</v>
      </c>
      <c r="AL737" t="s">
        <v>2458</v>
      </c>
      <c r="AM737" t="s">
        <v>1411</v>
      </c>
      <c r="AN737" t="s">
        <v>2459</v>
      </c>
      <c r="AO737" t="s">
        <v>14037</v>
      </c>
      <c r="AP737" t="s">
        <v>14038</v>
      </c>
      <c r="AQ737" t="s">
        <v>74</v>
      </c>
      <c r="AR737" t="s">
        <v>14039</v>
      </c>
      <c r="AS737" t="s">
        <v>14040</v>
      </c>
      <c r="AT737" t="s">
        <v>13619</v>
      </c>
      <c r="AU737">
        <v>2014</v>
      </c>
      <c r="AV737">
        <v>43</v>
      </c>
      <c r="AW737">
        <v>6</v>
      </c>
      <c r="AX737" t="s">
        <v>74</v>
      </c>
      <c r="AY737" t="s">
        <v>74</v>
      </c>
      <c r="AZ737" t="s">
        <v>74</v>
      </c>
      <c r="BA737" t="s">
        <v>74</v>
      </c>
      <c r="BB737">
        <v>615</v>
      </c>
      <c r="BC737">
        <v>658</v>
      </c>
      <c r="BD737" t="s">
        <v>74</v>
      </c>
      <c r="BE737" t="s">
        <v>14041</v>
      </c>
      <c r="BF737" t="str">
        <f>HYPERLINK("http://dx.doi.org/10.1016/j.asd.2014.09.003","http://dx.doi.org/10.1016/j.asd.2014.09.003")</f>
        <v>http://dx.doi.org/10.1016/j.asd.2014.09.003</v>
      </c>
      <c r="BG737" t="s">
        <v>74</v>
      </c>
      <c r="BH737" t="s">
        <v>74</v>
      </c>
      <c r="BI737">
        <v>44</v>
      </c>
      <c r="BJ737" t="s">
        <v>1254</v>
      </c>
      <c r="BK737" t="s">
        <v>91</v>
      </c>
      <c r="BL737" t="s">
        <v>1254</v>
      </c>
      <c r="BM737" t="s">
        <v>14042</v>
      </c>
      <c r="BN737">
        <v>25264078</v>
      </c>
      <c r="BO737" t="s">
        <v>74</v>
      </c>
      <c r="BP737" t="s">
        <v>74</v>
      </c>
      <c r="BQ737" t="s">
        <v>74</v>
      </c>
      <c r="BR737" t="s">
        <v>93</v>
      </c>
      <c r="BS737" t="s">
        <v>14043</v>
      </c>
      <c r="BT737" t="str">
        <f>HYPERLINK("https%3A%2F%2Fwww.webofscience.com%2Fwos%2Fwoscc%2Ffull-record%2FWOS:000345951100010","View Full Record in Web of Science")</f>
        <v>View Full Record in Web of Science</v>
      </c>
    </row>
    <row r="738" spans="1:72" x14ac:dyDescent="0.15">
      <c r="A738" t="s">
        <v>72</v>
      </c>
      <c r="B738" t="s">
        <v>14044</v>
      </c>
      <c r="C738" t="s">
        <v>74</v>
      </c>
      <c r="D738" t="s">
        <v>74</v>
      </c>
      <c r="E738" t="s">
        <v>74</v>
      </c>
      <c r="F738" t="s">
        <v>14045</v>
      </c>
      <c r="G738" t="s">
        <v>74</v>
      </c>
      <c r="H738" t="s">
        <v>74</v>
      </c>
      <c r="I738" t="s">
        <v>14046</v>
      </c>
      <c r="J738" t="s">
        <v>2036</v>
      </c>
      <c r="K738" t="s">
        <v>74</v>
      </c>
      <c r="L738" t="s">
        <v>74</v>
      </c>
      <c r="M738" t="s">
        <v>78</v>
      </c>
      <c r="N738" t="s">
        <v>99</v>
      </c>
      <c r="O738" t="s">
        <v>74</v>
      </c>
      <c r="P738" t="s">
        <v>74</v>
      </c>
      <c r="Q738" t="s">
        <v>74</v>
      </c>
      <c r="R738" t="s">
        <v>74</v>
      </c>
      <c r="S738" t="s">
        <v>74</v>
      </c>
      <c r="T738" t="s">
        <v>14047</v>
      </c>
      <c r="U738" t="s">
        <v>14048</v>
      </c>
      <c r="V738" t="s">
        <v>14049</v>
      </c>
      <c r="W738" t="s">
        <v>14050</v>
      </c>
      <c r="X738" t="s">
        <v>14051</v>
      </c>
      <c r="Y738" t="s">
        <v>14052</v>
      </c>
      <c r="Z738" t="s">
        <v>14053</v>
      </c>
      <c r="AA738" t="s">
        <v>14054</v>
      </c>
      <c r="AB738" t="s">
        <v>14055</v>
      </c>
      <c r="AC738" t="s">
        <v>14056</v>
      </c>
      <c r="AD738" t="s">
        <v>14057</v>
      </c>
      <c r="AE738" t="s">
        <v>14058</v>
      </c>
      <c r="AF738" t="s">
        <v>74</v>
      </c>
      <c r="AG738">
        <v>35</v>
      </c>
      <c r="AH738">
        <v>9</v>
      </c>
      <c r="AI738">
        <v>10</v>
      </c>
      <c r="AJ738">
        <v>0</v>
      </c>
      <c r="AK738">
        <v>12</v>
      </c>
      <c r="AL738" t="s">
        <v>1945</v>
      </c>
      <c r="AM738" t="s">
        <v>1946</v>
      </c>
      <c r="AN738" t="s">
        <v>1947</v>
      </c>
      <c r="AO738" t="s">
        <v>2049</v>
      </c>
      <c r="AP738" t="s">
        <v>2050</v>
      </c>
      <c r="AQ738" t="s">
        <v>74</v>
      </c>
      <c r="AR738" t="s">
        <v>2051</v>
      </c>
      <c r="AS738" t="s">
        <v>2052</v>
      </c>
      <c r="AT738" t="s">
        <v>13619</v>
      </c>
      <c r="AU738">
        <v>2014</v>
      </c>
      <c r="AV738">
        <v>119</v>
      </c>
      <c r="AW738">
        <v>11</v>
      </c>
      <c r="AX738" t="s">
        <v>74</v>
      </c>
      <c r="AY738" t="s">
        <v>74</v>
      </c>
      <c r="AZ738" t="s">
        <v>74</v>
      </c>
      <c r="BA738" t="s">
        <v>74</v>
      </c>
      <c r="BB738">
        <v>7854</v>
      </c>
      <c r="BC738">
        <v>7868</v>
      </c>
      <c r="BD738" t="s">
        <v>74</v>
      </c>
      <c r="BE738" t="s">
        <v>14059</v>
      </c>
      <c r="BF738" t="str">
        <f>HYPERLINK("http://dx.doi.org/10.1002/2014JC010175","http://dx.doi.org/10.1002/2014JC010175")</f>
        <v>http://dx.doi.org/10.1002/2014JC010175</v>
      </c>
      <c r="BG738" t="s">
        <v>74</v>
      </c>
      <c r="BH738" t="s">
        <v>74</v>
      </c>
      <c r="BI738">
        <v>15</v>
      </c>
      <c r="BJ738" t="s">
        <v>2054</v>
      </c>
      <c r="BK738" t="s">
        <v>91</v>
      </c>
      <c r="BL738" t="s">
        <v>2054</v>
      </c>
      <c r="BM738" t="s">
        <v>14060</v>
      </c>
      <c r="BN738" t="s">
        <v>74</v>
      </c>
      <c r="BO738" t="s">
        <v>12110</v>
      </c>
      <c r="BP738" t="s">
        <v>74</v>
      </c>
      <c r="BQ738" t="s">
        <v>74</v>
      </c>
      <c r="BR738" t="s">
        <v>93</v>
      </c>
      <c r="BS738" t="s">
        <v>14061</v>
      </c>
      <c r="BT738" t="str">
        <f>HYPERLINK("https%3A%2F%2Fwww.webofscience.com%2Fwos%2Fwoscc%2Ffull-record%2FWOS:000346102900028","View Full Record in Web of Science")</f>
        <v>View Full Record in Web of Science</v>
      </c>
    </row>
    <row r="739" spans="1:72" x14ac:dyDescent="0.15">
      <c r="A739" t="s">
        <v>72</v>
      </c>
      <c r="B739" t="s">
        <v>14062</v>
      </c>
      <c r="C739" t="s">
        <v>74</v>
      </c>
      <c r="D739" t="s">
        <v>74</v>
      </c>
      <c r="E739" t="s">
        <v>74</v>
      </c>
      <c r="F739" t="s">
        <v>14063</v>
      </c>
      <c r="G739" t="s">
        <v>74</v>
      </c>
      <c r="H739" t="s">
        <v>74</v>
      </c>
      <c r="I739" t="s">
        <v>14064</v>
      </c>
      <c r="J739" t="s">
        <v>2036</v>
      </c>
      <c r="K739" t="s">
        <v>74</v>
      </c>
      <c r="L739" t="s">
        <v>74</v>
      </c>
      <c r="M739" t="s">
        <v>78</v>
      </c>
      <c r="N739" t="s">
        <v>99</v>
      </c>
      <c r="O739" t="s">
        <v>74</v>
      </c>
      <c r="P739" t="s">
        <v>74</v>
      </c>
      <c r="Q739" t="s">
        <v>74</v>
      </c>
      <c r="R739" t="s">
        <v>74</v>
      </c>
      <c r="S739" t="s">
        <v>74</v>
      </c>
      <c r="T739" t="s">
        <v>14065</v>
      </c>
      <c r="U739" t="s">
        <v>14066</v>
      </c>
      <c r="V739" t="s">
        <v>14067</v>
      </c>
      <c r="W739" t="s">
        <v>14068</v>
      </c>
      <c r="X739" t="s">
        <v>14069</v>
      </c>
      <c r="Y739" t="s">
        <v>14070</v>
      </c>
      <c r="Z739" t="s">
        <v>14071</v>
      </c>
      <c r="AA739" t="s">
        <v>14072</v>
      </c>
      <c r="AB739" t="s">
        <v>14073</v>
      </c>
      <c r="AC739" t="s">
        <v>14074</v>
      </c>
      <c r="AD739" t="s">
        <v>14075</v>
      </c>
      <c r="AE739" t="s">
        <v>14076</v>
      </c>
      <c r="AF739" t="s">
        <v>74</v>
      </c>
      <c r="AG739">
        <v>58</v>
      </c>
      <c r="AH739">
        <v>23</v>
      </c>
      <c r="AI739">
        <v>27</v>
      </c>
      <c r="AJ739">
        <v>2</v>
      </c>
      <c r="AK739">
        <v>25</v>
      </c>
      <c r="AL739" t="s">
        <v>1945</v>
      </c>
      <c r="AM739" t="s">
        <v>1946</v>
      </c>
      <c r="AN739" t="s">
        <v>1947</v>
      </c>
      <c r="AO739" t="s">
        <v>2049</v>
      </c>
      <c r="AP739" t="s">
        <v>2050</v>
      </c>
      <c r="AQ739" t="s">
        <v>74</v>
      </c>
      <c r="AR739" t="s">
        <v>2051</v>
      </c>
      <c r="AS739" t="s">
        <v>2052</v>
      </c>
      <c r="AT739" t="s">
        <v>13619</v>
      </c>
      <c r="AU739">
        <v>2014</v>
      </c>
      <c r="AV739">
        <v>119</v>
      </c>
      <c r="AW739">
        <v>11</v>
      </c>
      <c r="AX739" t="s">
        <v>74</v>
      </c>
      <c r="AY739" t="s">
        <v>74</v>
      </c>
      <c r="AZ739" t="s">
        <v>74</v>
      </c>
      <c r="BA739" t="s">
        <v>74</v>
      </c>
      <c r="BB739">
        <v>8011</v>
      </c>
      <c r="BC739">
        <v>8028</v>
      </c>
      <c r="BD739" t="s">
        <v>74</v>
      </c>
      <c r="BE739" t="s">
        <v>14077</v>
      </c>
      <c r="BF739" t="str">
        <f>HYPERLINK("http://dx.doi.org/10.1002/2014JC010020","http://dx.doi.org/10.1002/2014JC010020")</f>
        <v>http://dx.doi.org/10.1002/2014JC010020</v>
      </c>
      <c r="BG739" t="s">
        <v>74</v>
      </c>
      <c r="BH739" t="s">
        <v>74</v>
      </c>
      <c r="BI739">
        <v>18</v>
      </c>
      <c r="BJ739" t="s">
        <v>2054</v>
      </c>
      <c r="BK739" t="s">
        <v>91</v>
      </c>
      <c r="BL739" t="s">
        <v>2054</v>
      </c>
      <c r="BM739" t="s">
        <v>14060</v>
      </c>
      <c r="BN739" t="s">
        <v>74</v>
      </c>
      <c r="BO739" t="s">
        <v>6793</v>
      </c>
      <c r="BP739" t="s">
        <v>74</v>
      </c>
      <c r="BQ739" t="s">
        <v>74</v>
      </c>
      <c r="BR739" t="s">
        <v>93</v>
      </c>
      <c r="BS739" t="s">
        <v>14078</v>
      </c>
      <c r="BT739" t="str">
        <f>HYPERLINK("https%3A%2F%2Fwww.webofscience.com%2Fwos%2Fwoscc%2Ffull-record%2FWOS:000346102900037","View Full Record in Web of Science")</f>
        <v>View Full Record in Web of Science</v>
      </c>
    </row>
    <row r="740" spans="1:72" x14ac:dyDescent="0.15">
      <c r="A740" t="s">
        <v>72</v>
      </c>
      <c r="B740" t="s">
        <v>14079</v>
      </c>
      <c r="C740" t="s">
        <v>74</v>
      </c>
      <c r="D740" t="s">
        <v>74</v>
      </c>
      <c r="E740" t="s">
        <v>74</v>
      </c>
      <c r="F740" t="s">
        <v>14080</v>
      </c>
      <c r="G740" t="s">
        <v>74</v>
      </c>
      <c r="H740" t="s">
        <v>74</v>
      </c>
      <c r="I740" t="s">
        <v>14081</v>
      </c>
      <c r="J740" t="s">
        <v>7491</v>
      </c>
      <c r="K740" t="s">
        <v>74</v>
      </c>
      <c r="L740" t="s">
        <v>74</v>
      </c>
      <c r="M740" t="s">
        <v>78</v>
      </c>
      <c r="N740" t="s">
        <v>99</v>
      </c>
      <c r="O740" t="s">
        <v>74</v>
      </c>
      <c r="P740" t="s">
        <v>74</v>
      </c>
      <c r="Q740" t="s">
        <v>74</v>
      </c>
      <c r="R740" t="s">
        <v>74</v>
      </c>
      <c r="S740" t="s">
        <v>74</v>
      </c>
      <c r="T740" t="s">
        <v>74</v>
      </c>
      <c r="U740" t="s">
        <v>14082</v>
      </c>
      <c r="V740" t="s">
        <v>14083</v>
      </c>
      <c r="W740" t="s">
        <v>14084</v>
      </c>
      <c r="X740" t="s">
        <v>14085</v>
      </c>
      <c r="Y740" t="s">
        <v>14086</v>
      </c>
      <c r="Z740" t="s">
        <v>14087</v>
      </c>
      <c r="AA740" t="s">
        <v>14088</v>
      </c>
      <c r="AB740" t="s">
        <v>14089</v>
      </c>
      <c r="AC740" t="s">
        <v>14090</v>
      </c>
      <c r="AD740" t="s">
        <v>14091</v>
      </c>
      <c r="AE740" t="s">
        <v>14092</v>
      </c>
      <c r="AF740" t="s">
        <v>74</v>
      </c>
      <c r="AG740">
        <v>70</v>
      </c>
      <c r="AH740">
        <v>60</v>
      </c>
      <c r="AI740">
        <v>65</v>
      </c>
      <c r="AJ740">
        <v>2</v>
      </c>
      <c r="AK740">
        <v>81</v>
      </c>
      <c r="AL740" t="s">
        <v>7479</v>
      </c>
      <c r="AM740" t="s">
        <v>7177</v>
      </c>
      <c r="AN740" t="s">
        <v>7480</v>
      </c>
      <c r="AO740" t="s">
        <v>7505</v>
      </c>
      <c r="AP740" t="s">
        <v>74</v>
      </c>
      <c r="AQ740" t="s">
        <v>74</v>
      </c>
      <c r="AR740" t="s">
        <v>7506</v>
      </c>
      <c r="AS740" t="s">
        <v>7507</v>
      </c>
      <c r="AT740" t="s">
        <v>13619</v>
      </c>
      <c r="AU740">
        <v>2014</v>
      </c>
      <c r="AV740">
        <v>5</v>
      </c>
      <c r="AW740" t="s">
        <v>74</v>
      </c>
      <c r="AX740" t="s">
        <v>74</v>
      </c>
      <c r="AY740" t="s">
        <v>74</v>
      </c>
      <c r="AZ740" t="s">
        <v>74</v>
      </c>
      <c r="BA740" t="s">
        <v>74</v>
      </c>
      <c r="BB740" t="s">
        <v>74</v>
      </c>
      <c r="BC740" t="s">
        <v>74</v>
      </c>
      <c r="BD740">
        <v>5520</v>
      </c>
      <c r="BE740" t="s">
        <v>14093</v>
      </c>
      <c r="BF740" t="str">
        <f>HYPERLINK("http://dx.doi.org/10.1038/ncomms6520","http://dx.doi.org/10.1038/ncomms6520")</f>
        <v>http://dx.doi.org/10.1038/ncomms6520</v>
      </c>
      <c r="BG740" t="s">
        <v>74</v>
      </c>
      <c r="BH740" t="s">
        <v>74</v>
      </c>
      <c r="BI740">
        <v>10</v>
      </c>
      <c r="BJ740" t="s">
        <v>201</v>
      </c>
      <c r="BK740" t="s">
        <v>91</v>
      </c>
      <c r="BL740" t="s">
        <v>203</v>
      </c>
      <c r="BM740" t="s">
        <v>14094</v>
      </c>
      <c r="BN740">
        <v>25409739</v>
      </c>
      <c r="BO740" t="s">
        <v>8850</v>
      </c>
      <c r="BP740" t="s">
        <v>74</v>
      </c>
      <c r="BQ740" t="s">
        <v>74</v>
      </c>
      <c r="BR740" t="s">
        <v>93</v>
      </c>
      <c r="BS740" t="s">
        <v>14095</v>
      </c>
      <c r="BT740" t="str">
        <f>HYPERLINK("https%3A%2F%2Fwww.webofscience.com%2Fwos%2Fwoscc%2Ffull-record%2FWOS:000345913300005","View Full Record in Web of Science")</f>
        <v>View Full Record in Web of Science</v>
      </c>
    </row>
    <row r="741" spans="1:72" x14ac:dyDescent="0.15">
      <c r="A741" t="s">
        <v>72</v>
      </c>
      <c r="B741" t="s">
        <v>14096</v>
      </c>
      <c r="C741" t="s">
        <v>74</v>
      </c>
      <c r="D741" t="s">
        <v>74</v>
      </c>
      <c r="E741" t="s">
        <v>74</v>
      </c>
      <c r="F741" t="s">
        <v>14097</v>
      </c>
      <c r="G741" t="s">
        <v>74</v>
      </c>
      <c r="H741" t="s">
        <v>74</v>
      </c>
      <c r="I741" t="s">
        <v>14098</v>
      </c>
      <c r="J741" t="s">
        <v>13833</v>
      </c>
      <c r="K741" t="s">
        <v>74</v>
      </c>
      <c r="L741" t="s">
        <v>74</v>
      </c>
      <c r="M741" t="s">
        <v>78</v>
      </c>
      <c r="N741" t="s">
        <v>99</v>
      </c>
      <c r="O741" t="s">
        <v>74</v>
      </c>
      <c r="P741" t="s">
        <v>74</v>
      </c>
      <c r="Q741" t="s">
        <v>74</v>
      </c>
      <c r="R741" t="s">
        <v>74</v>
      </c>
      <c r="S741" t="s">
        <v>74</v>
      </c>
      <c r="T741" t="s">
        <v>74</v>
      </c>
      <c r="U741" t="s">
        <v>14099</v>
      </c>
      <c r="V741" t="s">
        <v>14100</v>
      </c>
      <c r="W741" t="s">
        <v>14101</v>
      </c>
      <c r="X741" t="s">
        <v>14102</v>
      </c>
      <c r="Y741" t="s">
        <v>14103</v>
      </c>
      <c r="Z741" t="s">
        <v>14104</v>
      </c>
      <c r="AA741" t="s">
        <v>74</v>
      </c>
      <c r="AB741" t="s">
        <v>74</v>
      </c>
      <c r="AC741" t="s">
        <v>14105</v>
      </c>
      <c r="AD741" t="s">
        <v>14106</v>
      </c>
      <c r="AE741" t="s">
        <v>14107</v>
      </c>
      <c r="AF741" t="s">
        <v>74</v>
      </c>
      <c r="AG741">
        <v>30</v>
      </c>
      <c r="AH741">
        <v>11</v>
      </c>
      <c r="AI741">
        <v>13</v>
      </c>
      <c r="AJ741">
        <v>2</v>
      </c>
      <c r="AK741">
        <v>11</v>
      </c>
      <c r="AL741" t="s">
        <v>13841</v>
      </c>
      <c r="AM741" t="s">
        <v>6202</v>
      </c>
      <c r="AN741" t="s">
        <v>13842</v>
      </c>
      <c r="AO741" t="s">
        <v>13843</v>
      </c>
      <c r="AP741" t="s">
        <v>13844</v>
      </c>
      <c r="AQ741" t="s">
        <v>74</v>
      </c>
      <c r="AR741" t="s">
        <v>13845</v>
      </c>
      <c r="AS741" t="s">
        <v>13846</v>
      </c>
      <c r="AT741" t="s">
        <v>13619</v>
      </c>
      <c r="AU741">
        <v>2014</v>
      </c>
      <c r="AV741">
        <v>46</v>
      </c>
      <c r="AW741">
        <v>4</v>
      </c>
      <c r="AX741" t="s">
        <v>74</v>
      </c>
      <c r="AY741" t="s">
        <v>74</v>
      </c>
      <c r="AZ741" t="s">
        <v>1437</v>
      </c>
      <c r="BA741" t="s">
        <v>74</v>
      </c>
      <c r="BB741">
        <v>709</v>
      </c>
      <c r="BC741">
        <v>718</v>
      </c>
      <c r="BD741" t="s">
        <v>74</v>
      </c>
      <c r="BE741" t="s">
        <v>14108</v>
      </c>
      <c r="BF741" t="str">
        <f>HYPERLINK("http://dx.doi.org/10.1657/1938-4246-46.4.709","http://dx.doi.org/10.1657/1938-4246-46.4.709")</f>
        <v>http://dx.doi.org/10.1657/1938-4246-46.4.709</v>
      </c>
      <c r="BG741" t="s">
        <v>74</v>
      </c>
      <c r="BH741" t="s">
        <v>74</v>
      </c>
      <c r="BI741">
        <v>10</v>
      </c>
      <c r="BJ741" t="s">
        <v>13848</v>
      </c>
      <c r="BK741" t="s">
        <v>91</v>
      </c>
      <c r="BL741" t="s">
        <v>6693</v>
      </c>
      <c r="BM741" t="s">
        <v>13849</v>
      </c>
      <c r="BN741" t="s">
        <v>74</v>
      </c>
      <c r="BO741" t="s">
        <v>2056</v>
      </c>
      <c r="BP741" t="s">
        <v>74</v>
      </c>
      <c r="BQ741" t="s">
        <v>74</v>
      </c>
      <c r="BR741" t="s">
        <v>93</v>
      </c>
      <c r="BS741" t="s">
        <v>14109</v>
      </c>
      <c r="BT741" t="str">
        <f>HYPERLINK("https%3A%2F%2Fwww.webofscience.com%2Fwos%2Fwoscc%2Ffull-record%2FWOS:000346219500002","View Full Record in Web of Science")</f>
        <v>View Full Record in Web of Science</v>
      </c>
    </row>
    <row r="742" spans="1:72" x14ac:dyDescent="0.15">
      <c r="A742" t="s">
        <v>72</v>
      </c>
      <c r="B742" t="s">
        <v>14110</v>
      </c>
      <c r="C742" t="s">
        <v>74</v>
      </c>
      <c r="D742" t="s">
        <v>74</v>
      </c>
      <c r="E742" t="s">
        <v>74</v>
      </c>
      <c r="F742" t="s">
        <v>14111</v>
      </c>
      <c r="G742" t="s">
        <v>74</v>
      </c>
      <c r="H742" t="s">
        <v>74</v>
      </c>
      <c r="I742" t="s">
        <v>14112</v>
      </c>
      <c r="J742" t="s">
        <v>14113</v>
      </c>
      <c r="K742" t="s">
        <v>74</v>
      </c>
      <c r="L742" t="s">
        <v>74</v>
      </c>
      <c r="M742" t="s">
        <v>2105</v>
      </c>
      <c r="N742" t="s">
        <v>99</v>
      </c>
      <c r="O742" t="s">
        <v>74</v>
      </c>
      <c r="P742" t="s">
        <v>74</v>
      </c>
      <c r="Q742" t="s">
        <v>74</v>
      </c>
      <c r="R742" t="s">
        <v>74</v>
      </c>
      <c r="S742" t="s">
        <v>74</v>
      </c>
      <c r="T742" t="s">
        <v>14114</v>
      </c>
      <c r="U742" t="s">
        <v>14115</v>
      </c>
      <c r="V742" t="s">
        <v>14116</v>
      </c>
      <c r="W742" t="s">
        <v>14117</v>
      </c>
      <c r="X742" t="s">
        <v>14118</v>
      </c>
      <c r="Y742" t="s">
        <v>14119</v>
      </c>
      <c r="Z742" t="s">
        <v>14120</v>
      </c>
      <c r="AA742" t="s">
        <v>14121</v>
      </c>
      <c r="AB742" t="s">
        <v>14122</v>
      </c>
      <c r="AC742" t="s">
        <v>74</v>
      </c>
      <c r="AD742" t="s">
        <v>74</v>
      </c>
      <c r="AE742" t="s">
        <v>74</v>
      </c>
      <c r="AF742" t="s">
        <v>74</v>
      </c>
      <c r="AG742">
        <v>34</v>
      </c>
      <c r="AH742">
        <v>2</v>
      </c>
      <c r="AI742">
        <v>4</v>
      </c>
      <c r="AJ742">
        <v>0</v>
      </c>
      <c r="AK742">
        <v>4</v>
      </c>
      <c r="AL742" t="s">
        <v>2114</v>
      </c>
      <c r="AM742" t="s">
        <v>2115</v>
      </c>
      <c r="AN742" t="s">
        <v>2116</v>
      </c>
      <c r="AO742" t="s">
        <v>14123</v>
      </c>
      <c r="AP742" t="s">
        <v>74</v>
      </c>
      <c r="AQ742" t="s">
        <v>74</v>
      </c>
      <c r="AR742" t="s">
        <v>14124</v>
      </c>
      <c r="AS742" t="s">
        <v>14125</v>
      </c>
      <c r="AT742" t="s">
        <v>13619</v>
      </c>
      <c r="AU742">
        <v>2014</v>
      </c>
      <c r="AV742">
        <v>57</v>
      </c>
      <c r="AW742">
        <v>11</v>
      </c>
      <c r="AX742" t="s">
        <v>74</v>
      </c>
      <c r="AY742" t="s">
        <v>74</v>
      </c>
      <c r="AZ742" t="s">
        <v>74</v>
      </c>
      <c r="BA742" t="s">
        <v>74</v>
      </c>
      <c r="BB742">
        <v>3502</v>
      </c>
      <c r="BC742">
        <v>3512</v>
      </c>
      <c r="BD742" t="s">
        <v>74</v>
      </c>
      <c r="BE742" t="s">
        <v>14126</v>
      </c>
      <c r="BF742" t="str">
        <f>HYPERLINK("http://dx.doi.org/10.6038/cjg20141102","http://dx.doi.org/10.6038/cjg20141102")</f>
        <v>http://dx.doi.org/10.6038/cjg20141102</v>
      </c>
      <c r="BG742" t="s">
        <v>74</v>
      </c>
      <c r="BH742" t="s">
        <v>74</v>
      </c>
      <c r="BI742">
        <v>11</v>
      </c>
      <c r="BJ742" t="s">
        <v>1902</v>
      </c>
      <c r="BK742" t="s">
        <v>91</v>
      </c>
      <c r="BL742" t="s">
        <v>1902</v>
      </c>
      <c r="BM742" t="s">
        <v>14127</v>
      </c>
      <c r="BN742" t="s">
        <v>74</v>
      </c>
      <c r="BO742" t="s">
        <v>74</v>
      </c>
      <c r="BP742" t="s">
        <v>74</v>
      </c>
      <c r="BQ742" t="s">
        <v>74</v>
      </c>
      <c r="BR742" t="s">
        <v>93</v>
      </c>
      <c r="BS742" t="s">
        <v>14128</v>
      </c>
      <c r="BT742" t="str">
        <f>HYPERLINK("https%3A%2F%2Fwww.webofscience.com%2Fwos%2Fwoscc%2Ffull-record%2FWOS:000345551200002","View Full Record in Web of Science")</f>
        <v>View Full Record in Web of Science</v>
      </c>
    </row>
    <row r="743" spans="1:72" x14ac:dyDescent="0.15">
      <c r="A743" t="s">
        <v>72</v>
      </c>
      <c r="B743" t="s">
        <v>14129</v>
      </c>
      <c r="C743" t="s">
        <v>74</v>
      </c>
      <c r="D743" t="s">
        <v>74</v>
      </c>
      <c r="E743" t="s">
        <v>74</v>
      </c>
      <c r="F743" t="s">
        <v>14130</v>
      </c>
      <c r="G743" t="s">
        <v>74</v>
      </c>
      <c r="H743" t="s">
        <v>74</v>
      </c>
      <c r="I743" t="s">
        <v>14131</v>
      </c>
      <c r="J743" t="s">
        <v>14132</v>
      </c>
      <c r="K743" t="s">
        <v>74</v>
      </c>
      <c r="L743" t="s">
        <v>74</v>
      </c>
      <c r="M743" t="s">
        <v>78</v>
      </c>
      <c r="N743" t="s">
        <v>99</v>
      </c>
      <c r="O743" t="s">
        <v>74</v>
      </c>
      <c r="P743" t="s">
        <v>74</v>
      </c>
      <c r="Q743" t="s">
        <v>74</v>
      </c>
      <c r="R743" t="s">
        <v>74</v>
      </c>
      <c r="S743" t="s">
        <v>74</v>
      </c>
      <c r="T743" t="s">
        <v>74</v>
      </c>
      <c r="U743" t="s">
        <v>14133</v>
      </c>
      <c r="V743" t="s">
        <v>14134</v>
      </c>
      <c r="W743" t="s">
        <v>14135</v>
      </c>
      <c r="X743" t="s">
        <v>14136</v>
      </c>
      <c r="Y743" t="s">
        <v>14137</v>
      </c>
      <c r="Z743" t="s">
        <v>14138</v>
      </c>
      <c r="AA743" t="s">
        <v>14139</v>
      </c>
      <c r="AB743" t="s">
        <v>74</v>
      </c>
      <c r="AC743" t="s">
        <v>14140</v>
      </c>
      <c r="AD743" t="s">
        <v>14140</v>
      </c>
      <c r="AE743" t="s">
        <v>14141</v>
      </c>
      <c r="AF743" t="s">
        <v>74</v>
      </c>
      <c r="AG743">
        <v>33</v>
      </c>
      <c r="AH743">
        <v>31</v>
      </c>
      <c r="AI743">
        <v>35</v>
      </c>
      <c r="AJ743">
        <v>0</v>
      </c>
      <c r="AK743">
        <v>23</v>
      </c>
      <c r="AL743" t="s">
        <v>6201</v>
      </c>
      <c r="AM743" t="s">
        <v>6202</v>
      </c>
      <c r="AN743" t="s">
        <v>6203</v>
      </c>
      <c r="AO743" t="s">
        <v>14142</v>
      </c>
      <c r="AP743" t="s">
        <v>14143</v>
      </c>
      <c r="AQ743" t="s">
        <v>74</v>
      </c>
      <c r="AR743" t="s">
        <v>14132</v>
      </c>
      <c r="AS743" t="s">
        <v>1954</v>
      </c>
      <c r="AT743" t="s">
        <v>13619</v>
      </c>
      <c r="AU743">
        <v>2014</v>
      </c>
      <c r="AV743">
        <v>42</v>
      </c>
      <c r="AW743">
        <v>11</v>
      </c>
      <c r="AX743" t="s">
        <v>74</v>
      </c>
      <c r="AY743" t="s">
        <v>74</v>
      </c>
      <c r="AZ743" t="s">
        <v>74</v>
      </c>
      <c r="BA743" t="s">
        <v>74</v>
      </c>
      <c r="BB743">
        <v>979</v>
      </c>
      <c r="BC743">
        <v>982</v>
      </c>
      <c r="BD743" t="s">
        <v>74</v>
      </c>
      <c r="BE743" t="s">
        <v>14144</v>
      </c>
      <c r="BF743" t="str">
        <f>HYPERLINK("http://dx.doi.org/10.1130/G35886.1","http://dx.doi.org/10.1130/G35886.1")</f>
        <v>http://dx.doi.org/10.1130/G35886.1</v>
      </c>
      <c r="BG743" t="s">
        <v>74</v>
      </c>
      <c r="BH743" t="s">
        <v>74</v>
      </c>
      <c r="BI743">
        <v>4</v>
      </c>
      <c r="BJ743" t="s">
        <v>1954</v>
      </c>
      <c r="BK743" t="s">
        <v>91</v>
      </c>
      <c r="BL743" t="s">
        <v>1954</v>
      </c>
      <c r="BM743" t="s">
        <v>14145</v>
      </c>
      <c r="BN743" t="s">
        <v>74</v>
      </c>
      <c r="BO743" t="s">
        <v>74</v>
      </c>
      <c r="BP743" t="s">
        <v>74</v>
      </c>
      <c r="BQ743" t="s">
        <v>74</v>
      </c>
      <c r="BR743" t="s">
        <v>93</v>
      </c>
      <c r="BS743" t="s">
        <v>14146</v>
      </c>
      <c r="BT743" t="str">
        <f>HYPERLINK("https%3A%2F%2Fwww.webofscience.com%2Fwos%2Fwoscc%2Ffull-record%2FWOS:000345440300013","View Full Record in Web of Science")</f>
        <v>View Full Record in Web of Science</v>
      </c>
    </row>
    <row r="744" spans="1:72" x14ac:dyDescent="0.15">
      <c r="A744" t="s">
        <v>72</v>
      </c>
      <c r="B744" t="s">
        <v>14147</v>
      </c>
      <c r="C744" t="s">
        <v>74</v>
      </c>
      <c r="D744" t="s">
        <v>74</v>
      </c>
      <c r="E744" t="s">
        <v>74</v>
      </c>
      <c r="F744" t="s">
        <v>14148</v>
      </c>
      <c r="G744" t="s">
        <v>74</v>
      </c>
      <c r="H744" t="s">
        <v>74</v>
      </c>
      <c r="I744" t="s">
        <v>14149</v>
      </c>
      <c r="J744" t="s">
        <v>9715</v>
      </c>
      <c r="K744" t="s">
        <v>74</v>
      </c>
      <c r="L744" t="s">
        <v>74</v>
      </c>
      <c r="M744" t="s">
        <v>78</v>
      </c>
      <c r="N744" t="s">
        <v>99</v>
      </c>
      <c r="O744" t="s">
        <v>74</v>
      </c>
      <c r="P744" t="s">
        <v>74</v>
      </c>
      <c r="Q744" t="s">
        <v>74</v>
      </c>
      <c r="R744" t="s">
        <v>74</v>
      </c>
      <c r="S744" t="s">
        <v>74</v>
      </c>
      <c r="T744" t="s">
        <v>14150</v>
      </c>
      <c r="U744" t="s">
        <v>14151</v>
      </c>
      <c r="V744" t="s">
        <v>14152</v>
      </c>
      <c r="W744" t="s">
        <v>14153</v>
      </c>
      <c r="X744" t="s">
        <v>14154</v>
      </c>
      <c r="Y744" t="s">
        <v>14155</v>
      </c>
      <c r="Z744" t="s">
        <v>14156</v>
      </c>
      <c r="AA744" t="s">
        <v>14157</v>
      </c>
      <c r="AB744" t="s">
        <v>14158</v>
      </c>
      <c r="AC744" t="s">
        <v>14159</v>
      </c>
      <c r="AD744" t="s">
        <v>14160</v>
      </c>
      <c r="AE744" t="s">
        <v>14161</v>
      </c>
      <c r="AF744" t="s">
        <v>74</v>
      </c>
      <c r="AG744">
        <v>55</v>
      </c>
      <c r="AH744">
        <v>16</v>
      </c>
      <c r="AI744">
        <v>19</v>
      </c>
      <c r="AJ744">
        <v>1</v>
      </c>
      <c r="AK744">
        <v>36</v>
      </c>
      <c r="AL744" t="s">
        <v>2640</v>
      </c>
      <c r="AM744" t="s">
        <v>1176</v>
      </c>
      <c r="AN744" t="s">
        <v>2641</v>
      </c>
      <c r="AO744" t="s">
        <v>9728</v>
      </c>
      <c r="AP744" t="s">
        <v>9729</v>
      </c>
      <c r="AQ744" t="s">
        <v>74</v>
      </c>
      <c r="AR744" t="s">
        <v>9730</v>
      </c>
      <c r="AS744" t="s">
        <v>9731</v>
      </c>
      <c r="AT744" t="s">
        <v>13619</v>
      </c>
      <c r="AU744">
        <v>2014</v>
      </c>
      <c r="AV744">
        <v>122</v>
      </c>
      <c r="AW744" t="s">
        <v>74</v>
      </c>
      <c r="AX744" t="s">
        <v>74</v>
      </c>
      <c r="AY744" t="s">
        <v>74</v>
      </c>
      <c r="AZ744" t="s">
        <v>74</v>
      </c>
      <c r="BA744" t="s">
        <v>74</v>
      </c>
      <c r="BB744">
        <v>140</v>
      </c>
      <c r="BC744">
        <v>150</v>
      </c>
      <c r="BD744" t="s">
        <v>74</v>
      </c>
      <c r="BE744" t="s">
        <v>14162</v>
      </c>
      <c r="BF744" t="str">
        <f>HYPERLINK("http://dx.doi.org/10.1016/j.gloplacha.2014.08.015","http://dx.doi.org/10.1016/j.gloplacha.2014.08.015")</f>
        <v>http://dx.doi.org/10.1016/j.gloplacha.2014.08.015</v>
      </c>
      <c r="BG744" t="s">
        <v>74</v>
      </c>
      <c r="BH744" t="s">
        <v>74</v>
      </c>
      <c r="BI744">
        <v>11</v>
      </c>
      <c r="BJ744" t="s">
        <v>372</v>
      </c>
      <c r="BK744" t="s">
        <v>91</v>
      </c>
      <c r="BL744" t="s">
        <v>373</v>
      </c>
      <c r="BM744" t="s">
        <v>14163</v>
      </c>
      <c r="BN744" t="s">
        <v>74</v>
      </c>
      <c r="BO744" t="s">
        <v>74</v>
      </c>
      <c r="BP744" t="s">
        <v>74</v>
      </c>
      <c r="BQ744" t="s">
        <v>74</v>
      </c>
      <c r="BR744" t="s">
        <v>93</v>
      </c>
      <c r="BS744" t="s">
        <v>14164</v>
      </c>
      <c r="BT744" t="str">
        <f>HYPERLINK("https%3A%2F%2Fwww.webofscience.com%2Fwos%2Fwoscc%2Ffull-record%2FWOS:000345488600012","View Full Record in Web of Science")</f>
        <v>View Full Record in Web of Science</v>
      </c>
    </row>
    <row r="745" spans="1:72" x14ac:dyDescent="0.15">
      <c r="A745" t="s">
        <v>72</v>
      </c>
      <c r="B745" t="s">
        <v>14165</v>
      </c>
      <c r="C745" t="s">
        <v>74</v>
      </c>
      <c r="D745" t="s">
        <v>74</v>
      </c>
      <c r="E745" t="s">
        <v>74</v>
      </c>
      <c r="F745" t="s">
        <v>14166</v>
      </c>
      <c r="G745" t="s">
        <v>74</v>
      </c>
      <c r="H745" t="s">
        <v>74</v>
      </c>
      <c r="I745" t="s">
        <v>14167</v>
      </c>
      <c r="J745" t="s">
        <v>14168</v>
      </c>
      <c r="K745" t="s">
        <v>74</v>
      </c>
      <c r="L745" t="s">
        <v>74</v>
      </c>
      <c r="M745" t="s">
        <v>78</v>
      </c>
      <c r="N745" t="s">
        <v>99</v>
      </c>
      <c r="O745" t="s">
        <v>74</v>
      </c>
      <c r="P745" t="s">
        <v>74</v>
      </c>
      <c r="Q745" t="s">
        <v>74</v>
      </c>
      <c r="R745" t="s">
        <v>74</v>
      </c>
      <c r="S745" t="s">
        <v>74</v>
      </c>
      <c r="T745" t="s">
        <v>14169</v>
      </c>
      <c r="U745" t="s">
        <v>14170</v>
      </c>
      <c r="V745" t="s">
        <v>14171</v>
      </c>
      <c r="W745" t="s">
        <v>14172</v>
      </c>
      <c r="X745" t="s">
        <v>14173</v>
      </c>
      <c r="Y745" t="s">
        <v>14174</v>
      </c>
      <c r="Z745" t="s">
        <v>14175</v>
      </c>
      <c r="AA745" t="s">
        <v>14176</v>
      </c>
      <c r="AB745" t="s">
        <v>14177</v>
      </c>
      <c r="AC745" t="s">
        <v>14178</v>
      </c>
      <c r="AD745" t="s">
        <v>14179</v>
      </c>
      <c r="AE745" t="s">
        <v>14180</v>
      </c>
      <c r="AF745" t="s">
        <v>74</v>
      </c>
      <c r="AG745">
        <v>37</v>
      </c>
      <c r="AH745">
        <v>17</v>
      </c>
      <c r="AI745">
        <v>22</v>
      </c>
      <c r="AJ745">
        <v>1</v>
      </c>
      <c r="AK745">
        <v>51</v>
      </c>
      <c r="AL745" t="s">
        <v>2114</v>
      </c>
      <c r="AM745" t="s">
        <v>2115</v>
      </c>
      <c r="AN745" t="s">
        <v>2116</v>
      </c>
      <c r="AO745" t="s">
        <v>14181</v>
      </c>
      <c r="AP745" t="s">
        <v>14182</v>
      </c>
      <c r="AQ745" t="s">
        <v>74</v>
      </c>
      <c r="AR745" t="s">
        <v>14183</v>
      </c>
      <c r="AS745" t="s">
        <v>14184</v>
      </c>
      <c r="AT745" t="s">
        <v>14185</v>
      </c>
      <c r="AU745">
        <v>2014</v>
      </c>
      <c r="AV745">
        <v>26</v>
      </c>
      <c r="AW745">
        <v>11</v>
      </c>
      <c r="AX745" t="s">
        <v>74</v>
      </c>
      <c r="AY745" t="s">
        <v>74</v>
      </c>
      <c r="AZ745" t="s">
        <v>74</v>
      </c>
      <c r="BA745" t="s">
        <v>74</v>
      </c>
      <c r="BB745">
        <v>2266</v>
      </c>
      <c r="BC745">
        <v>2276</v>
      </c>
      <c r="BD745" t="s">
        <v>74</v>
      </c>
      <c r="BE745" t="s">
        <v>14186</v>
      </c>
      <c r="BF745" t="str">
        <f>HYPERLINK("http://dx.doi.org/10.1016/j.jes.2014.09.007","http://dx.doi.org/10.1016/j.jes.2014.09.007")</f>
        <v>http://dx.doi.org/10.1016/j.jes.2014.09.007</v>
      </c>
      <c r="BG745" t="s">
        <v>74</v>
      </c>
      <c r="BH745" t="s">
        <v>74</v>
      </c>
      <c r="BI745">
        <v>11</v>
      </c>
      <c r="BJ745" t="s">
        <v>1611</v>
      </c>
      <c r="BK745" t="s">
        <v>91</v>
      </c>
      <c r="BL745" t="s">
        <v>395</v>
      </c>
      <c r="BM745" t="s">
        <v>14187</v>
      </c>
      <c r="BN745">
        <v>25458681</v>
      </c>
      <c r="BO745" t="s">
        <v>74</v>
      </c>
      <c r="BP745" t="s">
        <v>74</v>
      </c>
      <c r="BQ745" t="s">
        <v>74</v>
      </c>
      <c r="BR745" t="s">
        <v>93</v>
      </c>
      <c r="BS745" t="s">
        <v>14188</v>
      </c>
      <c r="BT745" t="str">
        <f>HYPERLINK("https%3A%2F%2Fwww.webofscience.com%2Fwos%2Fwoscc%2Ffull-record%2FWOS:000345551400012","View Full Record in Web of Science")</f>
        <v>View Full Record in Web of Science</v>
      </c>
    </row>
    <row r="746" spans="1:72" x14ac:dyDescent="0.15">
      <c r="A746" t="s">
        <v>72</v>
      </c>
      <c r="B746" t="s">
        <v>14189</v>
      </c>
      <c r="C746" t="s">
        <v>74</v>
      </c>
      <c r="D746" t="s">
        <v>74</v>
      </c>
      <c r="E746" t="s">
        <v>74</v>
      </c>
      <c r="F746" t="s">
        <v>14190</v>
      </c>
      <c r="G746" t="s">
        <v>74</v>
      </c>
      <c r="H746" t="s">
        <v>74</v>
      </c>
      <c r="I746" t="s">
        <v>14191</v>
      </c>
      <c r="J746" t="s">
        <v>2375</v>
      </c>
      <c r="K746" t="s">
        <v>74</v>
      </c>
      <c r="L746" t="s">
        <v>74</v>
      </c>
      <c r="M746" t="s">
        <v>78</v>
      </c>
      <c r="N746" t="s">
        <v>99</v>
      </c>
      <c r="O746" t="s">
        <v>74</v>
      </c>
      <c r="P746" t="s">
        <v>74</v>
      </c>
      <c r="Q746" t="s">
        <v>74</v>
      </c>
      <c r="R746" t="s">
        <v>74</v>
      </c>
      <c r="S746" t="s">
        <v>74</v>
      </c>
      <c r="T746" t="s">
        <v>74</v>
      </c>
      <c r="U746" t="s">
        <v>14192</v>
      </c>
      <c r="V746" t="s">
        <v>14193</v>
      </c>
      <c r="W746" t="s">
        <v>14194</v>
      </c>
      <c r="X746" t="s">
        <v>14195</v>
      </c>
      <c r="Y746" t="s">
        <v>14196</v>
      </c>
      <c r="Z746" t="s">
        <v>14197</v>
      </c>
      <c r="AA746" t="s">
        <v>14198</v>
      </c>
      <c r="AB746" t="s">
        <v>14199</v>
      </c>
      <c r="AC746" t="s">
        <v>14200</v>
      </c>
      <c r="AD746" t="s">
        <v>14201</v>
      </c>
      <c r="AE746" t="s">
        <v>14202</v>
      </c>
      <c r="AF746" t="s">
        <v>74</v>
      </c>
      <c r="AG746">
        <v>50</v>
      </c>
      <c r="AH746">
        <v>52</v>
      </c>
      <c r="AI746">
        <v>59</v>
      </c>
      <c r="AJ746">
        <v>5</v>
      </c>
      <c r="AK746">
        <v>127</v>
      </c>
      <c r="AL746" t="s">
        <v>2006</v>
      </c>
      <c r="AM746" t="s">
        <v>2007</v>
      </c>
      <c r="AN746" t="s">
        <v>2008</v>
      </c>
      <c r="AO746" t="s">
        <v>2387</v>
      </c>
      <c r="AP746" t="s">
        <v>2388</v>
      </c>
      <c r="AQ746" t="s">
        <v>74</v>
      </c>
      <c r="AR746" t="s">
        <v>2389</v>
      </c>
      <c r="AS746" t="s">
        <v>2390</v>
      </c>
      <c r="AT746" t="s">
        <v>13619</v>
      </c>
      <c r="AU746">
        <v>2014</v>
      </c>
      <c r="AV746">
        <v>59</v>
      </c>
      <c r="AW746">
        <v>6</v>
      </c>
      <c r="AX746" t="s">
        <v>74</v>
      </c>
      <c r="AY746" t="s">
        <v>74</v>
      </c>
      <c r="AZ746" t="s">
        <v>74</v>
      </c>
      <c r="BA746" t="s">
        <v>74</v>
      </c>
      <c r="BB746">
        <v>1919</v>
      </c>
      <c r="BC746">
        <v>1931</v>
      </c>
      <c r="BD746" t="s">
        <v>74</v>
      </c>
      <c r="BE746" t="s">
        <v>14203</v>
      </c>
      <c r="BF746" t="str">
        <f>HYPERLINK("http://dx.doi.org/10.4319/lo.2014.59.6.1919","http://dx.doi.org/10.4319/lo.2014.59.6.1919")</f>
        <v>http://dx.doi.org/10.4319/lo.2014.59.6.1919</v>
      </c>
      <c r="BG746" t="s">
        <v>74</v>
      </c>
      <c r="BH746" t="s">
        <v>74</v>
      </c>
      <c r="BI746">
        <v>13</v>
      </c>
      <c r="BJ746" t="s">
        <v>2392</v>
      </c>
      <c r="BK746" t="s">
        <v>91</v>
      </c>
      <c r="BL746" t="s">
        <v>2393</v>
      </c>
      <c r="BM746" t="s">
        <v>14204</v>
      </c>
      <c r="BN746" t="s">
        <v>74</v>
      </c>
      <c r="BO746" t="s">
        <v>375</v>
      </c>
      <c r="BP746" t="s">
        <v>74</v>
      </c>
      <c r="BQ746" t="s">
        <v>74</v>
      </c>
      <c r="BR746" t="s">
        <v>93</v>
      </c>
      <c r="BS746" t="s">
        <v>14205</v>
      </c>
      <c r="BT746" t="str">
        <f>HYPERLINK("https%3A%2F%2Fwww.webofscience.com%2Fwos%2Fwoscc%2Ffull-record%2FWOS:000345462700009","View Full Record in Web of Science")</f>
        <v>View Full Record in Web of Science</v>
      </c>
    </row>
    <row r="747" spans="1:72" x14ac:dyDescent="0.15">
      <c r="A747" t="s">
        <v>72</v>
      </c>
      <c r="B747" t="s">
        <v>14206</v>
      </c>
      <c r="C747" t="s">
        <v>74</v>
      </c>
      <c r="D747" t="s">
        <v>74</v>
      </c>
      <c r="E747" t="s">
        <v>74</v>
      </c>
      <c r="F747" t="s">
        <v>14207</v>
      </c>
      <c r="G747" t="s">
        <v>74</v>
      </c>
      <c r="H747" t="s">
        <v>74</v>
      </c>
      <c r="I747" t="s">
        <v>14208</v>
      </c>
      <c r="J747" t="s">
        <v>14209</v>
      </c>
      <c r="K747" t="s">
        <v>74</v>
      </c>
      <c r="L747" t="s">
        <v>74</v>
      </c>
      <c r="M747" t="s">
        <v>78</v>
      </c>
      <c r="N747" t="s">
        <v>1845</v>
      </c>
      <c r="O747" t="s">
        <v>14210</v>
      </c>
      <c r="P747" t="s">
        <v>14211</v>
      </c>
      <c r="Q747" t="s">
        <v>14212</v>
      </c>
      <c r="R747" t="s">
        <v>74</v>
      </c>
      <c r="S747" t="s">
        <v>74</v>
      </c>
      <c r="T747" t="s">
        <v>74</v>
      </c>
      <c r="U747" t="s">
        <v>14213</v>
      </c>
      <c r="V747" t="s">
        <v>14214</v>
      </c>
      <c r="W747" t="s">
        <v>14215</v>
      </c>
      <c r="X747" t="s">
        <v>14216</v>
      </c>
      <c r="Y747" t="s">
        <v>14217</v>
      </c>
      <c r="Z747" t="s">
        <v>74</v>
      </c>
      <c r="AA747" t="s">
        <v>14218</v>
      </c>
      <c r="AB747" t="s">
        <v>14219</v>
      </c>
      <c r="AC747" t="s">
        <v>14220</v>
      </c>
      <c r="AD747" t="s">
        <v>14221</v>
      </c>
      <c r="AE747" t="s">
        <v>14222</v>
      </c>
      <c r="AF747" t="s">
        <v>74</v>
      </c>
      <c r="AG747">
        <v>34</v>
      </c>
      <c r="AH747">
        <v>13</v>
      </c>
      <c r="AI747">
        <v>14</v>
      </c>
      <c r="AJ747">
        <v>0</v>
      </c>
      <c r="AK747">
        <v>30</v>
      </c>
      <c r="AL747" t="s">
        <v>10130</v>
      </c>
      <c r="AM747" t="s">
        <v>2584</v>
      </c>
      <c r="AN747" t="s">
        <v>10131</v>
      </c>
      <c r="AO747" t="s">
        <v>14223</v>
      </c>
      <c r="AP747" t="s">
        <v>14224</v>
      </c>
      <c r="AQ747" t="s">
        <v>74</v>
      </c>
      <c r="AR747" t="s">
        <v>14225</v>
      </c>
      <c r="AS747" t="s">
        <v>14226</v>
      </c>
      <c r="AT747" t="s">
        <v>13619</v>
      </c>
      <c r="AU747">
        <v>2014</v>
      </c>
      <c r="AV747">
        <v>85</v>
      </c>
      <c r="AW747">
        <v>11</v>
      </c>
      <c r="AX747" t="s">
        <v>74</v>
      </c>
      <c r="AY747" t="s">
        <v>74</v>
      </c>
      <c r="AZ747" t="s">
        <v>74</v>
      </c>
      <c r="BA747" t="s">
        <v>74</v>
      </c>
      <c r="BB747" t="s">
        <v>74</v>
      </c>
      <c r="BC747" t="s">
        <v>74</v>
      </c>
      <c r="BD747">
        <v>111301</v>
      </c>
      <c r="BE747" t="s">
        <v>14227</v>
      </c>
      <c r="BF747" t="str">
        <f>HYPERLINK("http://dx.doi.org/10.1063/1.4901018","http://dx.doi.org/10.1063/1.4901018")</f>
        <v>http://dx.doi.org/10.1063/1.4901018</v>
      </c>
      <c r="BG747" t="s">
        <v>74</v>
      </c>
      <c r="BH747" t="s">
        <v>74</v>
      </c>
      <c r="BI747">
        <v>8</v>
      </c>
      <c r="BJ747" t="s">
        <v>14228</v>
      </c>
      <c r="BK747" t="s">
        <v>1862</v>
      </c>
      <c r="BL747" t="s">
        <v>14229</v>
      </c>
      <c r="BM747" t="s">
        <v>14230</v>
      </c>
      <c r="BN747">
        <v>25430089</v>
      </c>
      <c r="BO747" t="s">
        <v>74</v>
      </c>
      <c r="BP747" t="s">
        <v>74</v>
      </c>
      <c r="BQ747" t="s">
        <v>74</v>
      </c>
      <c r="BR747" t="s">
        <v>93</v>
      </c>
      <c r="BS747" t="s">
        <v>14231</v>
      </c>
      <c r="BT747" t="str">
        <f>HYPERLINK("https%3A%2F%2Fwww.webofscience.com%2Fwos%2Fwoscc%2Ffull-record%2FWOS:000345646000238","View Full Record in Web of Science")</f>
        <v>View Full Record in Web of Science</v>
      </c>
    </row>
    <row r="748" spans="1:72" x14ac:dyDescent="0.15">
      <c r="A748" t="s">
        <v>72</v>
      </c>
      <c r="B748" t="s">
        <v>14232</v>
      </c>
      <c r="C748" t="s">
        <v>74</v>
      </c>
      <c r="D748" t="s">
        <v>74</v>
      </c>
      <c r="E748" t="s">
        <v>74</v>
      </c>
      <c r="F748" t="s">
        <v>14233</v>
      </c>
      <c r="G748" t="s">
        <v>74</v>
      </c>
      <c r="H748" t="s">
        <v>74</v>
      </c>
      <c r="I748" t="s">
        <v>14234</v>
      </c>
      <c r="J748" t="s">
        <v>3253</v>
      </c>
      <c r="K748" t="s">
        <v>74</v>
      </c>
      <c r="L748" t="s">
        <v>74</v>
      </c>
      <c r="M748" t="s">
        <v>78</v>
      </c>
      <c r="N748" t="s">
        <v>99</v>
      </c>
      <c r="O748" t="s">
        <v>74</v>
      </c>
      <c r="P748" t="s">
        <v>74</v>
      </c>
      <c r="Q748" t="s">
        <v>74</v>
      </c>
      <c r="R748" t="s">
        <v>74</v>
      </c>
      <c r="S748" t="s">
        <v>74</v>
      </c>
      <c r="T748" t="s">
        <v>74</v>
      </c>
      <c r="U748" t="s">
        <v>14235</v>
      </c>
      <c r="V748" t="s">
        <v>14236</v>
      </c>
      <c r="W748" t="s">
        <v>14237</v>
      </c>
      <c r="X748" t="s">
        <v>2575</v>
      </c>
      <c r="Y748" t="s">
        <v>14238</v>
      </c>
      <c r="Z748" t="s">
        <v>14239</v>
      </c>
      <c r="AA748" t="s">
        <v>74</v>
      </c>
      <c r="AB748" t="s">
        <v>14240</v>
      </c>
      <c r="AC748" t="s">
        <v>14241</v>
      </c>
      <c r="AD748" t="s">
        <v>14242</v>
      </c>
      <c r="AE748" t="s">
        <v>14243</v>
      </c>
      <c r="AF748" t="s">
        <v>74</v>
      </c>
      <c r="AG748">
        <v>72</v>
      </c>
      <c r="AH748">
        <v>15</v>
      </c>
      <c r="AI748">
        <v>17</v>
      </c>
      <c r="AJ748">
        <v>0</v>
      </c>
      <c r="AK748">
        <v>28</v>
      </c>
      <c r="AL748" t="s">
        <v>2439</v>
      </c>
      <c r="AM748" t="s">
        <v>1411</v>
      </c>
      <c r="AN748" t="s">
        <v>2440</v>
      </c>
      <c r="AO748" t="s">
        <v>3265</v>
      </c>
      <c r="AP748" t="s">
        <v>3266</v>
      </c>
      <c r="AQ748" t="s">
        <v>74</v>
      </c>
      <c r="AR748" t="s">
        <v>3267</v>
      </c>
      <c r="AS748" t="s">
        <v>3268</v>
      </c>
      <c r="AT748" t="s">
        <v>14185</v>
      </c>
      <c r="AU748">
        <v>2014</v>
      </c>
      <c r="AV748">
        <v>144</v>
      </c>
      <c r="AW748" t="s">
        <v>74</v>
      </c>
      <c r="AX748" t="s">
        <v>74</v>
      </c>
      <c r="AY748" t="s">
        <v>74</v>
      </c>
      <c r="AZ748" t="s">
        <v>74</v>
      </c>
      <c r="BA748" t="s">
        <v>74</v>
      </c>
      <c r="BB748">
        <v>238</v>
      </c>
      <c r="BC748">
        <v>257</v>
      </c>
      <c r="BD748" t="s">
        <v>74</v>
      </c>
      <c r="BE748" t="s">
        <v>14244</v>
      </c>
      <c r="BF748" t="str">
        <f>HYPERLINK("http://dx.doi.org/10.1016/j.gca.2014.08.024","http://dx.doi.org/10.1016/j.gca.2014.08.024")</f>
        <v>http://dx.doi.org/10.1016/j.gca.2014.08.024</v>
      </c>
      <c r="BG748" t="s">
        <v>74</v>
      </c>
      <c r="BH748" t="s">
        <v>74</v>
      </c>
      <c r="BI748">
        <v>20</v>
      </c>
      <c r="BJ748" t="s">
        <v>1902</v>
      </c>
      <c r="BK748" t="s">
        <v>91</v>
      </c>
      <c r="BL748" t="s">
        <v>1902</v>
      </c>
      <c r="BM748" t="s">
        <v>14245</v>
      </c>
      <c r="BN748" t="s">
        <v>74</v>
      </c>
      <c r="BO748" t="s">
        <v>74</v>
      </c>
      <c r="BP748" t="s">
        <v>74</v>
      </c>
      <c r="BQ748" t="s">
        <v>74</v>
      </c>
      <c r="BR748" t="s">
        <v>93</v>
      </c>
      <c r="BS748" t="s">
        <v>14246</v>
      </c>
      <c r="BT748" t="str">
        <f>HYPERLINK("https%3A%2F%2Fwww.webofscience.com%2Fwos%2Fwoscc%2Ffull-record%2FWOS:000344945600015","View Full Record in Web of Science")</f>
        <v>View Full Record in Web of Science</v>
      </c>
    </row>
    <row r="749" spans="1:72" x14ac:dyDescent="0.15">
      <c r="A749" t="s">
        <v>72</v>
      </c>
      <c r="B749" t="s">
        <v>14247</v>
      </c>
      <c r="C749" t="s">
        <v>74</v>
      </c>
      <c r="D749" t="s">
        <v>74</v>
      </c>
      <c r="E749" t="s">
        <v>74</v>
      </c>
      <c r="F749" t="s">
        <v>14248</v>
      </c>
      <c r="G749" t="s">
        <v>74</v>
      </c>
      <c r="H749" t="s">
        <v>74</v>
      </c>
      <c r="I749" t="s">
        <v>14249</v>
      </c>
      <c r="J749" t="s">
        <v>2280</v>
      </c>
      <c r="K749" t="s">
        <v>74</v>
      </c>
      <c r="L749" t="s">
        <v>74</v>
      </c>
      <c r="M749" t="s">
        <v>78</v>
      </c>
      <c r="N749" t="s">
        <v>99</v>
      </c>
      <c r="O749" t="s">
        <v>74</v>
      </c>
      <c r="P749" t="s">
        <v>74</v>
      </c>
      <c r="Q749" t="s">
        <v>74</v>
      </c>
      <c r="R749" t="s">
        <v>74</v>
      </c>
      <c r="S749" t="s">
        <v>74</v>
      </c>
      <c r="T749" t="s">
        <v>74</v>
      </c>
      <c r="U749" t="s">
        <v>74</v>
      </c>
      <c r="V749" t="s">
        <v>14250</v>
      </c>
      <c r="W749" t="s">
        <v>14251</v>
      </c>
      <c r="X749" t="s">
        <v>2186</v>
      </c>
      <c r="Y749" t="s">
        <v>14252</v>
      </c>
      <c r="Z749" t="s">
        <v>14253</v>
      </c>
      <c r="AA749" t="s">
        <v>14254</v>
      </c>
      <c r="AB749" t="s">
        <v>14255</v>
      </c>
      <c r="AC749" t="s">
        <v>74</v>
      </c>
      <c r="AD749" t="s">
        <v>74</v>
      </c>
      <c r="AE749" t="s">
        <v>74</v>
      </c>
      <c r="AF749" t="s">
        <v>74</v>
      </c>
      <c r="AG749">
        <v>9</v>
      </c>
      <c r="AH749">
        <v>0</v>
      </c>
      <c r="AI749">
        <v>0</v>
      </c>
      <c r="AJ749">
        <v>0</v>
      </c>
      <c r="AK749">
        <v>2</v>
      </c>
      <c r="AL749" t="s">
        <v>2132</v>
      </c>
      <c r="AM749" t="s">
        <v>342</v>
      </c>
      <c r="AN749" t="s">
        <v>2133</v>
      </c>
      <c r="AO749" t="s">
        <v>2291</v>
      </c>
      <c r="AP749" t="s">
        <v>2292</v>
      </c>
      <c r="AQ749" t="s">
        <v>74</v>
      </c>
      <c r="AR749" t="s">
        <v>2293</v>
      </c>
      <c r="AS749" t="s">
        <v>2294</v>
      </c>
      <c r="AT749" t="s">
        <v>13619</v>
      </c>
      <c r="AU749">
        <v>2014</v>
      </c>
      <c r="AV749">
        <v>54</v>
      </c>
      <c r="AW749">
        <v>6</v>
      </c>
      <c r="AX749" t="s">
        <v>74</v>
      </c>
      <c r="AY749" t="s">
        <v>74</v>
      </c>
      <c r="AZ749" t="s">
        <v>74</v>
      </c>
      <c r="BA749" t="s">
        <v>74</v>
      </c>
      <c r="BB749">
        <v>746</v>
      </c>
      <c r="BC749">
        <v>749</v>
      </c>
      <c r="BD749" t="s">
        <v>74</v>
      </c>
      <c r="BE749" t="s">
        <v>14256</v>
      </c>
      <c r="BF749" t="str">
        <f>HYPERLINK("http://dx.doi.org/10.1134/S0016793214050090","http://dx.doi.org/10.1134/S0016793214050090")</f>
        <v>http://dx.doi.org/10.1134/S0016793214050090</v>
      </c>
      <c r="BG749" t="s">
        <v>74</v>
      </c>
      <c r="BH749" t="s">
        <v>74</v>
      </c>
      <c r="BI749">
        <v>4</v>
      </c>
      <c r="BJ749" t="s">
        <v>1902</v>
      </c>
      <c r="BK749" t="s">
        <v>91</v>
      </c>
      <c r="BL749" t="s">
        <v>1902</v>
      </c>
      <c r="BM749" t="s">
        <v>14257</v>
      </c>
      <c r="BN749" t="s">
        <v>74</v>
      </c>
      <c r="BO749" t="s">
        <v>74</v>
      </c>
      <c r="BP749" t="s">
        <v>74</v>
      </c>
      <c r="BQ749" t="s">
        <v>74</v>
      </c>
      <c r="BR749" t="s">
        <v>93</v>
      </c>
      <c r="BS749" t="s">
        <v>14258</v>
      </c>
      <c r="BT749" t="str">
        <f>HYPERLINK("https%3A%2F%2Fwww.webofscience.com%2Fwos%2Fwoscc%2Ffull-record%2FWOS:000345098100010","View Full Record in Web of Science")</f>
        <v>View Full Record in Web of Science</v>
      </c>
    </row>
    <row r="750" spans="1:72" x14ac:dyDescent="0.15">
      <c r="A750" t="s">
        <v>72</v>
      </c>
      <c r="B750" t="s">
        <v>14259</v>
      </c>
      <c r="C750" t="s">
        <v>74</v>
      </c>
      <c r="D750" t="s">
        <v>74</v>
      </c>
      <c r="E750" t="s">
        <v>74</v>
      </c>
      <c r="F750" t="s">
        <v>14260</v>
      </c>
      <c r="G750" t="s">
        <v>74</v>
      </c>
      <c r="H750" t="s">
        <v>74</v>
      </c>
      <c r="I750" t="s">
        <v>14261</v>
      </c>
      <c r="J750" t="s">
        <v>2280</v>
      </c>
      <c r="K750" t="s">
        <v>74</v>
      </c>
      <c r="L750" t="s">
        <v>74</v>
      </c>
      <c r="M750" t="s">
        <v>78</v>
      </c>
      <c r="N750" t="s">
        <v>99</v>
      </c>
      <c r="O750" t="s">
        <v>74</v>
      </c>
      <c r="P750" t="s">
        <v>74</v>
      </c>
      <c r="Q750" t="s">
        <v>74</v>
      </c>
      <c r="R750" t="s">
        <v>74</v>
      </c>
      <c r="S750" t="s">
        <v>74</v>
      </c>
      <c r="T750" t="s">
        <v>74</v>
      </c>
      <c r="U750" t="s">
        <v>14262</v>
      </c>
      <c r="V750" t="s">
        <v>14263</v>
      </c>
      <c r="W750" t="s">
        <v>14264</v>
      </c>
      <c r="X750" t="s">
        <v>14265</v>
      </c>
      <c r="Y750" t="s">
        <v>14266</v>
      </c>
      <c r="Z750" t="s">
        <v>14267</v>
      </c>
      <c r="AA750" t="s">
        <v>14268</v>
      </c>
      <c r="AB750" t="s">
        <v>74</v>
      </c>
      <c r="AC750" t="s">
        <v>74</v>
      </c>
      <c r="AD750" t="s">
        <v>74</v>
      </c>
      <c r="AE750" t="s">
        <v>74</v>
      </c>
      <c r="AF750" t="s">
        <v>74</v>
      </c>
      <c r="AG750">
        <v>27</v>
      </c>
      <c r="AH750">
        <v>0</v>
      </c>
      <c r="AI750">
        <v>0</v>
      </c>
      <c r="AJ750">
        <v>0</v>
      </c>
      <c r="AK750">
        <v>1</v>
      </c>
      <c r="AL750" t="s">
        <v>2132</v>
      </c>
      <c r="AM750" t="s">
        <v>342</v>
      </c>
      <c r="AN750" t="s">
        <v>2133</v>
      </c>
      <c r="AO750" t="s">
        <v>2291</v>
      </c>
      <c r="AP750" t="s">
        <v>2292</v>
      </c>
      <c r="AQ750" t="s">
        <v>74</v>
      </c>
      <c r="AR750" t="s">
        <v>2293</v>
      </c>
      <c r="AS750" t="s">
        <v>2294</v>
      </c>
      <c r="AT750" t="s">
        <v>13619</v>
      </c>
      <c r="AU750">
        <v>2014</v>
      </c>
      <c r="AV750">
        <v>54</v>
      </c>
      <c r="AW750">
        <v>6</v>
      </c>
      <c r="AX750" t="s">
        <v>74</v>
      </c>
      <c r="AY750" t="s">
        <v>74</v>
      </c>
      <c r="AZ750" t="s">
        <v>74</v>
      </c>
      <c r="BA750" t="s">
        <v>74</v>
      </c>
      <c r="BB750">
        <v>780</v>
      </c>
      <c r="BC750">
        <v>790</v>
      </c>
      <c r="BD750" t="s">
        <v>74</v>
      </c>
      <c r="BE750" t="s">
        <v>14269</v>
      </c>
      <c r="BF750" t="str">
        <f>HYPERLINK("http://dx.doi.org/10.1134/S0016793214060206","http://dx.doi.org/10.1134/S0016793214060206")</f>
        <v>http://dx.doi.org/10.1134/S0016793214060206</v>
      </c>
      <c r="BG750" t="s">
        <v>74</v>
      </c>
      <c r="BH750" t="s">
        <v>74</v>
      </c>
      <c r="BI750">
        <v>11</v>
      </c>
      <c r="BJ750" t="s">
        <v>1902</v>
      </c>
      <c r="BK750" t="s">
        <v>91</v>
      </c>
      <c r="BL750" t="s">
        <v>1902</v>
      </c>
      <c r="BM750" t="s">
        <v>14257</v>
      </c>
      <c r="BN750" t="s">
        <v>74</v>
      </c>
      <c r="BO750" t="s">
        <v>74</v>
      </c>
      <c r="BP750" t="s">
        <v>74</v>
      </c>
      <c r="BQ750" t="s">
        <v>74</v>
      </c>
      <c r="BR750" t="s">
        <v>93</v>
      </c>
      <c r="BS750" t="s">
        <v>14270</v>
      </c>
      <c r="BT750" t="str">
        <f>HYPERLINK("https%3A%2F%2Fwww.webofscience.com%2Fwos%2Fwoscc%2Ffull-record%2FWOS:000345098100014","View Full Record in Web of Science")</f>
        <v>View Full Record in Web of Science</v>
      </c>
    </row>
    <row r="751" spans="1:72" x14ac:dyDescent="0.15">
      <c r="A751" t="s">
        <v>72</v>
      </c>
      <c r="B751" t="s">
        <v>14271</v>
      </c>
      <c r="C751" t="s">
        <v>74</v>
      </c>
      <c r="D751" t="s">
        <v>74</v>
      </c>
      <c r="E751" t="s">
        <v>74</v>
      </c>
      <c r="F751" t="s">
        <v>14272</v>
      </c>
      <c r="G751" t="s">
        <v>74</v>
      </c>
      <c r="H751" t="s">
        <v>74</v>
      </c>
      <c r="I751" t="s">
        <v>14273</v>
      </c>
      <c r="J751" t="s">
        <v>2327</v>
      </c>
      <c r="K751" t="s">
        <v>74</v>
      </c>
      <c r="L751" t="s">
        <v>74</v>
      </c>
      <c r="M751" t="s">
        <v>78</v>
      </c>
      <c r="N751" t="s">
        <v>99</v>
      </c>
      <c r="O751" t="s">
        <v>74</v>
      </c>
      <c r="P751" t="s">
        <v>74</v>
      </c>
      <c r="Q751" t="s">
        <v>74</v>
      </c>
      <c r="R751" t="s">
        <v>74</v>
      </c>
      <c r="S751" t="s">
        <v>74</v>
      </c>
      <c r="T751" t="s">
        <v>14274</v>
      </c>
      <c r="U751" t="s">
        <v>14275</v>
      </c>
      <c r="V751" t="s">
        <v>14276</v>
      </c>
      <c r="W751" t="s">
        <v>14277</v>
      </c>
      <c r="X751" t="s">
        <v>14278</v>
      </c>
      <c r="Y751" t="s">
        <v>14279</v>
      </c>
      <c r="Z751" t="s">
        <v>14280</v>
      </c>
      <c r="AA751" t="s">
        <v>74</v>
      </c>
      <c r="AB751" t="s">
        <v>74</v>
      </c>
      <c r="AC751" t="s">
        <v>14281</v>
      </c>
      <c r="AD751" t="s">
        <v>14282</v>
      </c>
      <c r="AE751" t="s">
        <v>14283</v>
      </c>
      <c r="AF751" t="s">
        <v>74</v>
      </c>
      <c r="AG751">
        <v>67</v>
      </c>
      <c r="AH751">
        <v>9</v>
      </c>
      <c r="AI751">
        <v>11</v>
      </c>
      <c r="AJ751">
        <v>3</v>
      </c>
      <c r="AK751">
        <v>15</v>
      </c>
      <c r="AL751" t="s">
        <v>1895</v>
      </c>
      <c r="AM751" t="s">
        <v>1411</v>
      </c>
      <c r="AN751" t="s">
        <v>1896</v>
      </c>
      <c r="AO751" t="s">
        <v>2339</v>
      </c>
      <c r="AP751" t="s">
        <v>2340</v>
      </c>
      <c r="AQ751" t="s">
        <v>74</v>
      </c>
      <c r="AR751" t="s">
        <v>2341</v>
      </c>
      <c r="AS751" t="s">
        <v>2342</v>
      </c>
      <c r="AT751" t="s">
        <v>13619</v>
      </c>
      <c r="AU751">
        <v>2014</v>
      </c>
      <c r="AV751">
        <v>34</v>
      </c>
      <c r="AW751">
        <v>6</v>
      </c>
      <c r="AX751" t="s">
        <v>74</v>
      </c>
      <c r="AY751" t="s">
        <v>74</v>
      </c>
      <c r="AZ751" t="s">
        <v>74</v>
      </c>
      <c r="BA751" t="s">
        <v>74</v>
      </c>
      <c r="BB751">
        <v>782</v>
      </c>
      <c r="BC751">
        <v>794</v>
      </c>
      <c r="BD751" t="s">
        <v>74</v>
      </c>
      <c r="BE751" t="s">
        <v>14284</v>
      </c>
      <c r="BF751" t="str">
        <f>HYPERLINK("http://dx.doi.org/10.1163/1937240X-00002276","http://dx.doi.org/10.1163/1937240X-00002276")</f>
        <v>http://dx.doi.org/10.1163/1937240X-00002276</v>
      </c>
      <c r="BG751" t="s">
        <v>74</v>
      </c>
      <c r="BH751" t="s">
        <v>74</v>
      </c>
      <c r="BI751">
        <v>13</v>
      </c>
      <c r="BJ751" t="s">
        <v>2344</v>
      </c>
      <c r="BK751" t="s">
        <v>91</v>
      </c>
      <c r="BL751" t="s">
        <v>2344</v>
      </c>
      <c r="BM751" t="s">
        <v>14285</v>
      </c>
      <c r="BN751" t="s">
        <v>74</v>
      </c>
      <c r="BO751" t="s">
        <v>375</v>
      </c>
      <c r="BP751" t="s">
        <v>74</v>
      </c>
      <c r="BQ751" t="s">
        <v>74</v>
      </c>
      <c r="BR751" t="s">
        <v>93</v>
      </c>
      <c r="BS751" t="s">
        <v>14286</v>
      </c>
      <c r="BT751" t="str">
        <f>HYPERLINK("https%3A%2F%2Fwww.webofscience.com%2Fwos%2Fwoscc%2Ffull-record%2FWOS:000345195800011","View Full Record in Web of Science")</f>
        <v>View Full Record in Web of Science</v>
      </c>
    </row>
    <row r="752" spans="1:72" x14ac:dyDescent="0.15">
      <c r="A752" t="s">
        <v>72</v>
      </c>
      <c r="B752" t="s">
        <v>14287</v>
      </c>
      <c r="C752" t="s">
        <v>74</v>
      </c>
      <c r="D752" t="s">
        <v>74</v>
      </c>
      <c r="E752" t="s">
        <v>74</v>
      </c>
      <c r="F752" t="s">
        <v>14288</v>
      </c>
      <c r="G752" t="s">
        <v>74</v>
      </c>
      <c r="H752" t="s">
        <v>74</v>
      </c>
      <c r="I752" t="s">
        <v>14289</v>
      </c>
      <c r="J752" t="s">
        <v>2350</v>
      </c>
      <c r="K752" t="s">
        <v>74</v>
      </c>
      <c r="L752" t="s">
        <v>74</v>
      </c>
      <c r="M752" t="s">
        <v>78</v>
      </c>
      <c r="N752" t="s">
        <v>99</v>
      </c>
      <c r="O752" t="s">
        <v>74</v>
      </c>
      <c r="P752" t="s">
        <v>74</v>
      </c>
      <c r="Q752" t="s">
        <v>74</v>
      </c>
      <c r="R752" t="s">
        <v>74</v>
      </c>
      <c r="S752" t="s">
        <v>74</v>
      </c>
      <c r="T752" t="s">
        <v>14290</v>
      </c>
      <c r="U752" t="s">
        <v>14291</v>
      </c>
      <c r="V752" t="s">
        <v>14292</v>
      </c>
      <c r="W752" t="s">
        <v>14293</v>
      </c>
      <c r="X752" t="s">
        <v>1406</v>
      </c>
      <c r="Y752" t="s">
        <v>14294</v>
      </c>
      <c r="Z752" t="s">
        <v>14295</v>
      </c>
      <c r="AA752" t="s">
        <v>14296</v>
      </c>
      <c r="AB752" t="s">
        <v>14297</v>
      </c>
      <c r="AC752" t="s">
        <v>74</v>
      </c>
      <c r="AD752" t="s">
        <v>74</v>
      </c>
      <c r="AE752" t="s">
        <v>74</v>
      </c>
      <c r="AF752" t="s">
        <v>74</v>
      </c>
      <c r="AG752">
        <v>102</v>
      </c>
      <c r="AH752">
        <v>7</v>
      </c>
      <c r="AI752">
        <v>8</v>
      </c>
      <c r="AJ752">
        <v>1</v>
      </c>
      <c r="AK752">
        <v>33</v>
      </c>
      <c r="AL752" t="s">
        <v>2006</v>
      </c>
      <c r="AM752" t="s">
        <v>2007</v>
      </c>
      <c r="AN752" t="s">
        <v>2008</v>
      </c>
      <c r="AO752" t="s">
        <v>2363</v>
      </c>
      <c r="AP752" t="s">
        <v>2364</v>
      </c>
      <c r="AQ752" t="s">
        <v>74</v>
      </c>
      <c r="AR752" t="s">
        <v>2365</v>
      </c>
      <c r="AS752" t="s">
        <v>2366</v>
      </c>
      <c r="AT752" t="s">
        <v>13619</v>
      </c>
      <c r="AU752">
        <v>2014</v>
      </c>
      <c r="AV752">
        <v>49</v>
      </c>
      <c r="AW752">
        <v>11</v>
      </c>
      <c r="AX752" t="s">
        <v>74</v>
      </c>
      <c r="AY752" t="s">
        <v>74</v>
      </c>
      <c r="AZ752" t="s">
        <v>74</v>
      </c>
      <c r="BA752" t="s">
        <v>74</v>
      </c>
      <c r="BB752">
        <v>1071</v>
      </c>
      <c r="BC752">
        <v>1085</v>
      </c>
      <c r="BD752" t="s">
        <v>74</v>
      </c>
      <c r="BE752" t="s">
        <v>14298</v>
      </c>
      <c r="BF752" t="str">
        <f>HYPERLINK("http://dx.doi.org/10.1002/jms.3442","http://dx.doi.org/10.1002/jms.3442")</f>
        <v>http://dx.doi.org/10.1002/jms.3442</v>
      </c>
      <c r="BG752" t="s">
        <v>74</v>
      </c>
      <c r="BH752" t="s">
        <v>74</v>
      </c>
      <c r="BI752">
        <v>15</v>
      </c>
      <c r="BJ752" t="s">
        <v>2368</v>
      </c>
      <c r="BK752" t="s">
        <v>91</v>
      </c>
      <c r="BL752" t="s">
        <v>2369</v>
      </c>
      <c r="BM752" t="s">
        <v>14299</v>
      </c>
      <c r="BN752">
        <v>25395123</v>
      </c>
      <c r="BO752" t="s">
        <v>74</v>
      </c>
      <c r="BP752" t="s">
        <v>74</v>
      </c>
      <c r="BQ752" t="s">
        <v>74</v>
      </c>
      <c r="BR752" t="s">
        <v>93</v>
      </c>
      <c r="BS752" t="s">
        <v>14300</v>
      </c>
      <c r="BT752" t="str">
        <f>HYPERLINK("https%3A%2F%2Fwww.webofscience.com%2Fwos%2Fwoscc%2Ffull-record%2FWOS:000345216500001","View Full Record in Web of Science")</f>
        <v>View Full Record in Web of Science</v>
      </c>
    </row>
    <row r="753" spans="1:72" x14ac:dyDescent="0.15">
      <c r="A753" t="s">
        <v>72</v>
      </c>
      <c r="B753" t="s">
        <v>14301</v>
      </c>
      <c r="C753" t="s">
        <v>74</v>
      </c>
      <c r="D753" t="s">
        <v>74</v>
      </c>
      <c r="E753" t="s">
        <v>74</v>
      </c>
      <c r="F753" t="s">
        <v>14302</v>
      </c>
      <c r="G753" t="s">
        <v>74</v>
      </c>
      <c r="H753" t="s">
        <v>74</v>
      </c>
      <c r="I753" t="s">
        <v>14303</v>
      </c>
      <c r="J753" t="s">
        <v>14304</v>
      </c>
      <c r="K753" t="s">
        <v>74</v>
      </c>
      <c r="L753" t="s">
        <v>74</v>
      </c>
      <c r="M753" t="s">
        <v>78</v>
      </c>
      <c r="N753" t="s">
        <v>99</v>
      </c>
      <c r="O753" t="s">
        <v>74</v>
      </c>
      <c r="P753" t="s">
        <v>74</v>
      </c>
      <c r="Q753" t="s">
        <v>74</v>
      </c>
      <c r="R753" t="s">
        <v>74</v>
      </c>
      <c r="S753" t="s">
        <v>74</v>
      </c>
      <c r="T753" t="s">
        <v>14305</v>
      </c>
      <c r="U753" t="s">
        <v>14306</v>
      </c>
      <c r="V753" t="s">
        <v>14307</v>
      </c>
      <c r="W753" t="s">
        <v>14308</v>
      </c>
      <c r="X753" t="s">
        <v>14309</v>
      </c>
      <c r="Y753" t="s">
        <v>14310</v>
      </c>
      <c r="Z753" t="s">
        <v>14311</v>
      </c>
      <c r="AA753" t="s">
        <v>74</v>
      </c>
      <c r="AB753" t="s">
        <v>74</v>
      </c>
      <c r="AC753" t="s">
        <v>14312</v>
      </c>
      <c r="AD753" t="s">
        <v>14313</v>
      </c>
      <c r="AE753" t="s">
        <v>14314</v>
      </c>
      <c r="AF753" t="s">
        <v>74</v>
      </c>
      <c r="AG753">
        <v>86</v>
      </c>
      <c r="AH753">
        <v>14</v>
      </c>
      <c r="AI753">
        <v>16</v>
      </c>
      <c r="AJ753">
        <v>2</v>
      </c>
      <c r="AK753">
        <v>47</v>
      </c>
      <c r="AL753" t="s">
        <v>1895</v>
      </c>
      <c r="AM753" t="s">
        <v>1411</v>
      </c>
      <c r="AN753" t="s">
        <v>1896</v>
      </c>
      <c r="AO753" t="s">
        <v>14315</v>
      </c>
      <c r="AP753" t="s">
        <v>14316</v>
      </c>
      <c r="AQ753" t="s">
        <v>74</v>
      </c>
      <c r="AR753" t="s">
        <v>14317</v>
      </c>
      <c r="AS753" t="s">
        <v>14318</v>
      </c>
      <c r="AT753" t="s">
        <v>13643</v>
      </c>
      <c r="AU753">
        <v>2014</v>
      </c>
      <c r="AV753">
        <v>36</v>
      </c>
      <c r="AW753">
        <v>6</v>
      </c>
      <c r="AX753" t="s">
        <v>74</v>
      </c>
      <c r="AY753" t="s">
        <v>74</v>
      </c>
      <c r="AZ753" t="s">
        <v>74</v>
      </c>
      <c r="BA753" t="s">
        <v>74</v>
      </c>
      <c r="BB753">
        <v>1543</v>
      </c>
      <c r="BC753">
        <v>1556</v>
      </c>
      <c r="BD753" t="s">
        <v>74</v>
      </c>
      <c r="BE753" t="s">
        <v>14319</v>
      </c>
      <c r="BF753" t="str">
        <f>HYPERLINK("http://dx.doi.org/10.1093/plankt/fbu076","http://dx.doi.org/10.1093/plankt/fbu076")</f>
        <v>http://dx.doi.org/10.1093/plankt/fbu076</v>
      </c>
      <c r="BG753" t="s">
        <v>74</v>
      </c>
      <c r="BH753" t="s">
        <v>74</v>
      </c>
      <c r="BI753">
        <v>14</v>
      </c>
      <c r="BJ753" t="s">
        <v>2393</v>
      </c>
      <c r="BK753" t="s">
        <v>91</v>
      </c>
      <c r="BL753" t="s">
        <v>2393</v>
      </c>
      <c r="BM753" t="s">
        <v>14320</v>
      </c>
      <c r="BN753" t="s">
        <v>74</v>
      </c>
      <c r="BO753" t="s">
        <v>2081</v>
      </c>
      <c r="BP753" t="s">
        <v>74</v>
      </c>
      <c r="BQ753" t="s">
        <v>74</v>
      </c>
      <c r="BR753" t="s">
        <v>93</v>
      </c>
      <c r="BS753" t="s">
        <v>14321</v>
      </c>
      <c r="BT753" t="str">
        <f>HYPERLINK("https%3A%2F%2Fwww.webofscience.com%2Fwos%2Fwoscc%2Ffull-record%2FWOS:000345051100014","View Full Record in Web of Science")</f>
        <v>View Full Record in Web of Science</v>
      </c>
    </row>
    <row r="754" spans="1:72" x14ac:dyDescent="0.15">
      <c r="A754" t="s">
        <v>72</v>
      </c>
      <c r="B754" t="s">
        <v>14322</v>
      </c>
      <c r="C754" t="s">
        <v>74</v>
      </c>
      <c r="D754" t="s">
        <v>74</v>
      </c>
      <c r="E754" t="s">
        <v>74</v>
      </c>
      <c r="F754" t="s">
        <v>14323</v>
      </c>
      <c r="G754" t="s">
        <v>74</v>
      </c>
      <c r="H754" t="s">
        <v>74</v>
      </c>
      <c r="I754" t="s">
        <v>14324</v>
      </c>
      <c r="J754" t="s">
        <v>3436</v>
      </c>
      <c r="K754" t="s">
        <v>74</v>
      </c>
      <c r="L754" t="s">
        <v>74</v>
      </c>
      <c r="M754" t="s">
        <v>78</v>
      </c>
      <c r="N754" t="s">
        <v>99</v>
      </c>
      <c r="O754" t="s">
        <v>74</v>
      </c>
      <c r="P754" t="s">
        <v>74</v>
      </c>
      <c r="Q754" t="s">
        <v>74</v>
      </c>
      <c r="R754" t="s">
        <v>74</v>
      </c>
      <c r="S754" t="s">
        <v>74</v>
      </c>
      <c r="T754" t="s">
        <v>14325</v>
      </c>
      <c r="U754" t="s">
        <v>14326</v>
      </c>
      <c r="V754" t="s">
        <v>14327</v>
      </c>
      <c r="W754" t="s">
        <v>14328</v>
      </c>
      <c r="X754" t="s">
        <v>1314</v>
      </c>
      <c r="Y754" t="s">
        <v>14329</v>
      </c>
      <c r="Z754" t="s">
        <v>14330</v>
      </c>
      <c r="AA754" t="s">
        <v>74</v>
      </c>
      <c r="AB754" t="s">
        <v>14331</v>
      </c>
      <c r="AC754" t="s">
        <v>14332</v>
      </c>
      <c r="AD754" t="s">
        <v>14332</v>
      </c>
      <c r="AE754" t="s">
        <v>14333</v>
      </c>
      <c r="AF754" t="s">
        <v>74</v>
      </c>
      <c r="AG754">
        <v>45</v>
      </c>
      <c r="AH754">
        <v>8</v>
      </c>
      <c r="AI754">
        <v>8</v>
      </c>
      <c r="AJ754">
        <v>0</v>
      </c>
      <c r="AK754">
        <v>6</v>
      </c>
      <c r="AL754" t="s">
        <v>2458</v>
      </c>
      <c r="AM754" t="s">
        <v>1411</v>
      </c>
      <c r="AN754" t="s">
        <v>2459</v>
      </c>
      <c r="AO754" t="s">
        <v>3449</v>
      </c>
      <c r="AP754" t="s">
        <v>3450</v>
      </c>
      <c r="AQ754" t="s">
        <v>74</v>
      </c>
      <c r="AR754" t="s">
        <v>3451</v>
      </c>
      <c r="AS754" t="s">
        <v>3452</v>
      </c>
      <c r="AT754" t="s">
        <v>13619</v>
      </c>
      <c r="AU754">
        <v>2014</v>
      </c>
      <c r="AV754">
        <v>83</v>
      </c>
      <c r="AW754" t="s">
        <v>74</v>
      </c>
      <c r="AX754" t="s">
        <v>74</v>
      </c>
      <c r="AY754" t="s">
        <v>74</v>
      </c>
      <c r="AZ754" t="s">
        <v>74</v>
      </c>
      <c r="BA754" t="s">
        <v>74</v>
      </c>
      <c r="BB754">
        <v>63</v>
      </c>
      <c r="BC754">
        <v>81</v>
      </c>
      <c r="BD754" t="s">
        <v>74</v>
      </c>
      <c r="BE754" t="s">
        <v>14334</v>
      </c>
      <c r="BF754" t="str">
        <f>HYPERLINK("http://dx.doi.org/10.1016/j.ocemod.2014.08.002","http://dx.doi.org/10.1016/j.ocemod.2014.08.002")</f>
        <v>http://dx.doi.org/10.1016/j.ocemod.2014.08.002</v>
      </c>
      <c r="BG754" t="s">
        <v>74</v>
      </c>
      <c r="BH754" t="s">
        <v>74</v>
      </c>
      <c r="BI754">
        <v>19</v>
      </c>
      <c r="BJ754" t="s">
        <v>1537</v>
      </c>
      <c r="BK754" t="s">
        <v>91</v>
      </c>
      <c r="BL754" t="s">
        <v>1537</v>
      </c>
      <c r="BM754" t="s">
        <v>14335</v>
      </c>
      <c r="BN754" t="s">
        <v>74</v>
      </c>
      <c r="BO754" t="s">
        <v>74</v>
      </c>
      <c r="BP754" t="s">
        <v>74</v>
      </c>
      <c r="BQ754" t="s">
        <v>74</v>
      </c>
      <c r="BR754" t="s">
        <v>93</v>
      </c>
      <c r="BS754" t="s">
        <v>14336</v>
      </c>
      <c r="BT754" t="str">
        <f>HYPERLINK("https%3A%2F%2Fwww.webofscience.com%2Fwos%2Fwoscc%2Ffull-record%2FWOS:000345096400005","View Full Record in Web of Science")</f>
        <v>View Full Record in Web of Science</v>
      </c>
    </row>
    <row r="755" spans="1:72" x14ac:dyDescent="0.15">
      <c r="A755" t="s">
        <v>72</v>
      </c>
      <c r="B755" t="s">
        <v>14337</v>
      </c>
      <c r="C755" t="s">
        <v>74</v>
      </c>
      <c r="D755" t="s">
        <v>74</v>
      </c>
      <c r="E755" t="s">
        <v>74</v>
      </c>
      <c r="F755" t="s">
        <v>14338</v>
      </c>
      <c r="G755" t="s">
        <v>74</v>
      </c>
      <c r="H755" t="s">
        <v>74</v>
      </c>
      <c r="I755" t="s">
        <v>14339</v>
      </c>
      <c r="J755" t="s">
        <v>14340</v>
      </c>
      <c r="K755" t="s">
        <v>74</v>
      </c>
      <c r="L755" t="s">
        <v>74</v>
      </c>
      <c r="M755" t="s">
        <v>78</v>
      </c>
      <c r="N755" t="s">
        <v>99</v>
      </c>
      <c r="O755" t="s">
        <v>74</v>
      </c>
      <c r="P755" t="s">
        <v>74</v>
      </c>
      <c r="Q755" t="s">
        <v>74</v>
      </c>
      <c r="R755" t="s">
        <v>74</v>
      </c>
      <c r="S755" t="s">
        <v>74</v>
      </c>
      <c r="T755" t="s">
        <v>74</v>
      </c>
      <c r="U755" t="s">
        <v>14341</v>
      </c>
      <c r="V755" t="s">
        <v>14342</v>
      </c>
      <c r="W755" t="s">
        <v>14343</v>
      </c>
      <c r="X755" t="s">
        <v>14344</v>
      </c>
      <c r="Y755" t="s">
        <v>14345</v>
      </c>
      <c r="Z755" t="s">
        <v>14346</v>
      </c>
      <c r="AA755" t="s">
        <v>14347</v>
      </c>
      <c r="AB755" t="s">
        <v>14348</v>
      </c>
      <c r="AC755" t="s">
        <v>14349</v>
      </c>
      <c r="AD755" t="s">
        <v>14349</v>
      </c>
      <c r="AE755" t="s">
        <v>14350</v>
      </c>
      <c r="AF755" t="s">
        <v>74</v>
      </c>
      <c r="AG755">
        <v>90</v>
      </c>
      <c r="AH755">
        <v>8</v>
      </c>
      <c r="AI755">
        <v>8</v>
      </c>
      <c r="AJ755">
        <v>1</v>
      </c>
      <c r="AK755">
        <v>19</v>
      </c>
      <c r="AL755" t="s">
        <v>2006</v>
      </c>
      <c r="AM755" t="s">
        <v>2007</v>
      </c>
      <c r="AN755" t="s">
        <v>2008</v>
      </c>
      <c r="AO755" t="s">
        <v>14351</v>
      </c>
      <c r="AP755" t="s">
        <v>14352</v>
      </c>
      <c r="AQ755" t="s">
        <v>74</v>
      </c>
      <c r="AR755" t="s">
        <v>14353</v>
      </c>
      <c r="AS755" t="s">
        <v>14354</v>
      </c>
      <c r="AT755" t="s">
        <v>13643</v>
      </c>
      <c r="AU755">
        <v>2014</v>
      </c>
      <c r="AV755">
        <v>90</v>
      </c>
      <c r="AW755">
        <v>6</v>
      </c>
      <c r="AX755" t="s">
        <v>74</v>
      </c>
      <c r="AY755" t="s">
        <v>74</v>
      </c>
      <c r="AZ755" t="s">
        <v>74</v>
      </c>
      <c r="BA755" t="s">
        <v>74</v>
      </c>
      <c r="BB755">
        <v>1314</v>
      </c>
      <c r="BC755">
        <v>1323</v>
      </c>
      <c r="BD755" t="s">
        <v>74</v>
      </c>
      <c r="BE755" t="s">
        <v>14355</v>
      </c>
      <c r="BF755" t="str">
        <f>HYPERLINK("http://dx.doi.org/10.1111/php.12310","http://dx.doi.org/10.1111/php.12310")</f>
        <v>http://dx.doi.org/10.1111/php.12310</v>
      </c>
      <c r="BG755" t="s">
        <v>74</v>
      </c>
      <c r="BH755" t="s">
        <v>74</v>
      </c>
      <c r="BI755">
        <v>10</v>
      </c>
      <c r="BJ755" t="s">
        <v>10835</v>
      </c>
      <c r="BK755" t="s">
        <v>91</v>
      </c>
      <c r="BL755" t="s">
        <v>10835</v>
      </c>
      <c r="BM755" t="s">
        <v>14356</v>
      </c>
      <c r="BN755">
        <v>25041232</v>
      </c>
      <c r="BO755" t="s">
        <v>74</v>
      </c>
      <c r="BP755" t="s">
        <v>74</v>
      </c>
      <c r="BQ755" t="s">
        <v>74</v>
      </c>
      <c r="BR755" t="s">
        <v>93</v>
      </c>
      <c r="BS755" t="s">
        <v>14357</v>
      </c>
      <c r="BT755" t="str">
        <f>HYPERLINK("https%3A%2F%2Fwww.webofscience.com%2Fwos%2Fwoscc%2Ffull-record%2FWOS:000345217800015","View Full Record in Web of Science")</f>
        <v>View Full Record in Web of Science</v>
      </c>
    </row>
    <row r="756" spans="1:72" x14ac:dyDescent="0.15">
      <c r="A756" t="s">
        <v>72</v>
      </c>
      <c r="B756" t="s">
        <v>14358</v>
      </c>
      <c r="C756" t="s">
        <v>74</v>
      </c>
      <c r="D756" t="s">
        <v>74</v>
      </c>
      <c r="E756" t="s">
        <v>74</v>
      </c>
      <c r="F756" t="s">
        <v>14359</v>
      </c>
      <c r="G756" t="s">
        <v>74</v>
      </c>
      <c r="H756" t="s">
        <v>74</v>
      </c>
      <c r="I756" t="s">
        <v>14360</v>
      </c>
      <c r="J756" t="s">
        <v>14361</v>
      </c>
      <c r="K756" t="s">
        <v>74</v>
      </c>
      <c r="L756" t="s">
        <v>74</v>
      </c>
      <c r="M756" t="s">
        <v>78</v>
      </c>
      <c r="N756" t="s">
        <v>454</v>
      </c>
      <c r="O756" t="s">
        <v>74</v>
      </c>
      <c r="P756" t="s">
        <v>74</v>
      </c>
      <c r="Q756" t="s">
        <v>74</v>
      </c>
      <c r="R756" t="s">
        <v>74</v>
      </c>
      <c r="S756" t="s">
        <v>74</v>
      </c>
      <c r="T756" t="s">
        <v>14362</v>
      </c>
      <c r="U756" t="s">
        <v>14363</v>
      </c>
      <c r="V756" t="s">
        <v>14364</v>
      </c>
      <c r="W756" t="s">
        <v>14365</v>
      </c>
      <c r="X756" t="s">
        <v>14366</v>
      </c>
      <c r="Y756" t="s">
        <v>14367</v>
      </c>
      <c r="Z756" t="s">
        <v>74</v>
      </c>
      <c r="AA756" t="s">
        <v>14368</v>
      </c>
      <c r="AB756" t="s">
        <v>14369</v>
      </c>
      <c r="AC756" t="s">
        <v>14370</v>
      </c>
      <c r="AD756" t="s">
        <v>14371</v>
      </c>
      <c r="AE756" t="s">
        <v>14372</v>
      </c>
      <c r="AF756" t="s">
        <v>74</v>
      </c>
      <c r="AG756">
        <v>301</v>
      </c>
      <c r="AH756">
        <v>154</v>
      </c>
      <c r="AI756">
        <v>158</v>
      </c>
      <c r="AJ756">
        <v>7</v>
      </c>
      <c r="AK756">
        <v>130</v>
      </c>
      <c r="AL756" t="s">
        <v>3102</v>
      </c>
      <c r="AM756" t="s">
        <v>3103</v>
      </c>
      <c r="AN756" t="s">
        <v>3104</v>
      </c>
      <c r="AO756" t="s">
        <v>14373</v>
      </c>
      <c r="AP756" t="s">
        <v>14374</v>
      </c>
      <c r="AQ756" t="s">
        <v>74</v>
      </c>
      <c r="AR756" t="s">
        <v>14375</v>
      </c>
      <c r="AS756" t="s">
        <v>14376</v>
      </c>
      <c r="AT756" t="s">
        <v>13619</v>
      </c>
      <c r="AU756">
        <v>2014</v>
      </c>
      <c r="AV756">
        <v>77</v>
      </c>
      <c r="AW756">
        <v>11</v>
      </c>
      <c r="AX756" t="s">
        <v>74</v>
      </c>
      <c r="AY756" t="s">
        <v>74</v>
      </c>
      <c r="AZ756" t="s">
        <v>74</v>
      </c>
      <c r="BA756" t="s">
        <v>74</v>
      </c>
      <c r="BB756" t="s">
        <v>74</v>
      </c>
      <c r="BC756" t="s">
        <v>74</v>
      </c>
      <c r="BD756" t="s">
        <v>74</v>
      </c>
      <c r="BE756" t="s">
        <v>14377</v>
      </c>
      <c r="BF756" t="str">
        <f>HYPERLINK("http://dx.doi.org/10.1088/0034-4885/77/11/116801","http://dx.doi.org/10.1088/0034-4885/77/11/116801")</f>
        <v>http://dx.doi.org/10.1088/0034-4885/77/11/116801</v>
      </c>
      <c r="BG756" t="s">
        <v>74</v>
      </c>
      <c r="BH756" t="s">
        <v>74</v>
      </c>
      <c r="BI756">
        <v>41</v>
      </c>
      <c r="BJ756" t="s">
        <v>13563</v>
      </c>
      <c r="BK756" t="s">
        <v>91</v>
      </c>
      <c r="BL756" t="s">
        <v>13564</v>
      </c>
      <c r="BM756" t="s">
        <v>14378</v>
      </c>
      <c r="BN756">
        <v>25360582</v>
      </c>
      <c r="BO756" t="s">
        <v>1904</v>
      </c>
      <c r="BP756" t="s">
        <v>74</v>
      </c>
      <c r="BQ756" t="s">
        <v>74</v>
      </c>
      <c r="BR756" t="s">
        <v>93</v>
      </c>
      <c r="BS756" t="s">
        <v>14379</v>
      </c>
      <c r="BT756" t="str">
        <f>HYPERLINK("https%3A%2F%2Fwww.webofscience.com%2Fwos%2Fwoscc%2Ffull-record%2FWOS:000345103000006","View Full Record in Web of Science")</f>
        <v>View Full Record in Web of Science</v>
      </c>
    </row>
    <row r="757" spans="1:72" x14ac:dyDescent="0.15">
      <c r="A757" t="s">
        <v>72</v>
      </c>
      <c r="B757" t="s">
        <v>14380</v>
      </c>
      <c r="C757" t="s">
        <v>74</v>
      </c>
      <c r="D757" t="s">
        <v>74</v>
      </c>
      <c r="E757" t="s">
        <v>74</v>
      </c>
      <c r="F757" t="s">
        <v>14381</v>
      </c>
      <c r="G757" t="s">
        <v>74</v>
      </c>
      <c r="H757" t="s">
        <v>14382</v>
      </c>
      <c r="I757" t="s">
        <v>14383</v>
      </c>
      <c r="J757" t="s">
        <v>14384</v>
      </c>
      <c r="K757" t="s">
        <v>74</v>
      </c>
      <c r="L757" t="s">
        <v>74</v>
      </c>
      <c r="M757" t="s">
        <v>78</v>
      </c>
      <c r="N757" t="s">
        <v>99</v>
      </c>
      <c r="O757" t="s">
        <v>74</v>
      </c>
      <c r="P757" t="s">
        <v>74</v>
      </c>
      <c r="Q757" t="s">
        <v>74</v>
      </c>
      <c r="R757" t="s">
        <v>74</v>
      </c>
      <c r="S757" t="s">
        <v>74</v>
      </c>
      <c r="T757" t="s">
        <v>74</v>
      </c>
      <c r="U757" t="s">
        <v>14385</v>
      </c>
      <c r="V757" t="s">
        <v>14386</v>
      </c>
      <c r="W757" t="s">
        <v>14387</v>
      </c>
      <c r="X757" t="s">
        <v>14388</v>
      </c>
      <c r="Y757" t="s">
        <v>14389</v>
      </c>
      <c r="Z757" t="s">
        <v>14390</v>
      </c>
      <c r="AA757" t="s">
        <v>14391</v>
      </c>
      <c r="AB757" t="s">
        <v>14392</v>
      </c>
      <c r="AC757" t="s">
        <v>14393</v>
      </c>
      <c r="AD757" t="s">
        <v>14394</v>
      </c>
      <c r="AE757" t="s">
        <v>14395</v>
      </c>
      <c r="AF757" t="s">
        <v>74</v>
      </c>
      <c r="AG757">
        <v>31</v>
      </c>
      <c r="AH757">
        <v>23</v>
      </c>
      <c r="AI757">
        <v>24</v>
      </c>
      <c r="AJ757">
        <v>0</v>
      </c>
      <c r="AK757">
        <v>4</v>
      </c>
      <c r="AL757" t="s">
        <v>14396</v>
      </c>
      <c r="AM757" t="s">
        <v>342</v>
      </c>
      <c r="AN757" t="s">
        <v>14397</v>
      </c>
      <c r="AO757" t="s">
        <v>14398</v>
      </c>
      <c r="AP757" t="s">
        <v>14399</v>
      </c>
      <c r="AQ757" t="s">
        <v>74</v>
      </c>
      <c r="AR757" t="s">
        <v>14400</v>
      </c>
      <c r="AS757" t="s">
        <v>14401</v>
      </c>
      <c r="AT757" t="s">
        <v>13619</v>
      </c>
      <c r="AU757">
        <v>2014</v>
      </c>
      <c r="AV757">
        <v>168</v>
      </c>
      <c r="AW757">
        <v>5</v>
      </c>
      <c r="AX757" t="s">
        <v>74</v>
      </c>
      <c r="AY757" t="s">
        <v>74</v>
      </c>
      <c r="AZ757" t="s">
        <v>74</v>
      </c>
      <c r="BA757" t="s">
        <v>74</v>
      </c>
      <c r="BB757">
        <v>674</v>
      </c>
      <c r="BC757">
        <v>681</v>
      </c>
      <c r="BD757" t="s">
        <v>74</v>
      </c>
      <c r="BE757" t="s">
        <v>14402</v>
      </c>
      <c r="BF757" t="str">
        <f>HYPERLINK("http://dx.doi.org/10.1016/j.ahj.2014.07.026","http://dx.doi.org/10.1016/j.ahj.2014.07.026")</f>
        <v>http://dx.doi.org/10.1016/j.ahj.2014.07.026</v>
      </c>
      <c r="BG757" t="s">
        <v>74</v>
      </c>
      <c r="BH757" t="s">
        <v>74</v>
      </c>
      <c r="BI757">
        <v>8</v>
      </c>
      <c r="BJ757" t="s">
        <v>14403</v>
      </c>
      <c r="BK757" t="s">
        <v>91</v>
      </c>
      <c r="BL757" t="s">
        <v>14404</v>
      </c>
      <c r="BM757" t="s">
        <v>14405</v>
      </c>
      <c r="BN757">
        <v>25440795</v>
      </c>
      <c r="BO757" t="s">
        <v>74</v>
      </c>
      <c r="BP757" t="s">
        <v>74</v>
      </c>
      <c r="BQ757" t="s">
        <v>74</v>
      </c>
      <c r="BR757" t="s">
        <v>93</v>
      </c>
      <c r="BS757" t="s">
        <v>14406</v>
      </c>
      <c r="BT757" t="str">
        <f>HYPERLINK("https%3A%2F%2Fwww.webofscience.com%2Fwos%2Fwoscc%2Ffull-record%2FWOS:000344434300009","View Full Record in Web of Science")</f>
        <v>View Full Record in Web of Science</v>
      </c>
    </row>
    <row r="758" spans="1:72" x14ac:dyDescent="0.15">
      <c r="A758" t="s">
        <v>72</v>
      </c>
      <c r="B758" t="s">
        <v>14407</v>
      </c>
      <c r="C758" t="s">
        <v>74</v>
      </c>
      <c r="D758" t="s">
        <v>74</v>
      </c>
      <c r="E758" t="s">
        <v>74</v>
      </c>
      <c r="F758" t="s">
        <v>14408</v>
      </c>
      <c r="G758" t="s">
        <v>74</v>
      </c>
      <c r="H758" t="s">
        <v>74</v>
      </c>
      <c r="I758" t="s">
        <v>14409</v>
      </c>
      <c r="J758" t="s">
        <v>14410</v>
      </c>
      <c r="K758" t="s">
        <v>74</v>
      </c>
      <c r="L758" t="s">
        <v>74</v>
      </c>
      <c r="M758" t="s">
        <v>78</v>
      </c>
      <c r="N758" t="s">
        <v>99</v>
      </c>
      <c r="O758" t="s">
        <v>74</v>
      </c>
      <c r="P758" t="s">
        <v>74</v>
      </c>
      <c r="Q758" t="s">
        <v>74</v>
      </c>
      <c r="R758" t="s">
        <v>74</v>
      </c>
      <c r="S758" t="s">
        <v>74</v>
      </c>
      <c r="T758" t="s">
        <v>14411</v>
      </c>
      <c r="U758" t="s">
        <v>14412</v>
      </c>
      <c r="V758" t="s">
        <v>14413</v>
      </c>
      <c r="W758" t="s">
        <v>14414</v>
      </c>
      <c r="X758" t="s">
        <v>14415</v>
      </c>
      <c r="Y758" t="s">
        <v>14416</v>
      </c>
      <c r="Z758" t="s">
        <v>14417</v>
      </c>
      <c r="AA758" t="s">
        <v>14418</v>
      </c>
      <c r="AB758" t="s">
        <v>14419</v>
      </c>
      <c r="AC758" t="s">
        <v>74</v>
      </c>
      <c r="AD758" t="s">
        <v>74</v>
      </c>
      <c r="AE758" t="s">
        <v>74</v>
      </c>
      <c r="AF758" t="s">
        <v>74</v>
      </c>
      <c r="AG758">
        <v>49</v>
      </c>
      <c r="AH758">
        <v>5</v>
      </c>
      <c r="AI758">
        <v>7</v>
      </c>
      <c r="AJ758">
        <v>3</v>
      </c>
      <c r="AK758">
        <v>53</v>
      </c>
      <c r="AL758" t="s">
        <v>14420</v>
      </c>
      <c r="AM758" t="s">
        <v>112</v>
      </c>
      <c r="AN758" t="s">
        <v>14421</v>
      </c>
      <c r="AO758" t="s">
        <v>14422</v>
      </c>
      <c r="AP758" t="s">
        <v>14423</v>
      </c>
      <c r="AQ758" t="s">
        <v>74</v>
      </c>
      <c r="AR758" t="s">
        <v>14424</v>
      </c>
      <c r="AS758" t="s">
        <v>14425</v>
      </c>
      <c r="AT758" t="s">
        <v>13619</v>
      </c>
      <c r="AU758">
        <v>2014</v>
      </c>
      <c r="AV758">
        <v>217</v>
      </c>
      <c r="AW758">
        <v>21</v>
      </c>
      <c r="AX758" t="s">
        <v>74</v>
      </c>
      <c r="AY758" t="s">
        <v>74</v>
      </c>
      <c r="AZ758" t="s">
        <v>74</v>
      </c>
      <c r="BA758" t="s">
        <v>74</v>
      </c>
      <c r="BB758">
        <v>3834</v>
      </c>
      <c r="BC758">
        <v>3842</v>
      </c>
      <c r="BD758" t="s">
        <v>74</v>
      </c>
      <c r="BE758" t="s">
        <v>14426</v>
      </c>
      <c r="BF758" t="str">
        <f>HYPERLINK("http://dx.doi.org/10.1242/jeb.107052","http://dx.doi.org/10.1242/jeb.107052")</f>
        <v>http://dx.doi.org/10.1242/jeb.107052</v>
      </c>
      <c r="BG758" t="s">
        <v>74</v>
      </c>
      <c r="BH758" t="s">
        <v>74</v>
      </c>
      <c r="BI758">
        <v>9</v>
      </c>
      <c r="BJ758" t="s">
        <v>14427</v>
      </c>
      <c r="BK758" t="s">
        <v>91</v>
      </c>
      <c r="BL758" t="s">
        <v>14428</v>
      </c>
      <c r="BM758" t="s">
        <v>14429</v>
      </c>
      <c r="BN758">
        <v>25355849</v>
      </c>
      <c r="BO758" t="s">
        <v>375</v>
      </c>
      <c r="BP758" t="s">
        <v>74</v>
      </c>
      <c r="BQ758" t="s">
        <v>74</v>
      </c>
      <c r="BR758" t="s">
        <v>93</v>
      </c>
      <c r="BS758" t="s">
        <v>14430</v>
      </c>
      <c r="BT758" t="str">
        <f>HYPERLINK("https%3A%2F%2Fwww.webofscience.com%2Fwos%2Fwoscc%2Ffull-record%2FWOS:000344866300017","View Full Record in Web of Science")</f>
        <v>View Full Record in Web of Science</v>
      </c>
    </row>
    <row r="759" spans="1:72" x14ac:dyDescent="0.15">
      <c r="A759" t="s">
        <v>72</v>
      </c>
      <c r="B759" t="s">
        <v>14431</v>
      </c>
      <c r="C759" t="s">
        <v>74</v>
      </c>
      <c r="D759" t="s">
        <v>74</v>
      </c>
      <c r="E759" t="s">
        <v>74</v>
      </c>
      <c r="F759" t="s">
        <v>14432</v>
      </c>
      <c r="G759" t="s">
        <v>74</v>
      </c>
      <c r="H759" t="s">
        <v>74</v>
      </c>
      <c r="I759" t="s">
        <v>14433</v>
      </c>
      <c r="J759" t="s">
        <v>14410</v>
      </c>
      <c r="K759" t="s">
        <v>74</v>
      </c>
      <c r="L759" t="s">
        <v>74</v>
      </c>
      <c r="M759" t="s">
        <v>78</v>
      </c>
      <c r="N759" t="s">
        <v>99</v>
      </c>
      <c r="O759" t="s">
        <v>74</v>
      </c>
      <c r="P759" t="s">
        <v>74</v>
      </c>
      <c r="Q759" t="s">
        <v>74</v>
      </c>
      <c r="R759" t="s">
        <v>74</v>
      </c>
      <c r="S759" t="s">
        <v>74</v>
      </c>
      <c r="T759" t="s">
        <v>14434</v>
      </c>
      <c r="U759" t="s">
        <v>14435</v>
      </c>
      <c r="V759" t="s">
        <v>14436</v>
      </c>
      <c r="W759" t="s">
        <v>14437</v>
      </c>
      <c r="X759" t="s">
        <v>14438</v>
      </c>
      <c r="Y759" t="s">
        <v>14439</v>
      </c>
      <c r="Z759" t="s">
        <v>14440</v>
      </c>
      <c r="AA759" t="s">
        <v>14441</v>
      </c>
      <c r="AB759" t="s">
        <v>14442</v>
      </c>
      <c r="AC759" t="s">
        <v>14443</v>
      </c>
      <c r="AD759" t="s">
        <v>14444</v>
      </c>
      <c r="AE759" t="s">
        <v>14445</v>
      </c>
      <c r="AF759" t="s">
        <v>74</v>
      </c>
      <c r="AG759">
        <v>38</v>
      </c>
      <c r="AH759">
        <v>12</v>
      </c>
      <c r="AI759">
        <v>13</v>
      </c>
      <c r="AJ759">
        <v>0</v>
      </c>
      <c r="AK759">
        <v>55</v>
      </c>
      <c r="AL759" t="s">
        <v>14420</v>
      </c>
      <c r="AM759" t="s">
        <v>112</v>
      </c>
      <c r="AN759" t="s">
        <v>14421</v>
      </c>
      <c r="AO759" t="s">
        <v>14422</v>
      </c>
      <c r="AP759" t="s">
        <v>14423</v>
      </c>
      <c r="AQ759" t="s">
        <v>74</v>
      </c>
      <c r="AR759" t="s">
        <v>14424</v>
      </c>
      <c r="AS759" t="s">
        <v>14425</v>
      </c>
      <c r="AT759" t="s">
        <v>13619</v>
      </c>
      <c r="AU759">
        <v>2014</v>
      </c>
      <c r="AV759">
        <v>217</v>
      </c>
      <c r="AW759">
        <v>21</v>
      </c>
      <c r="AX759" t="s">
        <v>74</v>
      </c>
      <c r="AY759" t="s">
        <v>74</v>
      </c>
      <c r="AZ759" t="s">
        <v>74</v>
      </c>
      <c r="BA759" t="s">
        <v>74</v>
      </c>
      <c r="BB759">
        <v>3843</v>
      </c>
      <c r="BC759">
        <v>3852</v>
      </c>
      <c r="BD759" t="s">
        <v>74</v>
      </c>
      <c r="BE759" t="s">
        <v>14446</v>
      </c>
      <c r="BF759" t="str">
        <f>HYPERLINK("http://dx.doi.org/10.1242/jeb.105650","http://dx.doi.org/10.1242/jeb.105650")</f>
        <v>http://dx.doi.org/10.1242/jeb.105650</v>
      </c>
      <c r="BG759" t="s">
        <v>74</v>
      </c>
      <c r="BH759" t="s">
        <v>74</v>
      </c>
      <c r="BI759">
        <v>10</v>
      </c>
      <c r="BJ759" t="s">
        <v>14427</v>
      </c>
      <c r="BK759" t="s">
        <v>91</v>
      </c>
      <c r="BL759" t="s">
        <v>14428</v>
      </c>
      <c r="BM759" t="s">
        <v>14429</v>
      </c>
      <c r="BN759">
        <v>25214492</v>
      </c>
      <c r="BO759" t="s">
        <v>375</v>
      </c>
      <c r="BP759" t="s">
        <v>74</v>
      </c>
      <c r="BQ759" t="s">
        <v>74</v>
      </c>
      <c r="BR759" t="s">
        <v>93</v>
      </c>
      <c r="BS759" t="s">
        <v>14447</v>
      </c>
      <c r="BT759" t="str">
        <f>HYPERLINK("https%3A%2F%2Fwww.webofscience.com%2Fwos%2Fwoscc%2Ffull-record%2FWOS:000344866300018","View Full Record in Web of Science")</f>
        <v>View Full Record in Web of Science</v>
      </c>
    </row>
    <row r="760" spans="1:72" x14ac:dyDescent="0.15">
      <c r="A760" t="s">
        <v>72</v>
      </c>
      <c r="B760" t="s">
        <v>14448</v>
      </c>
      <c r="C760" t="s">
        <v>74</v>
      </c>
      <c r="D760" t="s">
        <v>74</v>
      </c>
      <c r="E760" t="s">
        <v>74</v>
      </c>
      <c r="F760" t="s">
        <v>14449</v>
      </c>
      <c r="G760" t="s">
        <v>74</v>
      </c>
      <c r="H760" t="s">
        <v>74</v>
      </c>
      <c r="I760" t="s">
        <v>14450</v>
      </c>
      <c r="J760" t="s">
        <v>2840</v>
      </c>
      <c r="K760" t="s">
        <v>74</v>
      </c>
      <c r="L760" t="s">
        <v>74</v>
      </c>
      <c r="M760" t="s">
        <v>78</v>
      </c>
      <c r="N760" t="s">
        <v>99</v>
      </c>
      <c r="O760" t="s">
        <v>74</v>
      </c>
      <c r="P760" t="s">
        <v>74</v>
      </c>
      <c r="Q760" t="s">
        <v>74</v>
      </c>
      <c r="R760" t="s">
        <v>74</v>
      </c>
      <c r="S760" t="s">
        <v>74</v>
      </c>
      <c r="T760" t="s">
        <v>74</v>
      </c>
      <c r="U760" t="s">
        <v>14451</v>
      </c>
      <c r="V760" t="s">
        <v>14452</v>
      </c>
      <c r="W760" t="s">
        <v>14453</v>
      </c>
      <c r="X760" t="s">
        <v>14454</v>
      </c>
      <c r="Y760" t="s">
        <v>14455</v>
      </c>
      <c r="Z760" t="s">
        <v>14456</v>
      </c>
      <c r="AA760" t="s">
        <v>14457</v>
      </c>
      <c r="AB760" t="s">
        <v>14458</v>
      </c>
      <c r="AC760" t="s">
        <v>14459</v>
      </c>
      <c r="AD760" t="s">
        <v>14460</v>
      </c>
      <c r="AE760" t="s">
        <v>14461</v>
      </c>
      <c r="AF760" t="s">
        <v>74</v>
      </c>
      <c r="AG760">
        <v>22</v>
      </c>
      <c r="AH760">
        <v>14</v>
      </c>
      <c r="AI760">
        <v>15</v>
      </c>
      <c r="AJ760">
        <v>1</v>
      </c>
      <c r="AK760">
        <v>9</v>
      </c>
      <c r="AL760" t="s">
        <v>1563</v>
      </c>
      <c r="AM760" t="s">
        <v>1564</v>
      </c>
      <c r="AN760" t="s">
        <v>1565</v>
      </c>
      <c r="AO760" t="s">
        <v>2852</v>
      </c>
      <c r="AP760" t="s">
        <v>2853</v>
      </c>
      <c r="AQ760" t="s">
        <v>74</v>
      </c>
      <c r="AR760" t="s">
        <v>2854</v>
      </c>
      <c r="AS760" t="s">
        <v>2855</v>
      </c>
      <c r="AT760" t="s">
        <v>13619</v>
      </c>
      <c r="AU760">
        <v>2014</v>
      </c>
      <c r="AV760">
        <v>44</v>
      </c>
      <c r="AW760">
        <v>11</v>
      </c>
      <c r="AX760" t="s">
        <v>74</v>
      </c>
      <c r="AY760" t="s">
        <v>74</v>
      </c>
      <c r="AZ760" t="s">
        <v>74</v>
      </c>
      <c r="BA760" t="s">
        <v>74</v>
      </c>
      <c r="BB760">
        <v>2909</v>
      </c>
      <c r="BC760">
        <v>2920</v>
      </c>
      <c r="BD760" t="s">
        <v>74</v>
      </c>
      <c r="BE760" t="s">
        <v>14462</v>
      </c>
      <c r="BF760" t="str">
        <f>HYPERLINK("http://dx.doi.org/10.1175/JPO-D-14-0051.1","http://dx.doi.org/10.1175/JPO-D-14-0051.1")</f>
        <v>http://dx.doi.org/10.1175/JPO-D-14-0051.1</v>
      </c>
      <c r="BG760" t="s">
        <v>74</v>
      </c>
      <c r="BH760" t="s">
        <v>74</v>
      </c>
      <c r="BI760">
        <v>12</v>
      </c>
      <c r="BJ760" t="s">
        <v>2054</v>
      </c>
      <c r="BK760" t="s">
        <v>91</v>
      </c>
      <c r="BL760" t="s">
        <v>2054</v>
      </c>
      <c r="BM760" t="s">
        <v>14463</v>
      </c>
      <c r="BN760" t="s">
        <v>74</v>
      </c>
      <c r="BO760" t="s">
        <v>14464</v>
      </c>
      <c r="BP760" t="s">
        <v>74</v>
      </c>
      <c r="BQ760" t="s">
        <v>74</v>
      </c>
      <c r="BR760" t="s">
        <v>93</v>
      </c>
      <c r="BS760" t="s">
        <v>14465</v>
      </c>
      <c r="BT760" t="str">
        <f>HYPERLINK("https%3A%2F%2Fwww.webofscience.com%2Fwos%2Fwoscc%2Ffull-record%2FWOS:000344718000006","View Full Record in Web of Science")</f>
        <v>View Full Record in Web of Science</v>
      </c>
    </row>
    <row r="761" spans="1:72" x14ac:dyDescent="0.15">
      <c r="A761" t="s">
        <v>72</v>
      </c>
      <c r="B761" t="s">
        <v>14466</v>
      </c>
      <c r="C761" t="s">
        <v>74</v>
      </c>
      <c r="D761" t="s">
        <v>74</v>
      </c>
      <c r="E761" t="s">
        <v>74</v>
      </c>
      <c r="F761" t="s">
        <v>14467</v>
      </c>
      <c r="G761" t="s">
        <v>74</v>
      </c>
      <c r="H761" t="s">
        <v>74</v>
      </c>
      <c r="I761" t="s">
        <v>14468</v>
      </c>
      <c r="J761" t="s">
        <v>2840</v>
      </c>
      <c r="K761" t="s">
        <v>74</v>
      </c>
      <c r="L761" t="s">
        <v>74</v>
      </c>
      <c r="M761" t="s">
        <v>78</v>
      </c>
      <c r="N761" t="s">
        <v>99</v>
      </c>
      <c r="O761" t="s">
        <v>74</v>
      </c>
      <c r="P761" t="s">
        <v>74</v>
      </c>
      <c r="Q761" t="s">
        <v>74</v>
      </c>
      <c r="R761" t="s">
        <v>74</v>
      </c>
      <c r="S761" t="s">
        <v>74</v>
      </c>
      <c r="T761" t="s">
        <v>74</v>
      </c>
      <c r="U761" t="s">
        <v>14469</v>
      </c>
      <c r="V761" t="s">
        <v>14470</v>
      </c>
      <c r="W761" t="s">
        <v>14471</v>
      </c>
      <c r="X761" t="s">
        <v>14472</v>
      </c>
      <c r="Y761" t="s">
        <v>10737</v>
      </c>
      <c r="Z761" t="s">
        <v>14473</v>
      </c>
      <c r="AA761" t="s">
        <v>14474</v>
      </c>
      <c r="AB761" t="s">
        <v>14475</v>
      </c>
      <c r="AC761" t="s">
        <v>14476</v>
      </c>
      <c r="AD761" t="s">
        <v>14477</v>
      </c>
      <c r="AE761" t="s">
        <v>14478</v>
      </c>
      <c r="AF761" t="s">
        <v>74</v>
      </c>
      <c r="AG761">
        <v>49</v>
      </c>
      <c r="AH761">
        <v>29</v>
      </c>
      <c r="AI761">
        <v>31</v>
      </c>
      <c r="AJ761">
        <v>1</v>
      </c>
      <c r="AK761">
        <v>17</v>
      </c>
      <c r="AL761" t="s">
        <v>1563</v>
      </c>
      <c r="AM761" t="s">
        <v>1564</v>
      </c>
      <c r="AN761" t="s">
        <v>1565</v>
      </c>
      <c r="AO761" t="s">
        <v>2852</v>
      </c>
      <c r="AP761" t="s">
        <v>2853</v>
      </c>
      <c r="AQ761" t="s">
        <v>74</v>
      </c>
      <c r="AR761" t="s">
        <v>2854</v>
      </c>
      <c r="AS761" t="s">
        <v>2855</v>
      </c>
      <c r="AT761" t="s">
        <v>13619</v>
      </c>
      <c r="AU761">
        <v>2014</v>
      </c>
      <c r="AV761">
        <v>44</v>
      </c>
      <c r="AW761">
        <v>11</v>
      </c>
      <c r="AX761" t="s">
        <v>74</v>
      </c>
      <c r="AY761" t="s">
        <v>74</v>
      </c>
      <c r="AZ761" t="s">
        <v>74</v>
      </c>
      <c r="BA761" t="s">
        <v>74</v>
      </c>
      <c r="BB761">
        <v>2921</v>
      </c>
      <c r="BC761">
        <v>2937</v>
      </c>
      <c r="BD761" t="s">
        <v>74</v>
      </c>
      <c r="BE761" t="s">
        <v>14479</v>
      </c>
      <c r="BF761" t="str">
        <f>HYPERLINK("http://dx.doi.org/10.1175/JPO-D-14-0069.1","http://dx.doi.org/10.1175/JPO-D-14-0069.1")</f>
        <v>http://dx.doi.org/10.1175/JPO-D-14-0069.1</v>
      </c>
      <c r="BG761" t="s">
        <v>74</v>
      </c>
      <c r="BH761" t="s">
        <v>74</v>
      </c>
      <c r="BI761">
        <v>17</v>
      </c>
      <c r="BJ761" t="s">
        <v>2054</v>
      </c>
      <c r="BK761" t="s">
        <v>91</v>
      </c>
      <c r="BL761" t="s">
        <v>2054</v>
      </c>
      <c r="BM761" t="s">
        <v>14463</v>
      </c>
      <c r="BN761" t="s">
        <v>74</v>
      </c>
      <c r="BO761" t="s">
        <v>134</v>
      </c>
      <c r="BP761" t="s">
        <v>74</v>
      </c>
      <c r="BQ761" t="s">
        <v>74</v>
      </c>
      <c r="BR761" t="s">
        <v>93</v>
      </c>
      <c r="BS761" t="s">
        <v>14480</v>
      </c>
      <c r="BT761" t="str">
        <f>HYPERLINK("https%3A%2F%2Fwww.webofscience.com%2Fwos%2Fwoscc%2Ffull-record%2FWOS:000344718000007","View Full Record in Web of Science")</f>
        <v>View Full Record in Web of Science</v>
      </c>
    </row>
    <row r="762" spans="1:72" x14ac:dyDescent="0.15">
      <c r="A762" t="s">
        <v>72</v>
      </c>
      <c r="B762" t="s">
        <v>14481</v>
      </c>
      <c r="C762" t="s">
        <v>74</v>
      </c>
      <c r="D762" t="s">
        <v>74</v>
      </c>
      <c r="E762" t="s">
        <v>74</v>
      </c>
      <c r="F762" t="s">
        <v>14482</v>
      </c>
      <c r="G762" t="s">
        <v>74</v>
      </c>
      <c r="H762" t="s">
        <v>74</v>
      </c>
      <c r="I762" t="s">
        <v>14483</v>
      </c>
      <c r="J762" t="s">
        <v>2840</v>
      </c>
      <c r="K762" t="s">
        <v>74</v>
      </c>
      <c r="L762" t="s">
        <v>74</v>
      </c>
      <c r="M762" t="s">
        <v>78</v>
      </c>
      <c r="N762" t="s">
        <v>99</v>
      </c>
      <c r="O762" t="s">
        <v>74</v>
      </c>
      <c r="P762" t="s">
        <v>74</v>
      </c>
      <c r="Q762" t="s">
        <v>74</v>
      </c>
      <c r="R762" t="s">
        <v>74</v>
      </c>
      <c r="S762" t="s">
        <v>74</v>
      </c>
      <c r="T762" t="s">
        <v>74</v>
      </c>
      <c r="U762" t="s">
        <v>14484</v>
      </c>
      <c r="V762" t="s">
        <v>14485</v>
      </c>
      <c r="W762" t="s">
        <v>14486</v>
      </c>
      <c r="X762" t="s">
        <v>14487</v>
      </c>
      <c r="Y762" t="s">
        <v>14488</v>
      </c>
      <c r="Z762" t="s">
        <v>14489</v>
      </c>
      <c r="AA762" t="s">
        <v>74</v>
      </c>
      <c r="AB762" t="s">
        <v>74</v>
      </c>
      <c r="AC762" t="s">
        <v>14490</v>
      </c>
      <c r="AD762" t="s">
        <v>14491</v>
      </c>
      <c r="AE762" t="s">
        <v>14492</v>
      </c>
      <c r="AF762" t="s">
        <v>74</v>
      </c>
      <c r="AG762">
        <v>44</v>
      </c>
      <c r="AH762">
        <v>65</v>
      </c>
      <c r="AI762">
        <v>73</v>
      </c>
      <c r="AJ762">
        <v>2</v>
      </c>
      <c r="AK762">
        <v>35</v>
      </c>
      <c r="AL762" t="s">
        <v>1563</v>
      </c>
      <c r="AM762" t="s">
        <v>1564</v>
      </c>
      <c r="AN762" t="s">
        <v>1565</v>
      </c>
      <c r="AO762" t="s">
        <v>2852</v>
      </c>
      <c r="AP762" t="s">
        <v>2853</v>
      </c>
      <c r="AQ762" t="s">
        <v>74</v>
      </c>
      <c r="AR762" t="s">
        <v>2854</v>
      </c>
      <c r="AS762" t="s">
        <v>2855</v>
      </c>
      <c r="AT762" t="s">
        <v>13619</v>
      </c>
      <c r="AU762">
        <v>2014</v>
      </c>
      <c r="AV762">
        <v>44</v>
      </c>
      <c r="AW762">
        <v>11</v>
      </c>
      <c r="AX762" t="s">
        <v>74</v>
      </c>
      <c r="AY762" t="s">
        <v>74</v>
      </c>
      <c r="AZ762" t="s">
        <v>74</v>
      </c>
      <c r="BA762" t="s">
        <v>74</v>
      </c>
      <c r="BB762">
        <v>2972</v>
      </c>
      <c r="BC762">
        <v>2986</v>
      </c>
      <c r="BD762" t="s">
        <v>74</v>
      </c>
      <c r="BE762" t="s">
        <v>14493</v>
      </c>
      <c r="BF762" t="str">
        <f>HYPERLINK("http://dx.doi.org/10.1175/JPO-D-14-0113.1","http://dx.doi.org/10.1175/JPO-D-14-0113.1")</f>
        <v>http://dx.doi.org/10.1175/JPO-D-14-0113.1</v>
      </c>
      <c r="BG762" t="s">
        <v>74</v>
      </c>
      <c r="BH762" t="s">
        <v>74</v>
      </c>
      <c r="BI762">
        <v>15</v>
      </c>
      <c r="BJ762" t="s">
        <v>2054</v>
      </c>
      <c r="BK762" t="s">
        <v>91</v>
      </c>
      <c r="BL762" t="s">
        <v>2054</v>
      </c>
      <c r="BM762" t="s">
        <v>14463</v>
      </c>
      <c r="BN762" t="s">
        <v>74</v>
      </c>
      <c r="BO762" t="s">
        <v>134</v>
      </c>
      <c r="BP762" t="s">
        <v>74</v>
      </c>
      <c r="BQ762" t="s">
        <v>74</v>
      </c>
      <c r="BR762" t="s">
        <v>93</v>
      </c>
      <c r="BS762" t="s">
        <v>14494</v>
      </c>
      <c r="BT762" t="str">
        <f>HYPERLINK("https%3A%2F%2Fwww.webofscience.com%2Fwos%2Fwoscc%2Ffull-record%2FWOS:000344718000010","View Full Record in Web of Science")</f>
        <v>View Full Record in Web of Science</v>
      </c>
    </row>
    <row r="763" spans="1:72" x14ac:dyDescent="0.15">
      <c r="A763" t="s">
        <v>72</v>
      </c>
      <c r="B763" t="s">
        <v>14495</v>
      </c>
      <c r="C763" t="s">
        <v>74</v>
      </c>
      <c r="D763" t="s">
        <v>74</v>
      </c>
      <c r="E763" t="s">
        <v>74</v>
      </c>
      <c r="F763" t="s">
        <v>14496</v>
      </c>
      <c r="G763" t="s">
        <v>74</v>
      </c>
      <c r="H763" t="s">
        <v>74</v>
      </c>
      <c r="I763" t="s">
        <v>14497</v>
      </c>
      <c r="J763" t="s">
        <v>2878</v>
      </c>
      <c r="K763" t="s">
        <v>74</v>
      </c>
      <c r="L763" t="s">
        <v>74</v>
      </c>
      <c r="M763" t="s">
        <v>78</v>
      </c>
      <c r="N763" t="s">
        <v>99</v>
      </c>
      <c r="O763" t="s">
        <v>74</v>
      </c>
      <c r="P763" t="s">
        <v>74</v>
      </c>
      <c r="Q763" t="s">
        <v>74</v>
      </c>
      <c r="R763" t="s">
        <v>74</v>
      </c>
      <c r="S763" t="s">
        <v>74</v>
      </c>
      <c r="T763" t="s">
        <v>74</v>
      </c>
      <c r="U763" t="s">
        <v>14498</v>
      </c>
      <c r="V763" t="s">
        <v>14499</v>
      </c>
      <c r="W763" t="s">
        <v>14500</v>
      </c>
      <c r="X763" t="s">
        <v>14501</v>
      </c>
      <c r="Y763" t="s">
        <v>14502</v>
      </c>
      <c r="Z763" t="s">
        <v>14503</v>
      </c>
      <c r="AA763" t="s">
        <v>74</v>
      </c>
      <c r="AB763" t="s">
        <v>74</v>
      </c>
      <c r="AC763" t="s">
        <v>74</v>
      </c>
      <c r="AD763" t="s">
        <v>74</v>
      </c>
      <c r="AE763" t="s">
        <v>74</v>
      </c>
      <c r="AF763" t="s">
        <v>74</v>
      </c>
      <c r="AG763">
        <v>33</v>
      </c>
      <c r="AH763">
        <v>2</v>
      </c>
      <c r="AI763">
        <v>3</v>
      </c>
      <c r="AJ763">
        <v>0</v>
      </c>
      <c r="AK763">
        <v>4</v>
      </c>
      <c r="AL763" t="s">
        <v>4624</v>
      </c>
      <c r="AM763" t="s">
        <v>2007</v>
      </c>
      <c r="AN763" t="s">
        <v>2008</v>
      </c>
      <c r="AO763" t="s">
        <v>2890</v>
      </c>
      <c r="AP763" t="s">
        <v>2891</v>
      </c>
      <c r="AQ763" t="s">
        <v>74</v>
      </c>
      <c r="AR763" t="s">
        <v>2892</v>
      </c>
      <c r="AS763" t="s">
        <v>2893</v>
      </c>
      <c r="AT763" t="s">
        <v>13619</v>
      </c>
      <c r="AU763">
        <v>2014</v>
      </c>
      <c r="AV763">
        <v>49</v>
      </c>
      <c r="AW763">
        <v>11</v>
      </c>
      <c r="AX763" t="s">
        <v>74</v>
      </c>
      <c r="AY763" t="s">
        <v>74</v>
      </c>
      <c r="AZ763" t="s">
        <v>74</v>
      </c>
      <c r="BA763" t="s">
        <v>74</v>
      </c>
      <c r="BB763">
        <v>2047</v>
      </c>
      <c r="BC763">
        <v>2055</v>
      </c>
      <c r="BD763" t="s">
        <v>74</v>
      </c>
      <c r="BE763" t="s">
        <v>14504</v>
      </c>
      <c r="BF763" t="str">
        <f>HYPERLINK("http://dx.doi.org/10.1111/maps.12259","http://dx.doi.org/10.1111/maps.12259")</f>
        <v>http://dx.doi.org/10.1111/maps.12259</v>
      </c>
      <c r="BG763" t="s">
        <v>74</v>
      </c>
      <c r="BH763" t="s">
        <v>74</v>
      </c>
      <c r="BI763">
        <v>9</v>
      </c>
      <c r="BJ763" t="s">
        <v>1902</v>
      </c>
      <c r="BK763" t="s">
        <v>91</v>
      </c>
      <c r="BL763" t="s">
        <v>1902</v>
      </c>
      <c r="BM763" t="s">
        <v>14505</v>
      </c>
      <c r="BN763" t="s">
        <v>74</v>
      </c>
      <c r="BO763" t="s">
        <v>375</v>
      </c>
      <c r="BP763" t="s">
        <v>74</v>
      </c>
      <c r="BQ763" t="s">
        <v>74</v>
      </c>
      <c r="BR763" t="s">
        <v>93</v>
      </c>
      <c r="BS763" t="s">
        <v>14506</v>
      </c>
      <c r="BT763" t="str">
        <f>HYPERLINK("https%3A%2F%2Fwww.webofscience.com%2Fwos%2Fwoscc%2Ffull-record%2FWOS:000344731500007","View Full Record in Web of Science")</f>
        <v>View Full Record in Web of Science</v>
      </c>
    </row>
    <row r="764" spans="1:72" x14ac:dyDescent="0.15">
      <c r="A764" t="s">
        <v>72</v>
      </c>
      <c r="B764" t="s">
        <v>14507</v>
      </c>
      <c r="C764" t="s">
        <v>74</v>
      </c>
      <c r="D764" t="s">
        <v>74</v>
      </c>
      <c r="E764" t="s">
        <v>74</v>
      </c>
      <c r="F764" t="s">
        <v>14508</v>
      </c>
      <c r="G764" t="s">
        <v>74</v>
      </c>
      <c r="H764" t="s">
        <v>74</v>
      </c>
      <c r="I764" t="s">
        <v>14509</v>
      </c>
      <c r="J764" t="s">
        <v>14510</v>
      </c>
      <c r="K764" t="s">
        <v>74</v>
      </c>
      <c r="L764" t="s">
        <v>74</v>
      </c>
      <c r="M764" t="s">
        <v>78</v>
      </c>
      <c r="N764" t="s">
        <v>454</v>
      </c>
      <c r="O764" t="s">
        <v>74</v>
      </c>
      <c r="P764" t="s">
        <v>74</v>
      </c>
      <c r="Q764" t="s">
        <v>74</v>
      </c>
      <c r="R764" t="s">
        <v>74</v>
      </c>
      <c r="S764" t="s">
        <v>74</v>
      </c>
      <c r="T764" t="s">
        <v>14511</v>
      </c>
      <c r="U764" t="s">
        <v>14512</v>
      </c>
      <c r="V764" t="s">
        <v>14513</v>
      </c>
      <c r="W764" t="s">
        <v>14514</v>
      </c>
      <c r="X764" t="s">
        <v>14515</v>
      </c>
      <c r="Y764" t="s">
        <v>14516</v>
      </c>
      <c r="Z764" t="s">
        <v>14517</v>
      </c>
      <c r="AA764" t="s">
        <v>14518</v>
      </c>
      <c r="AB764" t="s">
        <v>14519</v>
      </c>
      <c r="AC764" t="s">
        <v>14520</v>
      </c>
      <c r="AD764" t="s">
        <v>14521</v>
      </c>
      <c r="AE764" t="s">
        <v>14522</v>
      </c>
      <c r="AF764" t="s">
        <v>74</v>
      </c>
      <c r="AG764">
        <v>70</v>
      </c>
      <c r="AH764">
        <v>36</v>
      </c>
      <c r="AI764">
        <v>42</v>
      </c>
      <c r="AJ764">
        <v>3</v>
      </c>
      <c r="AK764">
        <v>75</v>
      </c>
      <c r="AL764" t="s">
        <v>2666</v>
      </c>
      <c r="AM764" t="s">
        <v>6414</v>
      </c>
      <c r="AN764" t="s">
        <v>6415</v>
      </c>
      <c r="AO764" t="s">
        <v>14523</v>
      </c>
      <c r="AP764" t="s">
        <v>14524</v>
      </c>
      <c r="AQ764" t="s">
        <v>74</v>
      </c>
      <c r="AR764" t="s">
        <v>14525</v>
      </c>
      <c r="AS764" t="s">
        <v>14526</v>
      </c>
      <c r="AT764" t="s">
        <v>13619</v>
      </c>
      <c r="AU764">
        <v>2014</v>
      </c>
      <c r="AV764">
        <v>35</v>
      </c>
      <c r="AW764">
        <v>6</v>
      </c>
      <c r="AX764" t="s">
        <v>74</v>
      </c>
      <c r="AY764" t="s">
        <v>74</v>
      </c>
      <c r="AZ764" t="s">
        <v>74</v>
      </c>
      <c r="BA764" t="s">
        <v>74</v>
      </c>
      <c r="BB764">
        <v>1481</v>
      </c>
      <c r="BC764">
        <v>1505</v>
      </c>
      <c r="BD764" t="s">
        <v>74</v>
      </c>
      <c r="BE764" t="s">
        <v>14527</v>
      </c>
      <c r="BF764" t="str">
        <f>HYPERLINK("http://dx.doi.org/10.1007/s10712-014-9286-y","http://dx.doi.org/10.1007/s10712-014-9286-y")</f>
        <v>http://dx.doi.org/10.1007/s10712-014-9286-y</v>
      </c>
      <c r="BG764" t="s">
        <v>74</v>
      </c>
      <c r="BH764" t="s">
        <v>74</v>
      </c>
      <c r="BI764">
        <v>25</v>
      </c>
      <c r="BJ764" t="s">
        <v>1902</v>
      </c>
      <c r="BK764" t="s">
        <v>91</v>
      </c>
      <c r="BL764" t="s">
        <v>1902</v>
      </c>
      <c r="BM764" t="s">
        <v>14528</v>
      </c>
      <c r="BN764" t="s">
        <v>74</v>
      </c>
      <c r="BO764" t="s">
        <v>74</v>
      </c>
      <c r="BP764" t="s">
        <v>74</v>
      </c>
      <c r="BQ764" t="s">
        <v>74</v>
      </c>
      <c r="BR764" t="s">
        <v>93</v>
      </c>
      <c r="BS764" t="s">
        <v>14529</v>
      </c>
      <c r="BT764" t="str">
        <f>HYPERLINK("https%3A%2F%2Fwww.webofscience.com%2Fwos%2Fwoscc%2Ffull-record%2FWOS:000344785400013","View Full Record in Web of Science")</f>
        <v>View Full Record in Web of Science</v>
      </c>
    </row>
    <row r="765" spans="1:72" x14ac:dyDescent="0.15">
      <c r="A765" t="s">
        <v>72</v>
      </c>
      <c r="B765" t="s">
        <v>14530</v>
      </c>
      <c r="C765" t="s">
        <v>74</v>
      </c>
      <c r="D765" t="s">
        <v>74</v>
      </c>
      <c r="E765" t="s">
        <v>74</v>
      </c>
      <c r="F765" t="s">
        <v>14531</v>
      </c>
      <c r="G765" t="s">
        <v>74</v>
      </c>
      <c r="H765" t="s">
        <v>74</v>
      </c>
      <c r="I765" t="s">
        <v>14532</v>
      </c>
      <c r="J765" t="s">
        <v>2450</v>
      </c>
      <c r="K765" t="s">
        <v>74</v>
      </c>
      <c r="L765" t="s">
        <v>74</v>
      </c>
      <c r="M765" t="s">
        <v>78</v>
      </c>
      <c r="N765" t="s">
        <v>99</v>
      </c>
      <c r="O765" t="s">
        <v>74</v>
      </c>
      <c r="P765" t="s">
        <v>74</v>
      </c>
      <c r="Q765" t="s">
        <v>74</v>
      </c>
      <c r="R765" t="s">
        <v>74</v>
      </c>
      <c r="S765" t="s">
        <v>74</v>
      </c>
      <c r="T765" t="s">
        <v>14533</v>
      </c>
      <c r="U765" t="s">
        <v>14534</v>
      </c>
      <c r="V765" t="s">
        <v>14535</v>
      </c>
      <c r="W765" t="s">
        <v>14536</v>
      </c>
      <c r="X765" t="s">
        <v>14537</v>
      </c>
      <c r="Y765" t="s">
        <v>14538</v>
      </c>
      <c r="Z765" t="s">
        <v>14539</v>
      </c>
      <c r="AA765" t="s">
        <v>14540</v>
      </c>
      <c r="AB765" t="s">
        <v>14541</v>
      </c>
      <c r="AC765" t="s">
        <v>14542</v>
      </c>
      <c r="AD765" t="s">
        <v>14542</v>
      </c>
      <c r="AE765" t="s">
        <v>14543</v>
      </c>
      <c r="AF765" t="s">
        <v>74</v>
      </c>
      <c r="AG765">
        <v>37</v>
      </c>
      <c r="AH765">
        <v>7</v>
      </c>
      <c r="AI765">
        <v>7</v>
      </c>
      <c r="AJ765">
        <v>0</v>
      </c>
      <c r="AK765">
        <v>19</v>
      </c>
      <c r="AL765" t="s">
        <v>2458</v>
      </c>
      <c r="AM765" t="s">
        <v>1411</v>
      </c>
      <c r="AN765" t="s">
        <v>2459</v>
      </c>
      <c r="AO765" t="s">
        <v>2460</v>
      </c>
      <c r="AP765" t="s">
        <v>2461</v>
      </c>
      <c r="AQ765" t="s">
        <v>74</v>
      </c>
      <c r="AR765" t="s">
        <v>2462</v>
      </c>
      <c r="AS765" t="s">
        <v>2463</v>
      </c>
      <c r="AT765" t="s">
        <v>14185</v>
      </c>
      <c r="AU765">
        <v>2014</v>
      </c>
      <c r="AV765">
        <v>54</v>
      </c>
      <c r="AW765">
        <v>9</v>
      </c>
      <c r="AX765" t="s">
        <v>74</v>
      </c>
      <c r="AY765" t="s">
        <v>74</v>
      </c>
      <c r="AZ765" t="s">
        <v>74</v>
      </c>
      <c r="BA765" t="s">
        <v>74</v>
      </c>
      <c r="BB765">
        <v>1732</v>
      </c>
      <c r="BC765">
        <v>1742</v>
      </c>
      <c r="BD765" t="s">
        <v>74</v>
      </c>
      <c r="BE765" t="s">
        <v>14544</v>
      </c>
      <c r="BF765" t="str">
        <f>HYPERLINK("http://dx.doi.org/10.1016/j.asr.2014.07.005","http://dx.doi.org/10.1016/j.asr.2014.07.005")</f>
        <v>http://dx.doi.org/10.1016/j.asr.2014.07.005</v>
      </c>
      <c r="BG765" t="s">
        <v>74</v>
      </c>
      <c r="BH765" t="s">
        <v>74</v>
      </c>
      <c r="BI765">
        <v>11</v>
      </c>
      <c r="BJ765" t="s">
        <v>2466</v>
      </c>
      <c r="BK765" t="s">
        <v>91</v>
      </c>
      <c r="BL765" t="s">
        <v>2467</v>
      </c>
      <c r="BM765" t="s">
        <v>14545</v>
      </c>
      <c r="BN765" t="s">
        <v>74</v>
      </c>
      <c r="BO765" t="s">
        <v>74</v>
      </c>
      <c r="BP765" t="s">
        <v>74</v>
      </c>
      <c r="BQ765" t="s">
        <v>74</v>
      </c>
      <c r="BR765" t="s">
        <v>93</v>
      </c>
      <c r="BS765" t="s">
        <v>14546</v>
      </c>
      <c r="BT765" t="str">
        <f>HYPERLINK("https%3A%2F%2Fwww.webofscience.com%2Fwos%2Fwoscc%2Ffull-record%2FWOS:000344204200002","View Full Record in Web of Science")</f>
        <v>View Full Record in Web of Science</v>
      </c>
    </row>
    <row r="766" spans="1:72" x14ac:dyDescent="0.15">
      <c r="A766" t="s">
        <v>72</v>
      </c>
      <c r="B766" t="s">
        <v>14547</v>
      </c>
      <c r="C766" t="s">
        <v>74</v>
      </c>
      <c r="D766" t="s">
        <v>74</v>
      </c>
      <c r="E766" t="s">
        <v>74</v>
      </c>
      <c r="F766" t="s">
        <v>14548</v>
      </c>
      <c r="G766" t="s">
        <v>74</v>
      </c>
      <c r="H766" t="s">
        <v>74</v>
      </c>
      <c r="I766" t="s">
        <v>14549</v>
      </c>
      <c r="J766" t="s">
        <v>14550</v>
      </c>
      <c r="K766" t="s">
        <v>74</v>
      </c>
      <c r="L766" t="s">
        <v>74</v>
      </c>
      <c r="M766" t="s">
        <v>78</v>
      </c>
      <c r="N766" t="s">
        <v>99</v>
      </c>
      <c r="O766" t="s">
        <v>74</v>
      </c>
      <c r="P766" t="s">
        <v>74</v>
      </c>
      <c r="Q766" t="s">
        <v>74</v>
      </c>
      <c r="R766" t="s">
        <v>74</v>
      </c>
      <c r="S766" t="s">
        <v>74</v>
      </c>
      <c r="T766" t="s">
        <v>74</v>
      </c>
      <c r="U766" t="s">
        <v>14551</v>
      </c>
      <c r="V766" t="s">
        <v>14552</v>
      </c>
      <c r="W766" t="s">
        <v>14553</v>
      </c>
      <c r="X766" t="s">
        <v>3213</v>
      </c>
      <c r="Y766" t="s">
        <v>14554</v>
      </c>
      <c r="Z766" t="s">
        <v>14555</v>
      </c>
      <c r="AA766" t="s">
        <v>14556</v>
      </c>
      <c r="AB766" t="s">
        <v>14557</v>
      </c>
      <c r="AC766" t="s">
        <v>14558</v>
      </c>
      <c r="AD766" t="s">
        <v>14559</v>
      </c>
      <c r="AE766" t="s">
        <v>14560</v>
      </c>
      <c r="AF766" t="s">
        <v>74</v>
      </c>
      <c r="AG766">
        <v>39</v>
      </c>
      <c r="AH766">
        <v>37</v>
      </c>
      <c r="AI766">
        <v>41</v>
      </c>
      <c r="AJ766">
        <v>0</v>
      </c>
      <c r="AK766">
        <v>27</v>
      </c>
      <c r="AL766" t="s">
        <v>14561</v>
      </c>
      <c r="AM766" t="s">
        <v>1946</v>
      </c>
      <c r="AN766" t="s">
        <v>14562</v>
      </c>
      <c r="AO766" t="s">
        <v>14563</v>
      </c>
      <c r="AP766" t="s">
        <v>14564</v>
      </c>
      <c r="AQ766" t="s">
        <v>74</v>
      </c>
      <c r="AR766" t="s">
        <v>14565</v>
      </c>
      <c r="AS766" t="s">
        <v>14566</v>
      </c>
      <c r="AT766" t="s">
        <v>13619</v>
      </c>
      <c r="AU766">
        <v>2014</v>
      </c>
      <c r="AV766">
        <v>80</v>
      </c>
      <c r="AW766">
        <v>22</v>
      </c>
      <c r="AX766" t="s">
        <v>74</v>
      </c>
      <c r="AY766" t="s">
        <v>74</v>
      </c>
      <c r="AZ766" t="s">
        <v>74</v>
      </c>
      <c r="BA766" t="s">
        <v>74</v>
      </c>
      <c r="BB766">
        <v>7061</v>
      </c>
      <c r="BC766">
        <v>7070</v>
      </c>
      <c r="BD766" t="s">
        <v>74</v>
      </c>
      <c r="BE766" t="s">
        <v>14567</v>
      </c>
      <c r="BF766" t="str">
        <f>HYPERLINK("http://dx.doi.org/10.1128/AEM.02207-14","http://dx.doi.org/10.1128/AEM.02207-14")</f>
        <v>http://dx.doi.org/10.1128/AEM.02207-14</v>
      </c>
      <c r="BG766" t="s">
        <v>74</v>
      </c>
      <c r="BH766" t="s">
        <v>74</v>
      </c>
      <c r="BI766">
        <v>10</v>
      </c>
      <c r="BJ766" t="s">
        <v>14568</v>
      </c>
      <c r="BK766" t="s">
        <v>91</v>
      </c>
      <c r="BL766" t="s">
        <v>14568</v>
      </c>
      <c r="BM766" t="s">
        <v>14569</v>
      </c>
      <c r="BN766">
        <v>25193000</v>
      </c>
      <c r="BO766" t="s">
        <v>2081</v>
      </c>
      <c r="BP766" t="s">
        <v>74</v>
      </c>
      <c r="BQ766" t="s">
        <v>74</v>
      </c>
      <c r="BR766" t="s">
        <v>93</v>
      </c>
      <c r="BS766" t="s">
        <v>14570</v>
      </c>
      <c r="BT766" t="str">
        <f>HYPERLINK("https%3A%2F%2Fwww.webofscience.com%2Fwos%2Fwoscc%2Ffull-record%2FWOS:000344161700023","View Full Record in Web of Science")</f>
        <v>View Full Record in Web of Science</v>
      </c>
    </row>
    <row r="767" spans="1:72" x14ac:dyDescent="0.15">
      <c r="A767" t="s">
        <v>72</v>
      </c>
      <c r="B767" t="s">
        <v>14571</v>
      </c>
      <c r="C767" t="s">
        <v>74</v>
      </c>
      <c r="D767" t="s">
        <v>74</v>
      </c>
      <c r="E767" t="s">
        <v>74</v>
      </c>
      <c r="F767" t="s">
        <v>14572</v>
      </c>
      <c r="G767" t="s">
        <v>74</v>
      </c>
      <c r="H767" t="s">
        <v>74</v>
      </c>
      <c r="I767" t="s">
        <v>14573</v>
      </c>
      <c r="J767" t="s">
        <v>2526</v>
      </c>
      <c r="K767" t="s">
        <v>74</v>
      </c>
      <c r="L767" t="s">
        <v>74</v>
      </c>
      <c r="M767" t="s">
        <v>78</v>
      </c>
      <c r="N767" t="s">
        <v>99</v>
      </c>
      <c r="O767" t="s">
        <v>74</v>
      </c>
      <c r="P767" t="s">
        <v>74</v>
      </c>
      <c r="Q767" t="s">
        <v>74</v>
      </c>
      <c r="R767" t="s">
        <v>74</v>
      </c>
      <c r="S767" t="s">
        <v>74</v>
      </c>
      <c r="T767" t="s">
        <v>74</v>
      </c>
      <c r="U767" t="s">
        <v>14574</v>
      </c>
      <c r="V767" t="s">
        <v>14575</v>
      </c>
      <c r="W767" t="s">
        <v>14576</v>
      </c>
      <c r="X767" t="s">
        <v>14577</v>
      </c>
      <c r="Y767" t="s">
        <v>14578</v>
      </c>
      <c r="Z767" t="s">
        <v>14579</v>
      </c>
      <c r="AA767" t="s">
        <v>14580</v>
      </c>
      <c r="AB767" t="s">
        <v>14581</v>
      </c>
      <c r="AC767" t="s">
        <v>14582</v>
      </c>
      <c r="AD767" t="s">
        <v>14583</v>
      </c>
      <c r="AE767" t="s">
        <v>14584</v>
      </c>
      <c r="AF767" t="s">
        <v>74</v>
      </c>
      <c r="AG767">
        <v>60</v>
      </c>
      <c r="AH767">
        <v>7</v>
      </c>
      <c r="AI767">
        <v>11</v>
      </c>
      <c r="AJ767">
        <v>0</v>
      </c>
      <c r="AK767">
        <v>27</v>
      </c>
      <c r="AL767" t="s">
        <v>1563</v>
      </c>
      <c r="AM767" t="s">
        <v>1564</v>
      </c>
      <c r="AN767" t="s">
        <v>1565</v>
      </c>
      <c r="AO767" t="s">
        <v>2538</v>
      </c>
      <c r="AP767" t="s">
        <v>2539</v>
      </c>
      <c r="AQ767" t="s">
        <v>74</v>
      </c>
      <c r="AR767" t="s">
        <v>2540</v>
      </c>
      <c r="AS767" t="s">
        <v>2541</v>
      </c>
      <c r="AT767" t="s">
        <v>14185</v>
      </c>
      <c r="AU767">
        <v>2014</v>
      </c>
      <c r="AV767">
        <v>27</v>
      </c>
      <c r="AW767">
        <v>21</v>
      </c>
      <c r="AX767" t="s">
        <v>74</v>
      </c>
      <c r="AY767" t="s">
        <v>74</v>
      </c>
      <c r="AZ767" t="s">
        <v>74</v>
      </c>
      <c r="BA767" t="s">
        <v>74</v>
      </c>
      <c r="BB767">
        <v>8094</v>
      </c>
      <c r="BC767">
        <v>8106</v>
      </c>
      <c r="BD767" t="s">
        <v>74</v>
      </c>
      <c r="BE767" t="s">
        <v>14585</v>
      </c>
      <c r="BF767" t="str">
        <f>HYPERLINK("http://dx.doi.org/10.1175/JCLI-D-14-00074.1","http://dx.doi.org/10.1175/JCLI-D-14-00074.1")</f>
        <v>http://dx.doi.org/10.1175/JCLI-D-14-00074.1</v>
      </c>
      <c r="BG767" t="s">
        <v>74</v>
      </c>
      <c r="BH767" t="s">
        <v>74</v>
      </c>
      <c r="BI767">
        <v>13</v>
      </c>
      <c r="BJ767" t="s">
        <v>226</v>
      </c>
      <c r="BK767" t="s">
        <v>91</v>
      </c>
      <c r="BL767" t="s">
        <v>226</v>
      </c>
      <c r="BM767" t="s">
        <v>14586</v>
      </c>
      <c r="BN767" t="s">
        <v>74</v>
      </c>
      <c r="BO767" t="s">
        <v>134</v>
      </c>
      <c r="BP767" t="s">
        <v>74</v>
      </c>
      <c r="BQ767" t="s">
        <v>74</v>
      </c>
      <c r="BR767" t="s">
        <v>93</v>
      </c>
      <c r="BS767" t="s">
        <v>14587</v>
      </c>
      <c r="BT767" t="str">
        <f>HYPERLINK("https%3A%2F%2Fwww.webofscience.com%2Fwos%2Fwoscc%2Ffull-record%2FWOS:000344131500008","View Full Record in Web of Science")</f>
        <v>View Full Record in Web of Science</v>
      </c>
    </row>
    <row r="768" spans="1:72" x14ac:dyDescent="0.15">
      <c r="A768" t="s">
        <v>72</v>
      </c>
      <c r="B768" t="s">
        <v>14588</v>
      </c>
      <c r="C768" t="s">
        <v>74</v>
      </c>
      <c r="D768" t="s">
        <v>74</v>
      </c>
      <c r="E768" t="s">
        <v>74</v>
      </c>
      <c r="F768" t="s">
        <v>14589</v>
      </c>
      <c r="G768" t="s">
        <v>74</v>
      </c>
      <c r="H768" t="s">
        <v>74</v>
      </c>
      <c r="I768" t="s">
        <v>14590</v>
      </c>
      <c r="J768" t="s">
        <v>12240</v>
      </c>
      <c r="K768" t="s">
        <v>74</v>
      </c>
      <c r="L768" t="s">
        <v>74</v>
      </c>
      <c r="M768" t="s">
        <v>78</v>
      </c>
      <c r="N768" t="s">
        <v>99</v>
      </c>
      <c r="O768" t="s">
        <v>74</v>
      </c>
      <c r="P768" t="s">
        <v>74</v>
      </c>
      <c r="Q768" t="s">
        <v>74</v>
      </c>
      <c r="R768" t="s">
        <v>74</v>
      </c>
      <c r="S768" t="s">
        <v>74</v>
      </c>
      <c r="T768" t="s">
        <v>74</v>
      </c>
      <c r="U768" t="s">
        <v>14591</v>
      </c>
      <c r="V768" t="s">
        <v>14592</v>
      </c>
      <c r="W768" t="s">
        <v>14593</v>
      </c>
      <c r="X768" t="s">
        <v>14594</v>
      </c>
      <c r="Y768" t="s">
        <v>14595</v>
      </c>
      <c r="Z768" t="s">
        <v>14596</v>
      </c>
      <c r="AA768" t="s">
        <v>74</v>
      </c>
      <c r="AB768" t="s">
        <v>74</v>
      </c>
      <c r="AC768" t="s">
        <v>14597</v>
      </c>
      <c r="AD768" t="s">
        <v>14598</v>
      </c>
      <c r="AE768" t="s">
        <v>14599</v>
      </c>
      <c r="AF768" t="s">
        <v>74</v>
      </c>
      <c r="AG768">
        <v>41</v>
      </c>
      <c r="AH768">
        <v>11</v>
      </c>
      <c r="AI768">
        <v>12</v>
      </c>
      <c r="AJ768">
        <v>0</v>
      </c>
      <c r="AK768">
        <v>12</v>
      </c>
      <c r="AL768" t="s">
        <v>1563</v>
      </c>
      <c r="AM768" t="s">
        <v>1564</v>
      </c>
      <c r="AN768" t="s">
        <v>1565</v>
      </c>
      <c r="AO768" t="s">
        <v>12249</v>
      </c>
      <c r="AP768" t="s">
        <v>12250</v>
      </c>
      <c r="AQ768" t="s">
        <v>74</v>
      </c>
      <c r="AR768" t="s">
        <v>12251</v>
      </c>
      <c r="AS768" t="s">
        <v>12252</v>
      </c>
      <c r="AT768" t="s">
        <v>13619</v>
      </c>
      <c r="AU768">
        <v>2014</v>
      </c>
      <c r="AV768">
        <v>71</v>
      </c>
      <c r="AW768">
        <v>11</v>
      </c>
      <c r="AX768" t="s">
        <v>74</v>
      </c>
      <c r="AY768" t="s">
        <v>74</v>
      </c>
      <c r="AZ768" t="s">
        <v>74</v>
      </c>
      <c r="BA768" t="s">
        <v>74</v>
      </c>
      <c r="BB768">
        <v>4235</v>
      </c>
      <c r="BC768">
        <v>4252</v>
      </c>
      <c r="BD768" t="s">
        <v>74</v>
      </c>
      <c r="BE768" t="s">
        <v>14600</v>
      </c>
      <c r="BF768" t="str">
        <f>HYPERLINK("http://dx.doi.org/10.1175/JAS-D-14-0035.1","http://dx.doi.org/10.1175/JAS-D-14-0035.1")</f>
        <v>http://dx.doi.org/10.1175/JAS-D-14-0035.1</v>
      </c>
      <c r="BG768" t="s">
        <v>74</v>
      </c>
      <c r="BH768" t="s">
        <v>74</v>
      </c>
      <c r="BI768">
        <v>18</v>
      </c>
      <c r="BJ768" t="s">
        <v>226</v>
      </c>
      <c r="BK768" t="s">
        <v>91</v>
      </c>
      <c r="BL768" t="s">
        <v>226</v>
      </c>
      <c r="BM768" t="s">
        <v>14601</v>
      </c>
      <c r="BN768" t="s">
        <v>74</v>
      </c>
      <c r="BO768" t="s">
        <v>134</v>
      </c>
      <c r="BP768" t="s">
        <v>74</v>
      </c>
      <c r="BQ768" t="s">
        <v>74</v>
      </c>
      <c r="BR768" t="s">
        <v>93</v>
      </c>
      <c r="BS768" t="s">
        <v>14602</v>
      </c>
      <c r="BT768" t="str">
        <f>HYPERLINK("https%3A%2F%2Fwww.webofscience.com%2Fwos%2Fwoscc%2Ffull-record%2FWOS:000344219100017","View Full Record in Web of Science")</f>
        <v>View Full Record in Web of Science</v>
      </c>
    </row>
    <row r="769" spans="1:72" x14ac:dyDescent="0.15">
      <c r="A769" t="s">
        <v>72</v>
      </c>
      <c r="B769" t="s">
        <v>14603</v>
      </c>
      <c r="C769" t="s">
        <v>74</v>
      </c>
      <c r="D769" t="s">
        <v>74</v>
      </c>
      <c r="E769" t="s">
        <v>74</v>
      </c>
      <c r="F769" t="s">
        <v>14604</v>
      </c>
      <c r="G769" t="s">
        <v>74</v>
      </c>
      <c r="H769" t="s">
        <v>74</v>
      </c>
      <c r="I769" t="s">
        <v>14605</v>
      </c>
      <c r="J769" t="s">
        <v>14606</v>
      </c>
      <c r="K769" t="s">
        <v>74</v>
      </c>
      <c r="L769" t="s">
        <v>74</v>
      </c>
      <c r="M769" t="s">
        <v>78</v>
      </c>
      <c r="N769" t="s">
        <v>99</v>
      </c>
      <c r="O769" t="s">
        <v>74</v>
      </c>
      <c r="P769" t="s">
        <v>74</v>
      </c>
      <c r="Q769" t="s">
        <v>74</v>
      </c>
      <c r="R769" t="s">
        <v>74</v>
      </c>
      <c r="S769" t="s">
        <v>74</v>
      </c>
      <c r="T769" t="s">
        <v>14607</v>
      </c>
      <c r="U769" t="s">
        <v>14608</v>
      </c>
      <c r="V769" t="s">
        <v>14609</v>
      </c>
      <c r="W769" t="s">
        <v>14610</v>
      </c>
      <c r="X769" t="s">
        <v>14611</v>
      </c>
      <c r="Y769" t="s">
        <v>14612</v>
      </c>
      <c r="Z769" t="s">
        <v>14613</v>
      </c>
      <c r="AA769" t="s">
        <v>14614</v>
      </c>
      <c r="AB769" t="s">
        <v>14615</v>
      </c>
      <c r="AC769" t="s">
        <v>14616</v>
      </c>
      <c r="AD769" t="s">
        <v>14617</v>
      </c>
      <c r="AE769" t="s">
        <v>14618</v>
      </c>
      <c r="AF769" t="s">
        <v>74</v>
      </c>
      <c r="AG769">
        <v>34</v>
      </c>
      <c r="AH769">
        <v>17</v>
      </c>
      <c r="AI769">
        <v>23</v>
      </c>
      <c r="AJ769">
        <v>0</v>
      </c>
      <c r="AK769">
        <v>6</v>
      </c>
      <c r="AL769" t="s">
        <v>365</v>
      </c>
      <c r="AM769" t="s">
        <v>112</v>
      </c>
      <c r="AN769" t="s">
        <v>366</v>
      </c>
      <c r="AO769" t="s">
        <v>14619</v>
      </c>
      <c r="AP769" t="s">
        <v>14620</v>
      </c>
      <c r="AQ769" t="s">
        <v>74</v>
      </c>
      <c r="AR769" t="s">
        <v>14606</v>
      </c>
      <c r="AS769" t="s">
        <v>14621</v>
      </c>
      <c r="AT769" t="s">
        <v>13619</v>
      </c>
      <c r="AU769">
        <v>2014</v>
      </c>
      <c r="AV769">
        <v>46</v>
      </c>
      <c r="AW769">
        <v>6</v>
      </c>
      <c r="AX769" t="s">
        <v>74</v>
      </c>
      <c r="AY769" t="s">
        <v>74</v>
      </c>
      <c r="AZ769" t="s">
        <v>74</v>
      </c>
      <c r="BA769" t="s">
        <v>74</v>
      </c>
      <c r="BB769">
        <v>763</v>
      </c>
      <c r="BC769">
        <v>782</v>
      </c>
      <c r="BD769" t="s">
        <v>74</v>
      </c>
      <c r="BE769" t="s">
        <v>14622</v>
      </c>
      <c r="BF769" t="str">
        <f>HYPERLINK("http://dx.doi.org/10.1017/S0024282914000395","http://dx.doi.org/10.1017/S0024282914000395")</f>
        <v>http://dx.doi.org/10.1017/S0024282914000395</v>
      </c>
      <c r="BG769" t="s">
        <v>74</v>
      </c>
      <c r="BH769" t="s">
        <v>74</v>
      </c>
      <c r="BI769">
        <v>20</v>
      </c>
      <c r="BJ769" t="s">
        <v>14623</v>
      </c>
      <c r="BK769" t="s">
        <v>91</v>
      </c>
      <c r="BL769" t="s">
        <v>14623</v>
      </c>
      <c r="BM769" t="s">
        <v>14624</v>
      </c>
      <c r="BN769" t="s">
        <v>74</v>
      </c>
      <c r="BO769" t="s">
        <v>74</v>
      </c>
      <c r="BP769" t="s">
        <v>74</v>
      </c>
      <c r="BQ769" t="s">
        <v>74</v>
      </c>
      <c r="BR769" t="s">
        <v>93</v>
      </c>
      <c r="BS769" t="s">
        <v>14625</v>
      </c>
      <c r="BT769" t="str">
        <f>HYPERLINK("https%3A%2F%2Fwww.webofscience.com%2Fwos%2Fwoscc%2Ffull-record%2FWOS:000344315100004","View Full Record in Web of Science")</f>
        <v>View Full Record in Web of Science</v>
      </c>
    </row>
    <row r="770" spans="1:72" x14ac:dyDescent="0.15">
      <c r="A770" t="s">
        <v>72</v>
      </c>
      <c r="B770" t="s">
        <v>14626</v>
      </c>
      <c r="C770" t="s">
        <v>74</v>
      </c>
      <c r="D770" t="s">
        <v>74</v>
      </c>
      <c r="E770" t="s">
        <v>74</v>
      </c>
      <c r="F770" t="s">
        <v>14627</v>
      </c>
      <c r="G770" t="s">
        <v>74</v>
      </c>
      <c r="H770" t="s">
        <v>74</v>
      </c>
      <c r="I770" t="s">
        <v>14628</v>
      </c>
      <c r="J770" t="s">
        <v>14629</v>
      </c>
      <c r="K770" t="s">
        <v>74</v>
      </c>
      <c r="L770" t="s">
        <v>74</v>
      </c>
      <c r="M770" t="s">
        <v>78</v>
      </c>
      <c r="N770" t="s">
        <v>99</v>
      </c>
      <c r="O770" t="s">
        <v>74</v>
      </c>
      <c r="P770" t="s">
        <v>74</v>
      </c>
      <c r="Q770" t="s">
        <v>74</v>
      </c>
      <c r="R770" t="s">
        <v>74</v>
      </c>
      <c r="S770" t="s">
        <v>74</v>
      </c>
      <c r="T770" t="s">
        <v>14630</v>
      </c>
      <c r="U770" t="s">
        <v>14631</v>
      </c>
      <c r="V770" t="s">
        <v>14632</v>
      </c>
      <c r="W770" t="s">
        <v>14633</v>
      </c>
      <c r="X770" t="s">
        <v>14634</v>
      </c>
      <c r="Y770" t="s">
        <v>14635</v>
      </c>
      <c r="Z770" t="s">
        <v>14636</v>
      </c>
      <c r="AA770" t="s">
        <v>14637</v>
      </c>
      <c r="AB770" t="s">
        <v>14638</v>
      </c>
      <c r="AC770" t="s">
        <v>14639</v>
      </c>
      <c r="AD770" t="s">
        <v>14640</v>
      </c>
      <c r="AE770" t="s">
        <v>14641</v>
      </c>
      <c r="AF770" t="s">
        <v>74</v>
      </c>
      <c r="AG770">
        <v>59</v>
      </c>
      <c r="AH770">
        <v>9</v>
      </c>
      <c r="AI770">
        <v>9</v>
      </c>
      <c r="AJ770">
        <v>0</v>
      </c>
      <c r="AK770">
        <v>5</v>
      </c>
      <c r="AL770" t="s">
        <v>2006</v>
      </c>
      <c r="AM770" t="s">
        <v>2007</v>
      </c>
      <c r="AN770" t="s">
        <v>2008</v>
      </c>
      <c r="AO770" t="s">
        <v>14642</v>
      </c>
      <c r="AP770" t="s">
        <v>14643</v>
      </c>
      <c r="AQ770" t="s">
        <v>74</v>
      </c>
      <c r="AR770" t="s">
        <v>14644</v>
      </c>
      <c r="AS770" t="s">
        <v>14645</v>
      </c>
      <c r="AT770" t="s">
        <v>13619</v>
      </c>
      <c r="AU770">
        <v>2014</v>
      </c>
      <c r="AV770">
        <v>82</v>
      </c>
      <c r="AW770">
        <v>11</v>
      </c>
      <c r="AX770" t="s">
        <v>74</v>
      </c>
      <c r="AY770" t="s">
        <v>74</v>
      </c>
      <c r="AZ770" t="s">
        <v>74</v>
      </c>
      <c r="BA770" t="s">
        <v>74</v>
      </c>
      <c r="BB770">
        <v>3062</v>
      </c>
      <c r="BC770">
        <v>3078</v>
      </c>
      <c r="BD770" t="s">
        <v>74</v>
      </c>
      <c r="BE770" t="s">
        <v>14646</v>
      </c>
      <c r="BF770" t="str">
        <f>HYPERLINK("http://dx.doi.org/10.1002/prot.24667","http://dx.doi.org/10.1002/prot.24667")</f>
        <v>http://dx.doi.org/10.1002/prot.24667</v>
      </c>
      <c r="BG770" t="s">
        <v>74</v>
      </c>
      <c r="BH770" t="s">
        <v>74</v>
      </c>
      <c r="BI770">
        <v>17</v>
      </c>
      <c r="BJ770" t="s">
        <v>10835</v>
      </c>
      <c r="BK770" t="s">
        <v>91</v>
      </c>
      <c r="BL770" t="s">
        <v>10835</v>
      </c>
      <c r="BM770" t="s">
        <v>14647</v>
      </c>
      <c r="BN770">
        <v>25116514</v>
      </c>
      <c r="BO770" t="s">
        <v>2056</v>
      </c>
      <c r="BP770" t="s">
        <v>74</v>
      </c>
      <c r="BQ770" t="s">
        <v>74</v>
      </c>
      <c r="BR770" t="s">
        <v>93</v>
      </c>
      <c r="BS770" t="s">
        <v>14648</v>
      </c>
      <c r="BT770" t="str">
        <f>HYPERLINK("https%3A%2F%2Fwww.webofscience.com%2Fwos%2Fwoscc%2Ffull-record%2FWOS:000344378300017","View Full Record in Web of Science")</f>
        <v>View Full Record in Web of Science</v>
      </c>
    </row>
    <row r="771" spans="1:72" x14ac:dyDescent="0.15">
      <c r="A771" t="s">
        <v>72</v>
      </c>
      <c r="B771" t="s">
        <v>14649</v>
      </c>
      <c r="C771" t="s">
        <v>74</v>
      </c>
      <c r="D771" t="s">
        <v>74</v>
      </c>
      <c r="E771" t="s">
        <v>74</v>
      </c>
      <c r="F771" t="s">
        <v>14650</v>
      </c>
      <c r="G771" t="s">
        <v>74</v>
      </c>
      <c r="H771" t="s">
        <v>74</v>
      </c>
      <c r="I771" t="s">
        <v>14651</v>
      </c>
      <c r="J771" t="s">
        <v>14629</v>
      </c>
      <c r="K771" t="s">
        <v>74</v>
      </c>
      <c r="L771" t="s">
        <v>74</v>
      </c>
      <c r="M771" t="s">
        <v>78</v>
      </c>
      <c r="N771" t="s">
        <v>99</v>
      </c>
      <c r="O771" t="s">
        <v>74</v>
      </c>
      <c r="P771" t="s">
        <v>74</v>
      </c>
      <c r="Q771" t="s">
        <v>74</v>
      </c>
      <c r="R771" t="s">
        <v>74</v>
      </c>
      <c r="S771" t="s">
        <v>74</v>
      </c>
      <c r="T771" t="s">
        <v>14652</v>
      </c>
      <c r="U771" t="s">
        <v>14653</v>
      </c>
      <c r="V771" t="s">
        <v>14654</v>
      </c>
      <c r="W771" t="s">
        <v>14655</v>
      </c>
      <c r="X771" t="s">
        <v>14656</v>
      </c>
      <c r="Y771" t="s">
        <v>14657</v>
      </c>
      <c r="Z771" t="s">
        <v>14658</v>
      </c>
      <c r="AA771" t="s">
        <v>14659</v>
      </c>
      <c r="AB771" t="s">
        <v>14660</v>
      </c>
      <c r="AC771" t="s">
        <v>14661</v>
      </c>
      <c r="AD771" t="s">
        <v>14662</v>
      </c>
      <c r="AE771" t="s">
        <v>14663</v>
      </c>
      <c r="AF771" t="s">
        <v>74</v>
      </c>
      <c r="AG771">
        <v>35</v>
      </c>
      <c r="AH771">
        <v>18</v>
      </c>
      <c r="AI771">
        <v>20</v>
      </c>
      <c r="AJ771">
        <v>0</v>
      </c>
      <c r="AK771">
        <v>26</v>
      </c>
      <c r="AL771" t="s">
        <v>2006</v>
      </c>
      <c r="AM771" t="s">
        <v>2007</v>
      </c>
      <c r="AN771" t="s">
        <v>2008</v>
      </c>
      <c r="AO771" t="s">
        <v>14642</v>
      </c>
      <c r="AP771" t="s">
        <v>14643</v>
      </c>
      <c r="AQ771" t="s">
        <v>74</v>
      </c>
      <c r="AR771" t="s">
        <v>14644</v>
      </c>
      <c r="AS771" t="s">
        <v>14645</v>
      </c>
      <c r="AT771" t="s">
        <v>13619</v>
      </c>
      <c r="AU771">
        <v>2014</v>
      </c>
      <c r="AV771">
        <v>82</v>
      </c>
      <c r="AW771">
        <v>11</v>
      </c>
      <c r="AX771" t="s">
        <v>74</v>
      </c>
      <c r="AY771" t="s">
        <v>74</v>
      </c>
      <c r="AZ771" t="s">
        <v>74</v>
      </c>
      <c r="BA771" t="s">
        <v>74</v>
      </c>
      <c r="BB771">
        <v>3217</v>
      </c>
      <c r="BC771">
        <v>3223</v>
      </c>
      <c r="BD771" t="s">
        <v>74</v>
      </c>
      <c r="BE771" t="s">
        <v>14664</v>
      </c>
      <c r="BF771" t="str">
        <f>HYPERLINK("http://dx.doi.org/10.1002/prot.24655","http://dx.doi.org/10.1002/prot.24655")</f>
        <v>http://dx.doi.org/10.1002/prot.24655</v>
      </c>
      <c r="BG771" t="s">
        <v>74</v>
      </c>
      <c r="BH771" t="s">
        <v>74</v>
      </c>
      <c r="BI771">
        <v>7</v>
      </c>
      <c r="BJ771" t="s">
        <v>10835</v>
      </c>
      <c r="BK771" t="s">
        <v>91</v>
      </c>
      <c r="BL771" t="s">
        <v>10835</v>
      </c>
      <c r="BM771" t="s">
        <v>14647</v>
      </c>
      <c r="BN771">
        <v>25082572</v>
      </c>
      <c r="BO771" t="s">
        <v>74</v>
      </c>
      <c r="BP771" t="s">
        <v>74</v>
      </c>
      <c r="BQ771" t="s">
        <v>74</v>
      </c>
      <c r="BR771" t="s">
        <v>93</v>
      </c>
      <c r="BS771" t="s">
        <v>14665</v>
      </c>
      <c r="BT771" t="str">
        <f>HYPERLINK("https%3A%2F%2Fwww.webofscience.com%2Fwos%2Fwoscc%2Ffull-record%2FWOS:000344378300031","View Full Record in Web of Science")</f>
        <v>View Full Record in Web of Science</v>
      </c>
    </row>
    <row r="772" spans="1:72" x14ac:dyDescent="0.15">
      <c r="A772" t="s">
        <v>72</v>
      </c>
      <c r="B772" t="s">
        <v>14666</v>
      </c>
      <c r="C772" t="s">
        <v>74</v>
      </c>
      <c r="D772" t="s">
        <v>74</v>
      </c>
      <c r="E772" t="s">
        <v>74</v>
      </c>
      <c r="F772" t="s">
        <v>14667</v>
      </c>
      <c r="G772" t="s">
        <v>74</v>
      </c>
      <c r="H772" t="s">
        <v>74</v>
      </c>
      <c r="I772" t="s">
        <v>14668</v>
      </c>
      <c r="J772" t="s">
        <v>3005</v>
      </c>
      <c r="K772" t="s">
        <v>74</v>
      </c>
      <c r="L772" t="s">
        <v>74</v>
      </c>
      <c r="M772" t="s">
        <v>78</v>
      </c>
      <c r="N772" t="s">
        <v>99</v>
      </c>
      <c r="O772" t="s">
        <v>74</v>
      </c>
      <c r="P772" t="s">
        <v>74</v>
      </c>
      <c r="Q772" t="s">
        <v>74</v>
      </c>
      <c r="R772" t="s">
        <v>74</v>
      </c>
      <c r="S772" t="s">
        <v>74</v>
      </c>
      <c r="T772" t="s">
        <v>14669</v>
      </c>
      <c r="U772" t="s">
        <v>14670</v>
      </c>
      <c r="V772" t="s">
        <v>14671</v>
      </c>
      <c r="W772" t="s">
        <v>14672</v>
      </c>
      <c r="X772" t="s">
        <v>14673</v>
      </c>
      <c r="Y772" t="s">
        <v>14674</v>
      </c>
      <c r="Z772" t="s">
        <v>14675</v>
      </c>
      <c r="AA772" t="s">
        <v>74</v>
      </c>
      <c r="AB772" t="s">
        <v>14676</v>
      </c>
      <c r="AC772" t="s">
        <v>14677</v>
      </c>
      <c r="AD772" t="s">
        <v>14678</v>
      </c>
      <c r="AE772" t="s">
        <v>14679</v>
      </c>
      <c r="AF772" t="s">
        <v>74</v>
      </c>
      <c r="AG772">
        <v>78</v>
      </c>
      <c r="AH772">
        <v>97</v>
      </c>
      <c r="AI772">
        <v>102</v>
      </c>
      <c r="AJ772">
        <v>0</v>
      </c>
      <c r="AK772">
        <v>34</v>
      </c>
      <c r="AL772" t="s">
        <v>2439</v>
      </c>
      <c r="AM772" t="s">
        <v>1411</v>
      </c>
      <c r="AN772" t="s">
        <v>2440</v>
      </c>
      <c r="AO772" t="s">
        <v>3014</v>
      </c>
      <c r="AP772" t="s">
        <v>3015</v>
      </c>
      <c r="AQ772" t="s">
        <v>74</v>
      </c>
      <c r="AR772" t="s">
        <v>3016</v>
      </c>
      <c r="AS772" t="s">
        <v>3017</v>
      </c>
      <c r="AT772" t="s">
        <v>14185</v>
      </c>
      <c r="AU772">
        <v>2014</v>
      </c>
      <c r="AV772">
        <v>103</v>
      </c>
      <c r="AW772" t="s">
        <v>74</v>
      </c>
      <c r="AX772" t="s">
        <v>74</v>
      </c>
      <c r="AY772" t="s">
        <v>74</v>
      </c>
      <c r="AZ772" t="s">
        <v>74</v>
      </c>
      <c r="BA772" t="s">
        <v>74</v>
      </c>
      <c r="BB772">
        <v>91</v>
      </c>
      <c r="BC772">
        <v>115</v>
      </c>
      <c r="BD772" t="s">
        <v>74</v>
      </c>
      <c r="BE772" t="s">
        <v>14680</v>
      </c>
      <c r="BF772" t="str">
        <f>HYPERLINK("http://dx.doi.org/10.1016/j.quascirev.2014.09.003","http://dx.doi.org/10.1016/j.quascirev.2014.09.003")</f>
        <v>http://dx.doi.org/10.1016/j.quascirev.2014.09.003</v>
      </c>
      <c r="BG772" t="s">
        <v>74</v>
      </c>
      <c r="BH772" t="s">
        <v>74</v>
      </c>
      <c r="BI772">
        <v>25</v>
      </c>
      <c r="BJ772" t="s">
        <v>372</v>
      </c>
      <c r="BK772" t="s">
        <v>91</v>
      </c>
      <c r="BL772" t="s">
        <v>373</v>
      </c>
      <c r="BM772" t="s">
        <v>14681</v>
      </c>
      <c r="BN772" t="s">
        <v>74</v>
      </c>
      <c r="BO772" t="s">
        <v>74</v>
      </c>
      <c r="BP772" t="s">
        <v>74</v>
      </c>
      <c r="BQ772" t="s">
        <v>74</v>
      </c>
      <c r="BR772" t="s">
        <v>93</v>
      </c>
      <c r="BS772" t="s">
        <v>14682</v>
      </c>
      <c r="BT772" t="str">
        <f>HYPERLINK("https%3A%2F%2Fwww.webofscience.com%2Fwos%2Fwoscc%2Ffull-record%2FWOS:000344211000008","View Full Record in Web of Science")</f>
        <v>View Full Record in Web of Science</v>
      </c>
    </row>
    <row r="773" spans="1:72" x14ac:dyDescent="0.15">
      <c r="A773" t="s">
        <v>72</v>
      </c>
      <c r="B773" t="s">
        <v>14683</v>
      </c>
      <c r="C773" t="s">
        <v>74</v>
      </c>
      <c r="D773" t="s">
        <v>74</v>
      </c>
      <c r="E773" t="s">
        <v>74</v>
      </c>
      <c r="F773" t="s">
        <v>14684</v>
      </c>
      <c r="G773" t="s">
        <v>74</v>
      </c>
      <c r="H773" t="s">
        <v>74</v>
      </c>
      <c r="I773" t="s">
        <v>14685</v>
      </c>
      <c r="J773" t="s">
        <v>14686</v>
      </c>
      <c r="K773" t="s">
        <v>74</v>
      </c>
      <c r="L773" t="s">
        <v>74</v>
      </c>
      <c r="M773" t="s">
        <v>78</v>
      </c>
      <c r="N773" t="s">
        <v>99</v>
      </c>
      <c r="O773" t="s">
        <v>74</v>
      </c>
      <c r="P773" t="s">
        <v>74</v>
      </c>
      <c r="Q773" t="s">
        <v>74</v>
      </c>
      <c r="R773" t="s">
        <v>74</v>
      </c>
      <c r="S773" t="s">
        <v>74</v>
      </c>
      <c r="T773" t="s">
        <v>14687</v>
      </c>
      <c r="U773" t="s">
        <v>14688</v>
      </c>
      <c r="V773" t="s">
        <v>14689</v>
      </c>
      <c r="W773" t="s">
        <v>14690</v>
      </c>
      <c r="X773" t="s">
        <v>14691</v>
      </c>
      <c r="Y773" t="s">
        <v>14692</v>
      </c>
      <c r="Z773" t="s">
        <v>14693</v>
      </c>
      <c r="AA773" t="s">
        <v>14694</v>
      </c>
      <c r="AB773" t="s">
        <v>14695</v>
      </c>
      <c r="AC773" t="s">
        <v>14696</v>
      </c>
      <c r="AD773" t="s">
        <v>14697</v>
      </c>
      <c r="AE773" t="s">
        <v>14698</v>
      </c>
      <c r="AF773" t="s">
        <v>74</v>
      </c>
      <c r="AG773">
        <v>43</v>
      </c>
      <c r="AH773">
        <v>28</v>
      </c>
      <c r="AI773">
        <v>30</v>
      </c>
      <c r="AJ773">
        <v>0</v>
      </c>
      <c r="AK773">
        <v>6</v>
      </c>
      <c r="AL773" t="s">
        <v>3102</v>
      </c>
      <c r="AM773" t="s">
        <v>3103</v>
      </c>
      <c r="AN773" t="s">
        <v>3104</v>
      </c>
      <c r="AO773" t="s">
        <v>14699</v>
      </c>
      <c r="AP773" t="s">
        <v>14700</v>
      </c>
      <c r="AQ773" t="s">
        <v>74</v>
      </c>
      <c r="AR773" t="s">
        <v>14701</v>
      </c>
      <c r="AS773" t="s">
        <v>14702</v>
      </c>
      <c r="AT773" t="s">
        <v>14185</v>
      </c>
      <c r="AU773">
        <v>2014</v>
      </c>
      <c r="AV773">
        <v>795</v>
      </c>
      <c r="AW773">
        <v>1</v>
      </c>
      <c r="AX773" t="s">
        <v>74</v>
      </c>
      <c r="AY773" t="s">
        <v>74</v>
      </c>
      <c r="AZ773" t="s">
        <v>74</v>
      </c>
      <c r="BA773" t="s">
        <v>74</v>
      </c>
      <c r="BB773" t="s">
        <v>74</v>
      </c>
      <c r="BC773" t="s">
        <v>74</v>
      </c>
      <c r="BD773">
        <v>11</v>
      </c>
      <c r="BE773" t="s">
        <v>14703</v>
      </c>
      <c r="BF773" t="str">
        <f>HYPERLINK("http://dx.doi.org/10.1088/0004-637X/795/1/11","http://dx.doi.org/10.1088/0004-637X/795/1/11")</f>
        <v>http://dx.doi.org/10.1088/0004-637X/795/1/11</v>
      </c>
      <c r="BG773" t="s">
        <v>74</v>
      </c>
      <c r="BH773" t="s">
        <v>74</v>
      </c>
      <c r="BI773">
        <v>13</v>
      </c>
      <c r="BJ773" t="s">
        <v>2079</v>
      </c>
      <c r="BK773" t="s">
        <v>91</v>
      </c>
      <c r="BL773" t="s">
        <v>2079</v>
      </c>
      <c r="BM773" t="s">
        <v>14704</v>
      </c>
      <c r="BN773" t="s">
        <v>74</v>
      </c>
      <c r="BO773" t="s">
        <v>6793</v>
      </c>
      <c r="BP773" t="s">
        <v>74</v>
      </c>
      <c r="BQ773" t="s">
        <v>74</v>
      </c>
      <c r="BR773" t="s">
        <v>93</v>
      </c>
      <c r="BS773" t="s">
        <v>14705</v>
      </c>
      <c r="BT773" t="str">
        <f>HYPERLINK("https%3A%2F%2Fwww.webofscience.com%2Fwos%2Fwoscc%2Ffull-record%2FWOS:000343857300011","View Full Record in Web of Science")</f>
        <v>View Full Record in Web of Science</v>
      </c>
    </row>
    <row r="774" spans="1:72" x14ac:dyDescent="0.15">
      <c r="A774" t="s">
        <v>72</v>
      </c>
      <c r="B774" t="s">
        <v>14706</v>
      </c>
      <c r="C774" t="s">
        <v>74</v>
      </c>
      <c r="D774" t="s">
        <v>74</v>
      </c>
      <c r="E774" t="s">
        <v>74</v>
      </c>
      <c r="F774" t="s">
        <v>14707</v>
      </c>
      <c r="G774" t="s">
        <v>74</v>
      </c>
      <c r="H774" t="s">
        <v>74</v>
      </c>
      <c r="I774" t="s">
        <v>14708</v>
      </c>
      <c r="J774" t="s">
        <v>14709</v>
      </c>
      <c r="K774" t="s">
        <v>74</v>
      </c>
      <c r="L774" t="s">
        <v>74</v>
      </c>
      <c r="M774" t="s">
        <v>78</v>
      </c>
      <c r="N774" t="s">
        <v>99</v>
      </c>
      <c r="O774" t="s">
        <v>74</v>
      </c>
      <c r="P774" t="s">
        <v>74</v>
      </c>
      <c r="Q774" t="s">
        <v>74</v>
      </c>
      <c r="R774" t="s">
        <v>74</v>
      </c>
      <c r="S774" t="s">
        <v>74</v>
      </c>
      <c r="T774" t="s">
        <v>74</v>
      </c>
      <c r="U774" t="s">
        <v>14710</v>
      </c>
      <c r="V774" t="s">
        <v>14711</v>
      </c>
      <c r="W774" t="s">
        <v>14712</v>
      </c>
      <c r="X774" t="s">
        <v>14713</v>
      </c>
      <c r="Y774" t="s">
        <v>14714</v>
      </c>
      <c r="Z774" t="s">
        <v>14715</v>
      </c>
      <c r="AA774" t="s">
        <v>14716</v>
      </c>
      <c r="AB774" t="s">
        <v>14717</v>
      </c>
      <c r="AC774" t="s">
        <v>14718</v>
      </c>
      <c r="AD774" t="s">
        <v>14719</v>
      </c>
      <c r="AE774" t="s">
        <v>14720</v>
      </c>
      <c r="AF774" t="s">
        <v>74</v>
      </c>
      <c r="AG774">
        <v>33</v>
      </c>
      <c r="AH774">
        <v>22</v>
      </c>
      <c r="AI774">
        <v>22</v>
      </c>
      <c r="AJ774">
        <v>1</v>
      </c>
      <c r="AK774">
        <v>19</v>
      </c>
      <c r="AL774" t="s">
        <v>2666</v>
      </c>
      <c r="AM774" t="s">
        <v>342</v>
      </c>
      <c r="AN774" t="s">
        <v>2667</v>
      </c>
      <c r="AO774" t="s">
        <v>14721</v>
      </c>
      <c r="AP774" t="s">
        <v>14722</v>
      </c>
      <c r="AQ774" t="s">
        <v>74</v>
      </c>
      <c r="AR774" t="s">
        <v>14723</v>
      </c>
      <c r="AS774" t="s">
        <v>14724</v>
      </c>
      <c r="AT774" t="s">
        <v>13619</v>
      </c>
      <c r="AU774">
        <v>2014</v>
      </c>
      <c r="AV774">
        <v>69</v>
      </c>
      <c r="AW774">
        <v>5</v>
      </c>
      <c r="AX774" t="s">
        <v>74</v>
      </c>
      <c r="AY774" t="s">
        <v>74</v>
      </c>
      <c r="AZ774" t="s">
        <v>74</v>
      </c>
      <c r="BA774" t="s">
        <v>74</v>
      </c>
      <c r="BB774">
        <v>594</v>
      </c>
      <c r="BC774">
        <v>603</v>
      </c>
      <c r="BD774" t="s">
        <v>74</v>
      </c>
      <c r="BE774" t="s">
        <v>14725</v>
      </c>
      <c r="BF774" t="str">
        <f>HYPERLINK("http://dx.doi.org/10.1007/s00284-014-0629-1","http://dx.doi.org/10.1007/s00284-014-0629-1")</f>
        <v>http://dx.doi.org/10.1007/s00284-014-0629-1</v>
      </c>
      <c r="BG774" t="s">
        <v>74</v>
      </c>
      <c r="BH774" t="s">
        <v>74</v>
      </c>
      <c r="BI774">
        <v>10</v>
      </c>
      <c r="BJ774" t="s">
        <v>5926</v>
      </c>
      <c r="BK774" t="s">
        <v>91</v>
      </c>
      <c r="BL774" t="s">
        <v>5926</v>
      </c>
      <c r="BM774" t="s">
        <v>14726</v>
      </c>
      <c r="BN774">
        <v>24939384</v>
      </c>
      <c r="BO774" t="s">
        <v>2744</v>
      </c>
      <c r="BP774" t="s">
        <v>74</v>
      </c>
      <c r="BQ774" t="s">
        <v>74</v>
      </c>
      <c r="BR774" t="s">
        <v>93</v>
      </c>
      <c r="BS774" t="s">
        <v>14727</v>
      </c>
      <c r="BT774" t="str">
        <f>HYPERLINK("https%3A%2F%2Fwww.webofscience.com%2Fwos%2Fwoscc%2Ffull-record%2FWOS:000343913500002","View Full Record in Web of Science")</f>
        <v>View Full Record in Web of Science</v>
      </c>
    </row>
    <row r="775" spans="1:72" x14ac:dyDescent="0.15">
      <c r="A775" t="s">
        <v>72</v>
      </c>
      <c r="B775" t="s">
        <v>14728</v>
      </c>
      <c r="C775" t="s">
        <v>74</v>
      </c>
      <c r="D775" t="s">
        <v>74</v>
      </c>
      <c r="E775" t="s">
        <v>74</v>
      </c>
      <c r="F775" t="s">
        <v>14729</v>
      </c>
      <c r="G775" t="s">
        <v>74</v>
      </c>
      <c r="H775" t="s">
        <v>74</v>
      </c>
      <c r="I775" t="s">
        <v>14730</v>
      </c>
      <c r="J775" t="s">
        <v>5441</v>
      </c>
      <c r="K775" t="s">
        <v>74</v>
      </c>
      <c r="L775" t="s">
        <v>74</v>
      </c>
      <c r="M775" t="s">
        <v>78</v>
      </c>
      <c r="N775" t="s">
        <v>99</v>
      </c>
      <c r="O775" t="s">
        <v>74</v>
      </c>
      <c r="P775" t="s">
        <v>74</v>
      </c>
      <c r="Q775" t="s">
        <v>74</v>
      </c>
      <c r="R775" t="s">
        <v>74</v>
      </c>
      <c r="S775" t="s">
        <v>74</v>
      </c>
      <c r="T775" t="s">
        <v>14731</v>
      </c>
      <c r="U775" t="s">
        <v>14732</v>
      </c>
      <c r="V775" t="s">
        <v>14733</v>
      </c>
      <c r="W775" t="s">
        <v>14734</v>
      </c>
      <c r="X775" t="s">
        <v>14735</v>
      </c>
      <c r="Y775" t="s">
        <v>14736</v>
      </c>
      <c r="Z775" t="s">
        <v>14737</v>
      </c>
      <c r="AA775" t="s">
        <v>14738</v>
      </c>
      <c r="AB775" t="s">
        <v>14739</v>
      </c>
      <c r="AC775" t="s">
        <v>14740</v>
      </c>
      <c r="AD775" t="s">
        <v>14741</v>
      </c>
      <c r="AE775" t="s">
        <v>14742</v>
      </c>
      <c r="AF775" t="s">
        <v>74</v>
      </c>
      <c r="AG775">
        <v>101</v>
      </c>
      <c r="AH775">
        <v>20</v>
      </c>
      <c r="AI775">
        <v>21</v>
      </c>
      <c r="AJ775">
        <v>0</v>
      </c>
      <c r="AK775">
        <v>26</v>
      </c>
      <c r="AL775" t="s">
        <v>2439</v>
      </c>
      <c r="AM775" t="s">
        <v>1411</v>
      </c>
      <c r="AN775" t="s">
        <v>2440</v>
      </c>
      <c r="AO775" t="s">
        <v>5454</v>
      </c>
      <c r="AP775" t="s">
        <v>5455</v>
      </c>
      <c r="AQ775" t="s">
        <v>74</v>
      </c>
      <c r="AR775" t="s">
        <v>5456</v>
      </c>
      <c r="AS775" t="s">
        <v>5457</v>
      </c>
      <c r="AT775" t="s">
        <v>13619</v>
      </c>
      <c r="AU775">
        <v>2014</v>
      </c>
      <c r="AV775">
        <v>93</v>
      </c>
      <c r="AW775" t="s">
        <v>74</v>
      </c>
      <c r="AX775" t="s">
        <v>74</v>
      </c>
      <c r="AY775" t="s">
        <v>74</v>
      </c>
      <c r="AZ775" t="s">
        <v>74</v>
      </c>
      <c r="BA775" t="s">
        <v>74</v>
      </c>
      <c r="BB775">
        <v>1</v>
      </c>
      <c r="BC775">
        <v>13</v>
      </c>
      <c r="BD775" t="s">
        <v>74</v>
      </c>
      <c r="BE775" t="s">
        <v>14743</v>
      </c>
      <c r="BF775" t="str">
        <f>HYPERLINK("http://dx.doi.org/10.1016/j.dsr.2014.07.008","http://dx.doi.org/10.1016/j.dsr.2014.07.008")</f>
        <v>http://dx.doi.org/10.1016/j.dsr.2014.07.008</v>
      </c>
      <c r="BG775" t="s">
        <v>74</v>
      </c>
      <c r="BH775" t="s">
        <v>74</v>
      </c>
      <c r="BI775">
        <v>13</v>
      </c>
      <c r="BJ775" t="s">
        <v>2054</v>
      </c>
      <c r="BK775" t="s">
        <v>91</v>
      </c>
      <c r="BL775" t="s">
        <v>2054</v>
      </c>
      <c r="BM775" t="s">
        <v>14744</v>
      </c>
      <c r="BN775" t="s">
        <v>74</v>
      </c>
      <c r="BO775" t="s">
        <v>74</v>
      </c>
      <c r="BP775" t="s">
        <v>74</v>
      </c>
      <c r="BQ775" t="s">
        <v>74</v>
      </c>
      <c r="BR775" t="s">
        <v>93</v>
      </c>
      <c r="BS775" t="s">
        <v>14745</v>
      </c>
      <c r="BT775" t="str">
        <f>HYPERLINK("https%3A%2F%2Fwww.webofscience.com%2Fwos%2Fwoscc%2Ffull-record%2FWOS:000343853200001","View Full Record in Web of Science")</f>
        <v>View Full Record in Web of Science</v>
      </c>
    </row>
    <row r="776" spans="1:72" x14ac:dyDescent="0.15">
      <c r="A776" t="s">
        <v>72</v>
      </c>
      <c r="B776" t="s">
        <v>14746</v>
      </c>
      <c r="C776" t="s">
        <v>74</v>
      </c>
      <c r="D776" t="s">
        <v>74</v>
      </c>
      <c r="E776" t="s">
        <v>74</v>
      </c>
      <c r="F776" t="s">
        <v>14747</v>
      </c>
      <c r="G776" t="s">
        <v>74</v>
      </c>
      <c r="H776" t="s">
        <v>74</v>
      </c>
      <c r="I776" t="s">
        <v>14748</v>
      </c>
      <c r="J776" t="s">
        <v>5441</v>
      </c>
      <c r="K776" t="s">
        <v>74</v>
      </c>
      <c r="L776" t="s">
        <v>74</v>
      </c>
      <c r="M776" t="s">
        <v>78</v>
      </c>
      <c r="N776" t="s">
        <v>99</v>
      </c>
      <c r="O776" t="s">
        <v>74</v>
      </c>
      <c r="P776" t="s">
        <v>74</v>
      </c>
      <c r="Q776" t="s">
        <v>74</v>
      </c>
      <c r="R776" t="s">
        <v>74</v>
      </c>
      <c r="S776" t="s">
        <v>74</v>
      </c>
      <c r="T776" t="s">
        <v>14749</v>
      </c>
      <c r="U776" t="s">
        <v>14750</v>
      </c>
      <c r="V776" t="s">
        <v>14751</v>
      </c>
      <c r="W776" t="s">
        <v>14752</v>
      </c>
      <c r="X776" t="s">
        <v>14753</v>
      </c>
      <c r="Y776" t="s">
        <v>14754</v>
      </c>
      <c r="Z776" t="s">
        <v>14755</v>
      </c>
      <c r="AA776" t="s">
        <v>74</v>
      </c>
      <c r="AB776" t="s">
        <v>74</v>
      </c>
      <c r="AC776" t="s">
        <v>14756</v>
      </c>
      <c r="AD776" t="s">
        <v>14757</v>
      </c>
      <c r="AE776" t="s">
        <v>14758</v>
      </c>
      <c r="AF776" t="s">
        <v>74</v>
      </c>
      <c r="AG776">
        <v>86</v>
      </c>
      <c r="AH776">
        <v>13</v>
      </c>
      <c r="AI776">
        <v>13</v>
      </c>
      <c r="AJ776">
        <v>1</v>
      </c>
      <c r="AK776">
        <v>34</v>
      </c>
      <c r="AL776" t="s">
        <v>2439</v>
      </c>
      <c r="AM776" t="s">
        <v>1411</v>
      </c>
      <c r="AN776" t="s">
        <v>2440</v>
      </c>
      <c r="AO776" t="s">
        <v>5454</v>
      </c>
      <c r="AP776" t="s">
        <v>5455</v>
      </c>
      <c r="AQ776" t="s">
        <v>74</v>
      </c>
      <c r="AR776" t="s">
        <v>5456</v>
      </c>
      <c r="AS776" t="s">
        <v>5457</v>
      </c>
      <c r="AT776" t="s">
        <v>13619</v>
      </c>
      <c r="AU776">
        <v>2014</v>
      </c>
      <c r="AV776">
        <v>93</v>
      </c>
      <c r="AW776" t="s">
        <v>74</v>
      </c>
      <c r="AX776" t="s">
        <v>74</v>
      </c>
      <c r="AY776" t="s">
        <v>74</v>
      </c>
      <c r="AZ776" t="s">
        <v>74</v>
      </c>
      <c r="BA776" t="s">
        <v>74</v>
      </c>
      <c r="BB776">
        <v>117</v>
      </c>
      <c r="BC776">
        <v>130</v>
      </c>
      <c r="BD776" t="s">
        <v>74</v>
      </c>
      <c r="BE776" t="s">
        <v>14759</v>
      </c>
      <c r="BF776" t="str">
        <f>HYPERLINK("http://dx.doi.org/10.1016/j.dsr.2014.08.001","http://dx.doi.org/10.1016/j.dsr.2014.08.001")</f>
        <v>http://dx.doi.org/10.1016/j.dsr.2014.08.001</v>
      </c>
      <c r="BG776" t="s">
        <v>74</v>
      </c>
      <c r="BH776" t="s">
        <v>74</v>
      </c>
      <c r="BI776">
        <v>14</v>
      </c>
      <c r="BJ776" t="s">
        <v>2054</v>
      </c>
      <c r="BK776" t="s">
        <v>91</v>
      </c>
      <c r="BL776" t="s">
        <v>2054</v>
      </c>
      <c r="BM776" t="s">
        <v>14744</v>
      </c>
      <c r="BN776" t="s">
        <v>74</v>
      </c>
      <c r="BO776" t="s">
        <v>74</v>
      </c>
      <c r="BP776" t="s">
        <v>74</v>
      </c>
      <c r="BQ776" t="s">
        <v>74</v>
      </c>
      <c r="BR776" t="s">
        <v>93</v>
      </c>
      <c r="BS776" t="s">
        <v>14760</v>
      </c>
      <c r="BT776" t="str">
        <f>HYPERLINK("https%3A%2F%2Fwww.webofscience.com%2Fwos%2Fwoscc%2Ffull-record%2FWOS:000343853200011","View Full Record in Web of Science")</f>
        <v>View Full Record in Web of Science</v>
      </c>
    </row>
    <row r="777" spans="1:72" x14ac:dyDescent="0.15">
      <c r="A777" t="s">
        <v>72</v>
      </c>
      <c r="B777" t="s">
        <v>14761</v>
      </c>
      <c r="C777" t="s">
        <v>74</v>
      </c>
      <c r="D777" t="s">
        <v>74</v>
      </c>
      <c r="E777" t="s">
        <v>74</v>
      </c>
      <c r="F777" t="s">
        <v>14762</v>
      </c>
      <c r="G777" t="s">
        <v>74</v>
      </c>
      <c r="H777" t="s">
        <v>74</v>
      </c>
      <c r="I777" t="s">
        <v>14763</v>
      </c>
      <c r="J777" t="s">
        <v>3163</v>
      </c>
      <c r="K777" t="s">
        <v>74</v>
      </c>
      <c r="L777" t="s">
        <v>74</v>
      </c>
      <c r="M777" t="s">
        <v>78</v>
      </c>
      <c r="N777" t="s">
        <v>99</v>
      </c>
      <c r="O777" t="s">
        <v>74</v>
      </c>
      <c r="P777" t="s">
        <v>74</v>
      </c>
      <c r="Q777" t="s">
        <v>74</v>
      </c>
      <c r="R777" t="s">
        <v>74</v>
      </c>
      <c r="S777" t="s">
        <v>74</v>
      </c>
      <c r="T777" t="s">
        <v>14764</v>
      </c>
      <c r="U777" t="s">
        <v>14765</v>
      </c>
      <c r="V777" t="s">
        <v>14766</v>
      </c>
      <c r="W777" t="s">
        <v>14767</v>
      </c>
      <c r="X777" t="s">
        <v>14768</v>
      </c>
      <c r="Y777" t="s">
        <v>14769</v>
      </c>
      <c r="Z777" t="s">
        <v>14770</v>
      </c>
      <c r="AA777" t="s">
        <v>14771</v>
      </c>
      <c r="AB777" t="s">
        <v>14772</v>
      </c>
      <c r="AC777" t="s">
        <v>74</v>
      </c>
      <c r="AD777" t="s">
        <v>74</v>
      </c>
      <c r="AE777" t="s">
        <v>74</v>
      </c>
      <c r="AF777" t="s">
        <v>74</v>
      </c>
      <c r="AG777">
        <v>31</v>
      </c>
      <c r="AH777">
        <v>1</v>
      </c>
      <c r="AI777">
        <v>2</v>
      </c>
      <c r="AJ777">
        <v>0</v>
      </c>
      <c r="AK777">
        <v>19</v>
      </c>
      <c r="AL777" t="s">
        <v>2666</v>
      </c>
      <c r="AM777" t="s">
        <v>342</v>
      </c>
      <c r="AN777" t="s">
        <v>2667</v>
      </c>
      <c r="AO777" t="s">
        <v>3172</v>
      </c>
      <c r="AP777" t="s">
        <v>3173</v>
      </c>
      <c r="AQ777" t="s">
        <v>74</v>
      </c>
      <c r="AR777" t="s">
        <v>3174</v>
      </c>
      <c r="AS777" t="s">
        <v>3175</v>
      </c>
      <c r="AT777" t="s">
        <v>13619</v>
      </c>
      <c r="AU777">
        <v>2014</v>
      </c>
      <c r="AV777">
        <v>72</v>
      </c>
      <c r="AW777">
        <v>9</v>
      </c>
      <c r="AX777" t="s">
        <v>74</v>
      </c>
      <c r="AY777" t="s">
        <v>74</v>
      </c>
      <c r="AZ777" t="s">
        <v>74</v>
      </c>
      <c r="BA777" t="s">
        <v>74</v>
      </c>
      <c r="BB777">
        <v>3467</v>
      </c>
      <c r="BC777">
        <v>3477</v>
      </c>
      <c r="BD777" t="s">
        <v>74</v>
      </c>
      <c r="BE777" t="s">
        <v>14773</v>
      </c>
      <c r="BF777" t="str">
        <f>HYPERLINK("http://dx.doi.org/10.1007/s12665-014-3254-1","http://dx.doi.org/10.1007/s12665-014-3254-1")</f>
        <v>http://dx.doi.org/10.1007/s12665-014-3254-1</v>
      </c>
      <c r="BG777" t="s">
        <v>74</v>
      </c>
      <c r="BH777" t="s">
        <v>74</v>
      </c>
      <c r="BI777">
        <v>11</v>
      </c>
      <c r="BJ777" t="s">
        <v>3177</v>
      </c>
      <c r="BK777" t="s">
        <v>91</v>
      </c>
      <c r="BL777" t="s">
        <v>3178</v>
      </c>
      <c r="BM777" t="s">
        <v>14774</v>
      </c>
      <c r="BN777" t="s">
        <v>74</v>
      </c>
      <c r="BO777" t="s">
        <v>74</v>
      </c>
      <c r="BP777" t="s">
        <v>74</v>
      </c>
      <c r="BQ777" t="s">
        <v>74</v>
      </c>
      <c r="BR777" t="s">
        <v>93</v>
      </c>
      <c r="BS777" t="s">
        <v>14775</v>
      </c>
      <c r="BT777" t="str">
        <f>HYPERLINK("https%3A%2F%2Fwww.webofscience.com%2Fwos%2Fwoscc%2Ffull-record%2FWOS:000343899900019","View Full Record in Web of Science")</f>
        <v>View Full Record in Web of Science</v>
      </c>
    </row>
    <row r="778" spans="1:72" x14ac:dyDescent="0.15">
      <c r="A778" t="s">
        <v>72</v>
      </c>
      <c r="B778" t="s">
        <v>14776</v>
      </c>
      <c r="C778" t="s">
        <v>74</v>
      </c>
      <c r="D778" t="s">
        <v>74</v>
      </c>
      <c r="E778" t="s">
        <v>74</v>
      </c>
      <c r="F778" t="s">
        <v>14777</v>
      </c>
      <c r="G778" t="s">
        <v>74</v>
      </c>
      <c r="H778" t="s">
        <v>74</v>
      </c>
      <c r="I778" t="s">
        <v>14778</v>
      </c>
      <c r="J778" t="s">
        <v>6189</v>
      </c>
      <c r="K778" t="s">
        <v>74</v>
      </c>
      <c r="L778" t="s">
        <v>74</v>
      </c>
      <c r="M778" t="s">
        <v>78</v>
      </c>
      <c r="N778" t="s">
        <v>99</v>
      </c>
      <c r="O778" t="s">
        <v>74</v>
      </c>
      <c r="P778" t="s">
        <v>74</v>
      </c>
      <c r="Q778" t="s">
        <v>74</v>
      </c>
      <c r="R778" t="s">
        <v>74</v>
      </c>
      <c r="S778" t="s">
        <v>74</v>
      </c>
      <c r="T778" t="s">
        <v>74</v>
      </c>
      <c r="U778" t="s">
        <v>14779</v>
      </c>
      <c r="V778" t="s">
        <v>14780</v>
      </c>
      <c r="W778" t="s">
        <v>14781</v>
      </c>
      <c r="X778" t="s">
        <v>14782</v>
      </c>
      <c r="Y778" t="s">
        <v>14783</v>
      </c>
      <c r="Z778" t="s">
        <v>14784</v>
      </c>
      <c r="AA778" t="s">
        <v>74</v>
      </c>
      <c r="AB778" t="s">
        <v>14785</v>
      </c>
      <c r="AC778" t="s">
        <v>14786</v>
      </c>
      <c r="AD778" t="s">
        <v>14786</v>
      </c>
      <c r="AE778" t="s">
        <v>14787</v>
      </c>
      <c r="AF778" t="s">
        <v>74</v>
      </c>
      <c r="AG778">
        <v>123</v>
      </c>
      <c r="AH778">
        <v>20</v>
      </c>
      <c r="AI778">
        <v>20</v>
      </c>
      <c r="AJ778">
        <v>1</v>
      </c>
      <c r="AK778">
        <v>17</v>
      </c>
      <c r="AL778" t="s">
        <v>6201</v>
      </c>
      <c r="AM778" t="s">
        <v>6202</v>
      </c>
      <c r="AN778" t="s">
        <v>6203</v>
      </c>
      <c r="AO778" t="s">
        <v>6204</v>
      </c>
      <c r="AP778" t="s">
        <v>6205</v>
      </c>
      <c r="AQ778" t="s">
        <v>74</v>
      </c>
      <c r="AR778" t="s">
        <v>6206</v>
      </c>
      <c r="AS778" t="s">
        <v>6207</v>
      </c>
      <c r="AT778" t="s">
        <v>13643</v>
      </c>
      <c r="AU778">
        <v>2014</v>
      </c>
      <c r="AV778">
        <v>126</v>
      </c>
      <c r="AW778" t="s">
        <v>13644</v>
      </c>
      <c r="AX778" t="s">
        <v>74</v>
      </c>
      <c r="AY778" t="s">
        <v>74</v>
      </c>
      <c r="AZ778" t="s">
        <v>74</v>
      </c>
      <c r="BA778" t="s">
        <v>74</v>
      </c>
      <c r="BB778">
        <v>1416</v>
      </c>
      <c r="BC778">
        <v>1438</v>
      </c>
      <c r="BD778" t="s">
        <v>74</v>
      </c>
      <c r="BE778" t="s">
        <v>14788</v>
      </c>
      <c r="BF778" t="str">
        <f>HYPERLINK("http://dx.doi.org/10.1130/B31034.1","http://dx.doi.org/10.1130/B31034.1")</f>
        <v>http://dx.doi.org/10.1130/B31034.1</v>
      </c>
      <c r="BG778" t="s">
        <v>74</v>
      </c>
      <c r="BH778" t="s">
        <v>74</v>
      </c>
      <c r="BI778">
        <v>23</v>
      </c>
      <c r="BJ778" t="s">
        <v>1953</v>
      </c>
      <c r="BK778" t="s">
        <v>91</v>
      </c>
      <c r="BL778" t="s">
        <v>1954</v>
      </c>
      <c r="BM778" t="s">
        <v>14789</v>
      </c>
      <c r="BN778" t="s">
        <v>74</v>
      </c>
      <c r="BO778" t="s">
        <v>74</v>
      </c>
      <c r="BP778" t="s">
        <v>74</v>
      </c>
      <c r="BQ778" t="s">
        <v>74</v>
      </c>
      <c r="BR778" t="s">
        <v>93</v>
      </c>
      <c r="BS778" t="s">
        <v>14790</v>
      </c>
      <c r="BT778" t="str">
        <f>HYPERLINK("https%3A%2F%2Fwww.webofscience.com%2Fwos%2Fwoscc%2Ffull-record%2FWOS:000343759600002","View Full Record in Web of Science")</f>
        <v>View Full Record in Web of Science</v>
      </c>
    </row>
    <row r="779" spans="1:72" x14ac:dyDescent="0.15">
      <c r="A779" t="s">
        <v>72</v>
      </c>
      <c r="B779" t="s">
        <v>14791</v>
      </c>
      <c r="C779" t="s">
        <v>74</v>
      </c>
      <c r="D779" t="s">
        <v>74</v>
      </c>
      <c r="E779" t="s">
        <v>74</v>
      </c>
      <c r="F779" t="s">
        <v>14792</v>
      </c>
      <c r="G779" t="s">
        <v>74</v>
      </c>
      <c r="H779" t="s">
        <v>74</v>
      </c>
      <c r="I779" t="s">
        <v>14793</v>
      </c>
      <c r="J779" t="s">
        <v>14794</v>
      </c>
      <c r="K779" t="s">
        <v>74</v>
      </c>
      <c r="L779" t="s">
        <v>74</v>
      </c>
      <c r="M779" t="s">
        <v>78</v>
      </c>
      <c r="N779" t="s">
        <v>99</v>
      </c>
      <c r="O779" t="s">
        <v>74</v>
      </c>
      <c r="P779" t="s">
        <v>74</v>
      </c>
      <c r="Q779" t="s">
        <v>74</v>
      </c>
      <c r="R779" t="s">
        <v>74</v>
      </c>
      <c r="S779" t="s">
        <v>74</v>
      </c>
      <c r="T779" t="s">
        <v>14795</v>
      </c>
      <c r="U779" t="s">
        <v>74</v>
      </c>
      <c r="V779" t="s">
        <v>14796</v>
      </c>
      <c r="W779" t="s">
        <v>14797</v>
      </c>
      <c r="X779" t="s">
        <v>14798</v>
      </c>
      <c r="Y779" t="s">
        <v>14799</v>
      </c>
      <c r="Z779" t="s">
        <v>14800</v>
      </c>
      <c r="AA779" t="s">
        <v>74</v>
      </c>
      <c r="AB779" t="s">
        <v>14801</v>
      </c>
      <c r="AC779" t="s">
        <v>14802</v>
      </c>
      <c r="AD779" t="s">
        <v>14802</v>
      </c>
      <c r="AE779" t="s">
        <v>14803</v>
      </c>
      <c r="AF779" t="s">
        <v>74</v>
      </c>
      <c r="AG779">
        <v>16</v>
      </c>
      <c r="AH779">
        <v>7</v>
      </c>
      <c r="AI779">
        <v>8</v>
      </c>
      <c r="AJ779">
        <v>2</v>
      </c>
      <c r="AK779">
        <v>14</v>
      </c>
      <c r="AL779" t="s">
        <v>2666</v>
      </c>
      <c r="AM779" t="s">
        <v>342</v>
      </c>
      <c r="AN779" t="s">
        <v>2761</v>
      </c>
      <c r="AO779" t="s">
        <v>14804</v>
      </c>
      <c r="AP779" t="s">
        <v>14805</v>
      </c>
      <c r="AQ779" t="s">
        <v>74</v>
      </c>
      <c r="AR779" t="s">
        <v>14806</v>
      </c>
      <c r="AS779" t="s">
        <v>14807</v>
      </c>
      <c r="AT779" t="s">
        <v>13619</v>
      </c>
      <c r="AU779">
        <v>2014</v>
      </c>
      <c r="AV779">
        <v>113</v>
      </c>
      <c r="AW779">
        <v>11</v>
      </c>
      <c r="AX779" t="s">
        <v>74</v>
      </c>
      <c r="AY779" t="s">
        <v>74</v>
      </c>
      <c r="AZ779" t="s">
        <v>74</v>
      </c>
      <c r="BA779" t="s">
        <v>74</v>
      </c>
      <c r="BB779">
        <v>3947</v>
      </c>
      <c r="BC779">
        <v>3951</v>
      </c>
      <c r="BD779" t="s">
        <v>74</v>
      </c>
      <c r="BE779" t="s">
        <v>14808</v>
      </c>
      <c r="BF779" t="str">
        <f>HYPERLINK("http://dx.doi.org/10.1007/s00436-014-4058-7","http://dx.doi.org/10.1007/s00436-014-4058-7")</f>
        <v>http://dx.doi.org/10.1007/s00436-014-4058-7</v>
      </c>
      <c r="BG779" t="s">
        <v>74</v>
      </c>
      <c r="BH779" t="s">
        <v>74</v>
      </c>
      <c r="BI779">
        <v>5</v>
      </c>
      <c r="BJ779" t="s">
        <v>14809</v>
      </c>
      <c r="BK779" t="s">
        <v>91</v>
      </c>
      <c r="BL779" t="s">
        <v>14809</v>
      </c>
      <c r="BM779" t="s">
        <v>14810</v>
      </c>
      <c r="BN779">
        <v>25082018</v>
      </c>
      <c r="BO779" t="s">
        <v>2056</v>
      </c>
      <c r="BP779" t="s">
        <v>74</v>
      </c>
      <c r="BQ779" t="s">
        <v>74</v>
      </c>
      <c r="BR779" t="s">
        <v>93</v>
      </c>
      <c r="BS779" t="s">
        <v>14811</v>
      </c>
      <c r="BT779" t="str">
        <f>HYPERLINK("https%3A%2F%2Fwww.webofscience.com%2Fwos%2Fwoscc%2Ffull-record%2FWOS:000343914500004","View Full Record in Web of Science")</f>
        <v>View Full Record in Web of Science</v>
      </c>
    </row>
    <row r="780" spans="1:72" x14ac:dyDescent="0.15">
      <c r="A780" t="s">
        <v>72</v>
      </c>
      <c r="B780" t="s">
        <v>14812</v>
      </c>
      <c r="C780" t="s">
        <v>74</v>
      </c>
      <c r="D780" t="s">
        <v>74</v>
      </c>
      <c r="E780" t="s">
        <v>74</v>
      </c>
      <c r="F780" t="s">
        <v>14813</v>
      </c>
      <c r="G780" t="s">
        <v>74</v>
      </c>
      <c r="H780" t="s">
        <v>74</v>
      </c>
      <c r="I780" t="s">
        <v>14814</v>
      </c>
      <c r="J780" t="s">
        <v>14794</v>
      </c>
      <c r="K780" t="s">
        <v>74</v>
      </c>
      <c r="L780" t="s">
        <v>74</v>
      </c>
      <c r="M780" t="s">
        <v>78</v>
      </c>
      <c r="N780" t="s">
        <v>99</v>
      </c>
      <c r="O780" t="s">
        <v>74</v>
      </c>
      <c r="P780" t="s">
        <v>74</v>
      </c>
      <c r="Q780" t="s">
        <v>74</v>
      </c>
      <c r="R780" t="s">
        <v>74</v>
      </c>
      <c r="S780" t="s">
        <v>74</v>
      </c>
      <c r="T780" t="s">
        <v>14815</v>
      </c>
      <c r="U780" t="s">
        <v>14816</v>
      </c>
      <c r="V780" t="s">
        <v>14817</v>
      </c>
      <c r="W780" t="s">
        <v>14818</v>
      </c>
      <c r="X780" t="s">
        <v>14819</v>
      </c>
      <c r="Y780" t="s">
        <v>14820</v>
      </c>
      <c r="Z780" t="s">
        <v>14821</v>
      </c>
      <c r="AA780" t="s">
        <v>74</v>
      </c>
      <c r="AB780" t="s">
        <v>14822</v>
      </c>
      <c r="AC780" t="s">
        <v>74</v>
      </c>
      <c r="AD780" t="s">
        <v>74</v>
      </c>
      <c r="AE780" t="s">
        <v>74</v>
      </c>
      <c r="AF780" t="s">
        <v>74</v>
      </c>
      <c r="AG780">
        <v>45</v>
      </c>
      <c r="AH780">
        <v>14</v>
      </c>
      <c r="AI780">
        <v>14</v>
      </c>
      <c r="AJ780">
        <v>0</v>
      </c>
      <c r="AK780">
        <v>36</v>
      </c>
      <c r="AL780" t="s">
        <v>2666</v>
      </c>
      <c r="AM780" t="s">
        <v>342</v>
      </c>
      <c r="AN780" t="s">
        <v>2667</v>
      </c>
      <c r="AO780" t="s">
        <v>14804</v>
      </c>
      <c r="AP780" t="s">
        <v>14805</v>
      </c>
      <c r="AQ780" t="s">
        <v>74</v>
      </c>
      <c r="AR780" t="s">
        <v>14806</v>
      </c>
      <c r="AS780" t="s">
        <v>14807</v>
      </c>
      <c r="AT780" t="s">
        <v>13619</v>
      </c>
      <c r="AU780">
        <v>2014</v>
      </c>
      <c r="AV780">
        <v>113</v>
      </c>
      <c r="AW780">
        <v>11</v>
      </c>
      <c r="AX780" t="s">
        <v>74</v>
      </c>
      <c r="AY780" t="s">
        <v>74</v>
      </c>
      <c r="AZ780" t="s">
        <v>74</v>
      </c>
      <c r="BA780" t="s">
        <v>74</v>
      </c>
      <c r="BB780">
        <v>4133</v>
      </c>
      <c r="BC780">
        <v>4139</v>
      </c>
      <c r="BD780" t="s">
        <v>74</v>
      </c>
      <c r="BE780" t="s">
        <v>14823</v>
      </c>
      <c r="BF780" t="str">
        <f>HYPERLINK("http://dx.doi.org/10.1007/s00436-014-4085-4","http://dx.doi.org/10.1007/s00436-014-4085-4")</f>
        <v>http://dx.doi.org/10.1007/s00436-014-4085-4</v>
      </c>
      <c r="BG780" t="s">
        <v>74</v>
      </c>
      <c r="BH780" t="s">
        <v>74</v>
      </c>
      <c r="BI780">
        <v>7</v>
      </c>
      <c r="BJ780" t="s">
        <v>14809</v>
      </c>
      <c r="BK780" t="s">
        <v>91</v>
      </c>
      <c r="BL780" t="s">
        <v>14809</v>
      </c>
      <c r="BM780" t="s">
        <v>14810</v>
      </c>
      <c r="BN780">
        <v>25164274</v>
      </c>
      <c r="BO780" t="s">
        <v>74</v>
      </c>
      <c r="BP780" t="s">
        <v>74</v>
      </c>
      <c r="BQ780" t="s">
        <v>74</v>
      </c>
      <c r="BR780" t="s">
        <v>93</v>
      </c>
      <c r="BS780" t="s">
        <v>14824</v>
      </c>
      <c r="BT780" t="str">
        <f>HYPERLINK("https%3A%2F%2Fwww.webofscience.com%2Fwos%2Fwoscc%2Ffull-record%2FWOS:000343914500026","View Full Record in Web of Science")</f>
        <v>View Full Record in Web of Science</v>
      </c>
    </row>
    <row r="781" spans="1:72" x14ac:dyDescent="0.15">
      <c r="A781" t="s">
        <v>72</v>
      </c>
      <c r="B781" t="s">
        <v>14825</v>
      </c>
      <c r="C781" t="s">
        <v>74</v>
      </c>
      <c r="D781" t="s">
        <v>74</v>
      </c>
      <c r="E781" t="s">
        <v>74</v>
      </c>
      <c r="F781" t="s">
        <v>14826</v>
      </c>
      <c r="G781" t="s">
        <v>74</v>
      </c>
      <c r="H781" t="s">
        <v>74</v>
      </c>
      <c r="I781" t="s">
        <v>14827</v>
      </c>
      <c r="J781" t="s">
        <v>2428</v>
      </c>
      <c r="K781" t="s">
        <v>74</v>
      </c>
      <c r="L781" t="s">
        <v>74</v>
      </c>
      <c r="M781" t="s">
        <v>78</v>
      </c>
      <c r="N781" t="s">
        <v>454</v>
      </c>
      <c r="O781" t="s">
        <v>74</v>
      </c>
      <c r="P781" t="s">
        <v>74</v>
      </c>
      <c r="Q781" t="s">
        <v>74</v>
      </c>
      <c r="R781" t="s">
        <v>74</v>
      </c>
      <c r="S781" t="s">
        <v>74</v>
      </c>
      <c r="T781" t="s">
        <v>74</v>
      </c>
      <c r="U781" t="s">
        <v>14828</v>
      </c>
      <c r="V781" t="s">
        <v>14829</v>
      </c>
      <c r="W781" t="s">
        <v>14830</v>
      </c>
      <c r="X781" t="s">
        <v>14831</v>
      </c>
      <c r="Y781" t="s">
        <v>14832</v>
      </c>
      <c r="Z781" t="s">
        <v>14833</v>
      </c>
      <c r="AA781" t="s">
        <v>14834</v>
      </c>
      <c r="AB781" t="s">
        <v>14835</v>
      </c>
      <c r="AC781" t="s">
        <v>14836</v>
      </c>
      <c r="AD781" t="s">
        <v>14837</v>
      </c>
      <c r="AE781" t="s">
        <v>14838</v>
      </c>
      <c r="AF781" t="s">
        <v>74</v>
      </c>
      <c r="AG781">
        <v>61</v>
      </c>
      <c r="AH781">
        <v>47</v>
      </c>
      <c r="AI781">
        <v>49</v>
      </c>
      <c r="AJ781">
        <v>1</v>
      </c>
      <c r="AK781">
        <v>22</v>
      </c>
      <c r="AL781" t="s">
        <v>2439</v>
      </c>
      <c r="AM781" t="s">
        <v>1411</v>
      </c>
      <c r="AN781" t="s">
        <v>2440</v>
      </c>
      <c r="AO781" t="s">
        <v>2441</v>
      </c>
      <c r="AP781" t="s">
        <v>74</v>
      </c>
      <c r="AQ781" t="s">
        <v>74</v>
      </c>
      <c r="AR781" t="s">
        <v>2442</v>
      </c>
      <c r="AS781" t="s">
        <v>2443</v>
      </c>
      <c r="AT781" t="s">
        <v>13619</v>
      </c>
      <c r="AU781">
        <v>2014</v>
      </c>
      <c r="AV781">
        <v>128</v>
      </c>
      <c r="AW781" t="s">
        <v>74</v>
      </c>
      <c r="AX781" t="s">
        <v>74</v>
      </c>
      <c r="AY781" t="s">
        <v>74</v>
      </c>
      <c r="AZ781" t="s">
        <v>74</v>
      </c>
      <c r="BA781" t="s">
        <v>74</v>
      </c>
      <c r="BB781">
        <v>49</v>
      </c>
      <c r="BC781">
        <v>59</v>
      </c>
      <c r="BD781" t="s">
        <v>74</v>
      </c>
      <c r="BE781" t="s">
        <v>14839</v>
      </c>
      <c r="BF781" t="str">
        <f>HYPERLINK("http://dx.doi.org/10.1016/j.pocean.2014.08.006","http://dx.doi.org/10.1016/j.pocean.2014.08.006")</f>
        <v>http://dx.doi.org/10.1016/j.pocean.2014.08.006</v>
      </c>
      <c r="BG781" t="s">
        <v>74</v>
      </c>
      <c r="BH781" t="s">
        <v>74</v>
      </c>
      <c r="BI781">
        <v>11</v>
      </c>
      <c r="BJ781" t="s">
        <v>2054</v>
      </c>
      <c r="BK781" t="s">
        <v>91</v>
      </c>
      <c r="BL781" t="s">
        <v>2054</v>
      </c>
      <c r="BM781" t="s">
        <v>14840</v>
      </c>
      <c r="BN781" t="s">
        <v>74</v>
      </c>
      <c r="BO781" t="s">
        <v>74</v>
      </c>
      <c r="BP781" t="s">
        <v>74</v>
      </c>
      <c r="BQ781" t="s">
        <v>74</v>
      </c>
      <c r="BR781" t="s">
        <v>93</v>
      </c>
      <c r="BS781" t="s">
        <v>14841</v>
      </c>
      <c r="BT781" t="str">
        <f>HYPERLINK("https%3A%2F%2Fwww.webofscience.com%2Fwos%2Fwoscc%2Ffull-record%2FWOS:000343795800004","View Full Record in Web of Science")</f>
        <v>View Full Record in Web of Science</v>
      </c>
    </row>
    <row r="782" spans="1:72" x14ac:dyDescent="0.15">
      <c r="A782" t="s">
        <v>72</v>
      </c>
      <c r="B782" t="s">
        <v>14842</v>
      </c>
      <c r="C782" t="s">
        <v>74</v>
      </c>
      <c r="D782" t="s">
        <v>74</v>
      </c>
      <c r="E782" t="s">
        <v>74</v>
      </c>
      <c r="F782" t="s">
        <v>14843</v>
      </c>
      <c r="G782" t="s">
        <v>74</v>
      </c>
      <c r="H782" t="s">
        <v>74</v>
      </c>
      <c r="I782" t="s">
        <v>14844</v>
      </c>
      <c r="J782" t="s">
        <v>2773</v>
      </c>
      <c r="K782" t="s">
        <v>74</v>
      </c>
      <c r="L782" t="s">
        <v>74</v>
      </c>
      <c r="M782" t="s">
        <v>78</v>
      </c>
      <c r="N782" t="s">
        <v>99</v>
      </c>
      <c r="O782" t="s">
        <v>74</v>
      </c>
      <c r="P782" t="s">
        <v>74</v>
      </c>
      <c r="Q782" t="s">
        <v>74</v>
      </c>
      <c r="R782" t="s">
        <v>74</v>
      </c>
      <c r="S782" t="s">
        <v>74</v>
      </c>
      <c r="T782" t="s">
        <v>14845</v>
      </c>
      <c r="U782" t="s">
        <v>14846</v>
      </c>
      <c r="V782" t="s">
        <v>14847</v>
      </c>
      <c r="W782" t="s">
        <v>14848</v>
      </c>
      <c r="X782" t="s">
        <v>14849</v>
      </c>
      <c r="Y782" t="s">
        <v>14850</v>
      </c>
      <c r="Z782" t="s">
        <v>14851</v>
      </c>
      <c r="AA782" t="s">
        <v>14852</v>
      </c>
      <c r="AB782" t="s">
        <v>14853</v>
      </c>
      <c r="AC782" t="s">
        <v>14854</v>
      </c>
      <c r="AD782" t="s">
        <v>14855</v>
      </c>
      <c r="AE782" t="s">
        <v>14856</v>
      </c>
      <c r="AF782" t="s">
        <v>74</v>
      </c>
      <c r="AG782">
        <v>65</v>
      </c>
      <c r="AH782">
        <v>46</v>
      </c>
      <c r="AI782">
        <v>53</v>
      </c>
      <c r="AJ782">
        <v>1</v>
      </c>
      <c r="AK782">
        <v>44</v>
      </c>
      <c r="AL782" t="s">
        <v>2640</v>
      </c>
      <c r="AM782" t="s">
        <v>1176</v>
      </c>
      <c r="AN782" t="s">
        <v>2641</v>
      </c>
      <c r="AO782" t="s">
        <v>2786</v>
      </c>
      <c r="AP782" t="s">
        <v>2787</v>
      </c>
      <c r="AQ782" t="s">
        <v>74</v>
      </c>
      <c r="AR782" t="s">
        <v>2788</v>
      </c>
      <c r="AS782" t="s">
        <v>2789</v>
      </c>
      <c r="AT782" t="s">
        <v>14185</v>
      </c>
      <c r="AU782">
        <v>2014</v>
      </c>
      <c r="AV782">
        <v>405</v>
      </c>
      <c r="AW782" t="s">
        <v>74</v>
      </c>
      <c r="AX782" t="s">
        <v>74</v>
      </c>
      <c r="AY782" t="s">
        <v>74</v>
      </c>
      <c r="AZ782" t="s">
        <v>74</v>
      </c>
      <c r="BA782" t="s">
        <v>74</v>
      </c>
      <c r="BB782">
        <v>194</v>
      </c>
      <c r="BC782">
        <v>206</v>
      </c>
      <c r="BD782" t="s">
        <v>74</v>
      </c>
      <c r="BE782" t="s">
        <v>14857</v>
      </c>
      <c r="BF782" t="str">
        <f>HYPERLINK("http://dx.doi.org/10.1016/j.epsl.2014.07.031","http://dx.doi.org/10.1016/j.epsl.2014.07.031")</f>
        <v>http://dx.doi.org/10.1016/j.epsl.2014.07.031</v>
      </c>
      <c r="BG782" t="s">
        <v>74</v>
      </c>
      <c r="BH782" t="s">
        <v>74</v>
      </c>
      <c r="BI782">
        <v>13</v>
      </c>
      <c r="BJ782" t="s">
        <v>1902</v>
      </c>
      <c r="BK782" t="s">
        <v>91</v>
      </c>
      <c r="BL782" t="s">
        <v>1902</v>
      </c>
      <c r="BM782" t="s">
        <v>14858</v>
      </c>
      <c r="BN782" t="s">
        <v>74</v>
      </c>
      <c r="BO782" t="s">
        <v>2056</v>
      </c>
      <c r="BP782" t="s">
        <v>74</v>
      </c>
      <c r="BQ782" t="s">
        <v>74</v>
      </c>
      <c r="BR782" t="s">
        <v>93</v>
      </c>
      <c r="BS782" t="s">
        <v>14859</v>
      </c>
      <c r="BT782" t="str">
        <f>HYPERLINK("https%3A%2F%2Fwww.webofscience.com%2Fwos%2Fwoscc%2Ffull-record%2FWOS:000343625500017","View Full Record in Web of Science")</f>
        <v>View Full Record in Web of Science</v>
      </c>
    </row>
    <row r="783" spans="1:72" x14ac:dyDescent="0.15">
      <c r="A783" t="s">
        <v>72</v>
      </c>
      <c r="B783" t="s">
        <v>14860</v>
      </c>
      <c r="C783" t="s">
        <v>74</v>
      </c>
      <c r="D783" t="s">
        <v>74</v>
      </c>
      <c r="E783" t="s">
        <v>74</v>
      </c>
      <c r="F783" t="s">
        <v>14861</v>
      </c>
      <c r="G783" t="s">
        <v>74</v>
      </c>
      <c r="H783" t="s">
        <v>74</v>
      </c>
      <c r="I783" t="s">
        <v>14862</v>
      </c>
      <c r="J783" t="s">
        <v>2773</v>
      </c>
      <c r="K783" t="s">
        <v>74</v>
      </c>
      <c r="L783" t="s">
        <v>74</v>
      </c>
      <c r="M783" t="s">
        <v>78</v>
      </c>
      <c r="N783" t="s">
        <v>99</v>
      </c>
      <c r="O783" t="s">
        <v>74</v>
      </c>
      <c r="P783" t="s">
        <v>74</v>
      </c>
      <c r="Q783" t="s">
        <v>74</v>
      </c>
      <c r="R783" t="s">
        <v>74</v>
      </c>
      <c r="S783" t="s">
        <v>74</v>
      </c>
      <c r="T783" t="s">
        <v>14863</v>
      </c>
      <c r="U783" t="s">
        <v>14864</v>
      </c>
      <c r="V783" t="s">
        <v>14865</v>
      </c>
      <c r="W783" t="s">
        <v>14866</v>
      </c>
      <c r="X783" t="s">
        <v>14867</v>
      </c>
      <c r="Y783" t="s">
        <v>14868</v>
      </c>
      <c r="Z783" t="s">
        <v>14869</v>
      </c>
      <c r="AA783" t="s">
        <v>14870</v>
      </c>
      <c r="AB783" t="s">
        <v>14871</v>
      </c>
      <c r="AC783" t="s">
        <v>14872</v>
      </c>
      <c r="AD783" t="s">
        <v>2029</v>
      </c>
      <c r="AE783" t="s">
        <v>14873</v>
      </c>
      <c r="AF783" t="s">
        <v>74</v>
      </c>
      <c r="AG783">
        <v>50</v>
      </c>
      <c r="AH783">
        <v>5</v>
      </c>
      <c r="AI783">
        <v>5</v>
      </c>
      <c r="AJ783">
        <v>0</v>
      </c>
      <c r="AK783">
        <v>14</v>
      </c>
      <c r="AL783" t="s">
        <v>2640</v>
      </c>
      <c r="AM783" t="s">
        <v>1176</v>
      </c>
      <c r="AN783" t="s">
        <v>2641</v>
      </c>
      <c r="AO783" t="s">
        <v>2786</v>
      </c>
      <c r="AP783" t="s">
        <v>2787</v>
      </c>
      <c r="AQ783" t="s">
        <v>74</v>
      </c>
      <c r="AR783" t="s">
        <v>2788</v>
      </c>
      <c r="AS783" t="s">
        <v>2789</v>
      </c>
      <c r="AT783" t="s">
        <v>14185</v>
      </c>
      <c r="AU783">
        <v>2014</v>
      </c>
      <c r="AV783">
        <v>405</v>
      </c>
      <c r="AW783" t="s">
        <v>74</v>
      </c>
      <c r="AX783" t="s">
        <v>74</v>
      </c>
      <c r="AY783" t="s">
        <v>74</v>
      </c>
      <c r="AZ783" t="s">
        <v>74</v>
      </c>
      <c r="BA783" t="s">
        <v>74</v>
      </c>
      <c r="BB783">
        <v>220</v>
      </c>
      <c r="BC783">
        <v>230</v>
      </c>
      <c r="BD783" t="s">
        <v>74</v>
      </c>
      <c r="BE783" t="s">
        <v>14874</v>
      </c>
      <c r="BF783" t="str">
        <f>HYPERLINK("http://dx.doi.org/10.1016/j.epsl.2014.08.029","http://dx.doi.org/10.1016/j.epsl.2014.08.029")</f>
        <v>http://dx.doi.org/10.1016/j.epsl.2014.08.029</v>
      </c>
      <c r="BG783" t="s">
        <v>74</v>
      </c>
      <c r="BH783" t="s">
        <v>74</v>
      </c>
      <c r="BI783">
        <v>11</v>
      </c>
      <c r="BJ783" t="s">
        <v>1902</v>
      </c>
      <c r="BK783" t="s">
        <v>91</v>
      </c>
      <c r="BL783" t="s">
        <v>1902</v>
      </c>
      <c r="BM783" t="s">
        <v>14858</v>
      </c>
      <c r="BN783" t="s">
        <v>74</v>
      </c>
      <c r="BO783" t="s">
        <v>4631</v>
      </c>
      <c r="BP783" t="s">
        <v>74</v>
      </c>
      <c r="BQ783" t="s">
        <v>74</v>
      </c>
      <c r="BR783" t="s">
        <v>93</v>
      </c>
      <c r="BS783" t="s">
        <v>14875</v>
      </c>
      <c r="BT783" t="str">
        <f>HYPERLINK("https%3A%2F%2Fwww.webofscience.com%2Fwos%2Fwoscc%2Ffull-record%2FWOS:000343625500019","View Full Record in Web of Science")</f>
        <v>View Full Record in Web of Science</v>
      </c>
    </row>
    <row r="784" spans="1:72" x14ac:dyDescent="0.15">
      <c r="A784" t="s">
        <v>72</v>
      </c>
      <c r="B784" t="s">
        <v>14876</v>
      </c>
      <c r="C784" t="s">
        <v>74</v>
      </c>
      <c r="D784" t="s">
        <v>74</v>
      </c>
      <c r="E784" t="s">
        <v>74</v>
      </c>
      <c r="F784" t="s">
        <v>14877</v>
      </c>
      <c r="G784" t="s">
        <v>74</v>
      </c>
      <c r="H784" t="s">
        <v>74</v>
      </c>
      <c r="I784" t="s">
        <v>14878</v>
      </c>
      <c r="J784" t="s">
        <v>14879</v>
      </c>
      <c r="K784" t="s">
        <v>74</v>
      </c>
      <c r="L784" t="s">
        <v>74</v>
      </c>
      <c r="M784" t="s">
        <v>78</v>
      </c>
      <c r="N784" t="s">
        <v>99</v>
      </c>
      <c r="O784" t="s">
        <v>74</v>
      </c>
      <c r="P784" t="s">
        <v>74</v>
      </c>
      <c r="Q784" t="s">
        <v>74</v>
      </c>
      <c r="R784" t="s">
        <v>74</v>
      </c>
      <c r="S784" t="s">
        <v>74</v>
      </c>
      <c r="T784" t="s">
        <v>14880</v>
      </c>
      <c r="U784" t="s">
        <v>14881</v>
      </c>
      <c r="V784" t="s">
        <v>14882</v>
      </c>
      <c r="W784" t="s">
        <v>14883</v>
      </c>
      <c r="X784" t="s">
        <v>14884</v>
      </c>
      <c r="Y784" t="s">
        <v>14885</v>
      </c>
      <c r="Z784" t="s">
        <v>14886</v>
      </c>
      <c r="AA784" t="s">
        <v>14887</v>
      </c>
      <c r="AB784" t="s">
        <v>14888</v>
      </c>
      <c r="AC784" t="s">
        <v>14889</v>
      </c>
      <c r="AD784" t="s">
        <v>14890</v>
      </c>
      <c r="AE784" t="s">
        <v>14891</v>
      </c>
      <c r="AF784" t="s">
        <v>74</v>
      </c>
      <c r="AG784">
        <v>68</v>
      </c>
      <c r="AH784">
        <v>22</v>
      </c>
      <c r="AI784">
        <v>24</v>
      </c>
      <c r="AJ784">
        <v>0</v>
      </c>
      <c r="AK784">
        <v>18</v>
      </c>
      <c r="AL784" t="s">
        <v>3360</v>
      </c>
      <c r="AM784" t="s">
        <v>3361</v>
      </c>
      <c r="AN784" t="s">
        <v>3362</v>
      </c>
      <c r="AO784" t="s">
        <v>14892</v>
      </c>
      <c r="AP784" t="s">
        <v>14893</v>
      </c>
      <c r="AQ784" t="s">
        <v>74</v>
      </c>
      <c r="AR784" t="s">
        <v>14894</v>
      </c>
      <c r="AS784" t="s">
        <v>14895</v>
      </c>
      <c r="AT784" t="s">
        <v>13619</v>
      </c>
      <c r="AU784">
        <v>2014</v>
      </c>
      <c r="AV784">
        <v>109</v>
      </c>
      <c r="AW784" t="s">
        <v>74</v>
      </c>
      <c r="AX784" t="s">
        <v>74</v>
      </c>
      <c r="AY784" t="s">
        <v>74</v>
      </c>
      <c r="AZ784" t="s">
        <v>74</v>
      </c>
      <c r="BA784" t="s">
        <v>74</v>
      </c>
      <c r="BB784">
        <v>56</v>
      </c>
      <c r="BC784">
        <v>62</v>
      </c>
      <c r="BD784" t="s">
        <v>74</v>
      </c>
      <c r="BE784" t="s">
        <v>14896</v>
      </c>
      <c r="BF784" t="str">
        <f>HYPERLINK("http://dx.doi.org/10.1016/j.ecoenv.2014.08.006","http://dx.doi.org/10.1016/j.ecoenv.2014.08.006")</f>
        <v>http://dx.doi.org/10.1016/j.ecoenv.2014.08.006</v>
      </c>
      <c r="BG784" t="s">
        <v>74</v>
      </c>
      <c r="BH784" t="s">
        <v>74</v>
      </c>
      <c r="BI784">
        <v>7</v>
      </c>
      <c r="BJ784" t="s">
        <v>14897</v>
      </c>
      <c r="BK784" t="s">
        <v>91</v>
      </c>
      <c r="BL784" t="s">
        <v>14898</v>
      </c>
      <c r="BM784" t="s">
        <v>14899</v>
      </c>
      <c r="BN784">
        <v>25164203</v>
      </c>
      <c r="BO784" t="s">
        <v>74</v>
      </c>
      <c r="BP784" t="s">
        <v>74</v>
      </c>
      <c r="BQ784" t="s">
        <v>74</v>
      </c>
      <c r="BR784" t="s">
        <v>93</v>
      </c>
      <c r="BS784" t="s">
        <v>14900</v>
      </c>
      <c r="BT784" t="str">
        <f>HYPERLINK("https%3A%2F%2Fwww.webofscience.com%2Fwos%2Fwoscc%2Ffull-record%2FWOS:000343523900009","View Full Record in Web of Science")</f>
        <v>View Full Record in Web of Science</v>
      </c>
    </row>
    <row r="785" spans="1:72" x14ac:dyDescent="0.15">
      <c r="A785" t="s">
        <v>72</v>
      </c>
      <c r="B785" t="s">
        <v>14901</v>
      </c>
      <c r="C785" t="s">
        <v>74</v>
      </c>
      <c r="D785" t="s">
        <v>74</v>
      </c>
      <c r="E785" t="s">
        <v>74</v>
      </c>
      <c r="F785" t="s">
        <v>14902</v>
      </c>
      <c r="G785" t="s">
        <v>74</v>
      </c>
      <c r="H785" t="s">
        <v>74</v>
      </c>
      <c r="I785" t="s">
        <v>14903</v>
      </c>
      <c r="J785" t="s">
        <v>8584</v>
      </c>
      <c r="K785" t="s">
        <v>74</v>
      </c>
      <c r="L785" t="s">
        <v>74</v>
      </c>
      <c r="M785" t="s">
        <v>78</v>
      </c>
      <c r="N785" t="s">
        <v>99</v>
      </c>
      <c r="O785" t="s">
        <v>74</v>
      </c>
      <c r="P785" t="s">
        <v>74</v>
      </c>
      <c r="Q785" t="s">
        <v>74</v>
      </c>
      <c r="R785" t="s">
        <v>74</v>
      </c>
      <c r="S785" t="s">
        <v>74</v>
      </c>
      <c r="T785" t="s">
        <v>14904</v>
      </c>
      <c r="U785" t="s">
        <v>14905</v>
      </c>
      <c r="V785" t="s">
        <v>14906</v>
      </c>
      <c r="W785" t="s">
        <v>14907</v>
      </c>
      <c r="X785" t="s">
        <v>14908</v>
      </c>
      <c r="Y785" t="s">
        <v>14909</v>
      </c>
      <c r="Z785" t="s">
        <v>14910</v>
      </c>
      <c r="AA785" t="s">
        <v>14911</v>
      </c>
      <c r="AB785" t="s">
        <v>14912</v>
      </c>
      <c r="AC785" t="s">
        <v>14913</v>
      </c>
      <c r="AD785" t="s">
        <v>14914</v>
      </c>
      <c r="AE785" t="s">
        <v>14915</v>
      </c>
      <c r="AF785" t="s">
        <v>74</v>
      </c>
      <c r="AG785">
        <v>38</v>
      </c>
      <c r="AH785">
        <v>17</v>
      </c>
      <c r="AI785">
        <v>22</v>
      </c>
      <c r="AJ785">
        <v>0</v>
      </c>
      <c r="AK785">
        <v>67</v>
      </c>
      <c r="AL785" t="s">
        <v>1175</v>
      </c>
      <c r="AM785" t="s">
        <v>1176</v>
      </c>
      <c r="AN785" t="s">
        <v>2938</v>
      </c>
      <c r="AO785" t="s">
        <v>8597</v>
      </c>
      <c r="AP785" t="s">
        <v>8598</v>
      </c>
      <c r="AQ785" t="s">
        <v>74</v>
      </c>
      <c r="AR785" t="s">
        <v>8599</v>
      </c>
      <c r="AS785" t="s">
        <v>8600</v>
      </c>
      <c r="AT785" t="s">
        <v>14185</v>
      </c>
      <c r="AU785">
        <v>2014</v>
      </c>
      <c r="AV785">
        <v>497</v>
      </c>
      <c r="AW785" t="s">
        <v>74</v>
      </c>
      <c r="AX785" t="s">
        <v>74</v>
      </c>
      <c r="AY785" t="s">
        <v>74</v>
      </c>
      <c r="AZ785" t="s">
        <v>74</v>
      </c>
      <c r="BA785" t="s">
        <v>74</v>
      </c>
      <c r="BB785">
        <v>163</v>
      </c>
      <c r="BC785">
        <v>171</v>
      </c>
      <c r="BD785" t="s">
        <v>74</v>
      </c>
      <c r="BE785" t="s">
        <v>14916</v>
      </c>
      <c r="BF785" t="str">
        <f>HYPERLINK("http://dx.doi.org/10.1016/j.scitotenv.2014.07.097","http://dx.doi.org/10.1016/j.scitotenv.2014.07.097")</f>
        <v>http://dx.doi.org/10.1016/j.scitotenv.2014.07.097</v>
      </c>
      <c r="BG785" t="s">
        <v>74</v>
      </c>
      <c r="BH785" t="s">
        <v>74</v>
      </c>
      <c r="BI785">
        <v>9</v>
      </c>
      <c r="BJ785" t="s">
        <v>1611</v>
      </c>
      <c r="BK785" t="s">
        <v>91</v>
      </c>
      <c r="BL785" t="s">
        <v>395</v>
      </c>
      <c r="BM785" t="s">
        <v>14917</v>
      </c>
      <c r="BN785">
        <v>25128886</v>
      </c>
      <c r="BO785" t="s">
        <v>74</v>
      </c>
      <c r="BP785" t="s">
        <v>74</v>
      </c>
      <c r="BQ785" t="s">
        <v>74</v>
      </c>
      <c r="BR785" t="s">
        <v>93</v>
      </c>
      <c r="BS785" t="s">
        <v>14918</v>
      </c>
      <c r="BT785" t="str">
        <f>HYPERLINK("https%3A%2F%2Fwww.webofscience.com%2Fwos%2Fwoscc%2Ffull-record%2FWOS:000343613100018","View Full Record in Web of Science")</f>
        <v>View Full Record in Web of Science</v>
      </c>
    </row>
    <row r="786" spans="1:72" x14ac:dyDescent="0.15">
      <c r="A786" t="s">
        <v>72</v>
      </c>
      <c r="B786" t="s">
        <v>14919</v>
      </c>
      <c r="C786" t="s">
        <v>74</v>
      </c>
      <c r="D786" t="s">
        <v>74</v>
      </c>
      <c r="E786" t="s">
        <v>74</v>
      </c>
      <c r="F786" t="s">
        <v>14920</v>
      </c>
      <c r="G786" t="s">
        <v>74</v>
      </c>
      <c r="H786" t="s">
        <v>74</v>
      </c>
      <c r="I786" t="s">
        <v>14921</v>
      </c>
      <c r="J786" t="s">
        <v>14922</v>
      </c>
      <c r="K786" t="s">
        <v>74</v>
      </c>
      <c r="L786" t="s">
        <v>74</v>
      </c>
      <c r="M786" t="s">
        <v>78</v>
      </c>
      <c r="N786" t="s">
        <v>99</v>
      </c>
      <c r="O786" t="s">
        <v>74</v>
      </c>
      <c r="P786" t="s">
        <v>74</v>
      </c>
      <c r="Q786" t="s">
        <v>74</v>
      </c>
      <c r="R786" t="s">
        <v>74</v>
      </c>
      <c r="S786" t="s">
        <v>74</v>
      </c>
      <c r="T786" t="s">
        <v>14923</v>
      </c>
      <c r="U786" t="s">
        <v>14924</v>
      </c>
      <c r="V786" t="s">
        <v>14925</v>
      </c>
      <c r="W786" t="s">
        <v>14926</v>
      </c>
      <c r="X786" t="s">
        <v>14927</v>
      </c>
      <c r="Y786" t="s">
        <v>14928</v>
      </c>
      <c r="Z786" t="s">
        <v>14929</v>
      </c>
      <c r="AA786" t="s">
        <v>14930</v>
      </c>
      <c r="AB786" t="s">
        <v>14931</v>
      </c>
      <c r="AC786" t="s">
        <v>14932</v>
      </c>
      <c r="AD786" t="s">
        <v>14933</v>
      </c>
      <c r="AE786" t="s">
        <v>74</v>
      </c>
      <c r="AF786" t="s">
        <v>74</v>
      </c>
      <c r="AG786">
        <v>28</v>
      </c>
      <c r="AH786">
        <v>6</v>
      </c>
      <c r="AI786">
        <v>7</v>
      </c>
      <c r="AJ786">
        <v>0</v>
      </c>
      <c r="AK786">
        <v>13</v>
      </c>
      <c r="AL786" t="s">
        <v>2486</v>
      </c>
      <c r="AM786" t="s">
        <v>2487</v>
      </c>
      <c r="AN786" t="s">
        <v>2488</v>
      </c>
      <c r="AO786" t="s">
        <v>14934</v>
      </c>
      <c r="AP786" t="s">
        <v>74</v>
      </c>
      <c r="AQ786" t="s">
        <v>74</v>
      </c>
      <c r="AR786" t="s">
        <v>14935</v>
      </c>
      <c r="AS786" t="s">
        <v>14936</v>
      </c>
      <c r="AT786" t="s">
        <v>13619</v>
      </c>
      <c r="AU786">
        <v>2014</v>
      </c>
      <c r="AV786">
        <v>15</v>
      </c>
      <c r="AW786">
        <v>4</v>
      </c>
      <c r="AX786" t="s">
        <v>74</v>
      </c>
      <c r="AY786" t="s">
        <v>74</v>
      </c>
      <c r="AZ786" t="s">
        <v>74</v>
      </c>
      <c r="BA786" t="s">
        <v>74</v>
      </c>
      <c r="BB786">
        <v>329</v>
      </c>
      <c r="BC786">
        <v>353</v>
      </c>
      <c r="BD786" t="s">
        <v>74</v>
      </c>
      <c r="BE786" t="s">
        <v>14937</v>
      </c>
      <c r="BF786" t="str">
        <f>HYPERLINK("http://dx.doi.org/10.1007/s10101-014-0147-4","http://dx.doi.org/10.1007/s10101-014-0147-4")</f>
        <v>http://dx.doi.org/10.1007/s10101-014-0147-4</v>
      </c>
      <c r="BG786" t="s">
        <v>74</v>
      </c>
      <c r="BH786" t="s">
        <v>74</v>
      </c>
      <c r="BI786">
        <v>25</v>
      </c>
      <c r="BJ786" t="s">
        <v>14938</v>
      </c>
      <c r="BK786" t="s">
        <v>891</v>
      </c>
      <c r="BL786" t="s">
        <v>14939</v>
      </c>
      <c r="BM786" t="s">
        <v>14940</v>
      </c>
      <c r="BN786" t="s">
        <v>74</v>
      </c>
      <c r="BO786" t="s">
        <v>574</v>
      </c>
      <c r="BP786" t="s">
        <v>74</v>
      </c>
      <c r="BQ786" t="s">
        <v>74</v>
      </c>
      <c r="BR786" t="s">
        <v>93</v>
      </c>
      <c r="BS786" t="s">
        <v>14941</v>
      </c>
      <c r="BT786" t="str">
        <f>HYPERLINK("https%3A%2F%2Fwww.webofscience.com%2Fwos%2Fwoscc%2Ffull-record%2FWOS:000343215400002","View Full Record in Web of Science")</f>
        <v>View Full Record in Web of Science</v>
      </c>
    </row>
    <row r="787" spans="1:72" x14ac:dyDescent="0.15">
      <c r="A787" t="s">
        <v>72</v>
      </c>
      <c r="B787" t="s">
        <v>14942</v>
      </c>
      <c r="C787" t="s">
        <v>74</v>
      </c>
      <c r="D787" t="s">
        <v>74</v>
      </c>
      <c r="E787" t="s">
        <v>74</v>
      </c>
      <c r="F787" t="s">
        <v>14943</v>
      </c>
      <c r="G787" t="s">
        <v>74</v>
      </c>
      <c r="H787" t="s">
        <v>74</v>
      </c>
      <c r="I787" t="s">
        <v>14944</v>
      </c>
      <c r="J787" t="s">
        <v>11121</v>
      </c>
      <c r="K787" t="s">
        <v>74</v>
      </c>
      <c r="L787" t="s">
        <v>74</v>
      </c>
      <c r="M787" t="s">
        <v>78</v>
      </c>
      <c r="N787" t="s">
        <v>99</v>
      </c>
      <c r="O787" t="s">
        <v>74</v>
      </c>
      <c r="P787" t="s">
        <v>74</v>
      </c>
      <c r="Q787" t="s">
        <v>74</v>
      </c>
      <c r="R787" t="s">
        <v>74</v>
      </c>
      <c r="S787" t="s">
        <v>74</v>
      </c>
      <c r="T787" t="s">
        <v>14945</v>
      </c>
      <c r="U787" t="s">
        <v>14946</v>
      </c>
      <c r="V787" t="s">
        <v>14947</v>
      </c>
      <c r="W787" t="s">
        <v>14948</v>
      </c>
      <c r="X787" t="s">
        <v>9418</v>
      </c>
      <c r="Y787" t="s">
        <v>14949</v>
      </c>
      <c r="Z787" t="s">
        <v>14950</v>
      </c>
      <c r="AA787" t="s">
        <v>74</v>
      </c>
      <c r="AB787" t="s">
        <v>14951</v>
      </c>
      <c r="AC787" t="s">
        <v>14952</v>
      </c>
      <c r="AD787" t="s">
        <v>14952</v>
      </c>
      <c r="AE787" t="s">
        <v>14953</v>
      </c>
      <c r="AF787" t="s">
        <v>74</v>
      </c>
      <c r="AG787">
        <v>59</v>
      </c>
      <c r="AH787">
        <v>6</v>
      </c>
      <c r="AI787">
        <v>6</v>
      </c>
      <c r="AJ787">
        <v>2</v>
      </c>
      <c r="AK787">
        <v>52</v>
      </c>
      <c r="AL787" t="s">
        <v>2666</v>
      </c>
      <c r="AM787" t="s">
        <v>342</v>
      </c>
      <c r="AN787" t="s">
        <v>2667</v>
      </c>
      <c r="AO787" t="s">
        <v>11134</v>
      </c>
      <c r="AP787" t="s">
        <v>11135</v>
      </c>
      <c r="AQ787" t="s">
        <v>74</v>
      </c>
      <c r="AR787" t="s">
        <v>11136</v>
      </c>
      <c r="AS787" t="s">
        <v>11137</v>
      </c>
      <c r="AT787" t="s">
        <v>13619</v>
      </c>
      <c r="AU787">
        <v>2014</v>
      </c>
      <c r="AV787">
        <v>37</v>
      </c>
      <c r="AW787">
        <v>11</v>
      </c>
      <c r="AX787" t="s">
        <v>74</v>
      </c>
      <c r="AY787" t="s">
        <v>74</v>
      </c>
      <c r="AZ787" t="s">
        <v>74</v>
      </c>
      <c r="BA787" t="s">
        <v>74</v>
      </c>
      <c r="BB787">
        <v>1633</v>
      </c>
      <c r="BC787">
        <v>1644</v>
      </c>
      <c r="BD787" t="s">
        <v>74</v>
      </c>
      <c r="BE787" t="s">
        <v>14954</v>
      </c>
      <c r="BF787" t="str">
        <f>HYPERLINK("http://dx.doi.org/10.1007/s00300-014-1550-6","http://dx.doi.org/10.1007/s00300-014-1550-6")</f>
        <v>http://dx.doi.org/10.1007/s00300-014-1550-6</v>
      </c>
      <c r="BG787" t="s">
        <v>74</v>
      </c>
      <c r="BH787" t="s">
        <v>74</v>
      </c>
      <c r="BI787">
        <v>12</v>
      </c>
      <c r="BJ787" t="s">
        <v>3475</v>
      </c>
      <c r="BK787" t="s">
        <v>91</v>
      </c>
      <c r="BL787" t="s">
        <v>3476</v>
      </c>
      <c r="BM787" t="s">
        <v>14955</v>
      </c>
      <c r="BN787" t="s">
        <v>74</v>
      </c>
      <c r="BO787" t="s">
        <v>74</v>
      </c>
      <c r="BP787" t="s">
        <v>74</v>
      </c>
      <c r="BQ787" t="s">
        <v>74</v>
      </c>
      <c r="BR787" t="s">
        <v>93</v>
      </c>
      <c r="BS787" t="s">
        <v>14956</v>
      </c>
      <c r="BT787" t="str">
        <f>HYPERLINK("https%3A%2F%2Fwww.webofscience.com%2Fwos%2Fwoscc%2Ffull-record%2FWOS:000343141300007","View Full Record in Web of Science")</f>
        <v>View Full Record in Web of Science</v>
      </c>
    </row>
    <row r="788" spans="1:72" x14ac:dyDescent="0.15">
      <c r="A788" t="s">
        <v>72</v>
      </c>
      <c r="B788" t="s">
        <v>14957</v>
      </c>
      <c r="C788" t="s">
        <v>74</v>
      </c>
      <c r="D788" t="s">
        <v>74</v>
      </c>
      <c r="E788" t="s">
        <v>74</v>
      </c>
      <c r="F788" t="s">
        <v>14958</v>
      </c>
      <c r="G788" t="s">
        <v>74</v>
      </c>
      <c r="H788" t="s">
        <v>74</v>
      </c>
      <c r="I788" t="s">
        <v>14959</v>
      </c>
      <c r="J788" t="s">
        <v>11121</v>
      </c>
      <c r="K788" t="s">
        <v>74</v>
      </c>
      <c r="L788" t="s">
        <v>74</v>
      </c>
      <c r="M788" t="s">
        <v>78</v>
      </c>
      <c r="N788" t="s">
        <v>99</v>
      </c>
      <c r="O788" t="s">
        <v>74</v>
      </c>
      <c r="P788" t="s">
        <v>74</v>
      </c>
      <c r="Q788" t="s">
        <v>74</v>
      </c>
      <c r="R788" t="s">
        <v>74</v>
      </c>
      <c r="S788" t="s">
        <v>74</v>
      </c>
      <c r="T788" t="s">
        <v>14960</v>
      </c>
      <c r="U788" t="s">
        <v>14961</v>
      </c>
      <c r="V788" t="s">
        <v>14962</v>
      </c>
      <c r="W788" t="s">
        <v>14963</v>
      </c>
      <c r="X788" t="s">
        <v>14964</v>
      </c>
      <c r="Y788" t="s">
        <v>14965</v>
      </c>
      <c r="Z788" t="s">
        <v>14966</v>
      </c>
      <c r="AA788" t="s">
        <v>74</v>
      </c>
      <c r="AB788" t="s">
        <v>14967</v>
      </c>
      <c r="AC788" t="s">
        <v>14968</v>
      </c>
      <c r="AD788" t="s">
        <v>14968</v>
      </c>
      <c r="AE788" t="s">
        <v>14969</v>
      </c>
      <c r="AF788" t="s">
        <v>74</v>
      </c>
      <c r="AG788">
        <v>52</v>
      </c>
      <c r="AH788">
        <v>9</v>
      </c>
      <c r="AI788">
        <v>13</v>
      </c>
      <c r="AJ788">
        <v>0</v>
      </c>
      <c r="AK788">
        <v>45</v>
      </c>
      <c r="AL788" t="s">
        <v>2666</v>
      </c>
      <c r="AM788" t="s">
        <v>342</v>
      </c>
      <c r="AN788" t="s">
        <v>2761</v>
      </c>
      <c r="AO788" t="s">
        <v>11134</v>
      </c>
      <c r="AP788" t="s">
        <v>11135</v>
      </c>
      <c r="AQ788" t="s">
        <v>74</v>
      </c>
      <c r="AR788" t="s">
        <v>11136</v>
      </c>
      <c r="AS788" t="s">
        <v>11137</v>
      </c>
      <c r="AT788" t="s">
        <v>13619</v>
      </c>
      <c r="AU788">
        <v>2014</v>
      </c>
      <c r="AV788">
        <v>37</v>
      </c>
      <c r="AW788">
        <v>11</v>
      </c>
      <c r="AX788" t="s">
        <v>74</v>
      </c>
      <c r="AY788" t="s">
        <v>74</v>
      </c>
      <c r="AZ788" t="s">
        <v>74</v>
      </c>
      <c r="BA788" t="s">
        <v>74</v>
      </c>
      <c r="BB788">
        <v>1645</v>
      </c>
      <c r="BC788">
        <v>1657</v>
      </c>
      <c r="BD788" t="s">
        <v>74</v>
      </c>
      <c r="BE788" t="s">
        <v>14970</v>
      </c>
      <c r="BF788" t="str">
        <f>HYPERLINK("http://dx.doi.org/10.1007/s00300-014-1551-5","http://dx.doi.org/10.1007/s00300-014-1551-5")</f>
        <v>http://dx.doi.org/10.1007/s00300-014-1551-5</v>
      </c>
      <c r="BG788" t="s">
        <v>74</v>
      </c>
      <c r="BH788" t="s">
        <v>74</v>
      </c>
      <c r="BI788">
        <v>13</v>
      </c>
      <c r="BJ788" t="s">
        <v>3475</v>
      </c>
      <c r="BK788" t="s">
        <v>91</v>
      </c>
      <c r="BL788" t="s">
        <v>3476</v>
      </c>
      <c r="BM788" t="s">
        <v>14955</v>
      </c>
      <c r="BN788" t="s">
        <v>74</v>
      </c>
      <c r="BO788" t="s">
        <v>74</v>
      </c>
      <c r="BP788" t="s">
        <v>74</v>
      </c>
      <c r="BQ788" t="s">
        <v>74</v>
      </c>
      <c r="BR788" t="s">
        <v>93</v>
      </c>
      <c r="BS788" t="s">
        <v>14971</v>
      </c>
      <c r="BT788" t="str">
        <f>HYPERLINK("https%3A%2F%2Fwww.webofscience.com%2Fwos%2Fwoscc%2Ffull-record%2FWOS:000343141300008","View Full Record in Web of Science")</f>
        <v>View Full Record in Web of Science</v>
      </c>
    </row>
    <row r="789" spans="1:72" x14ac:dyDescent="0.15">
      <c r="A789" t="s">
        <v>72</v>
      </c>
      <c r="B789" t="s">
        <v>14972</v>
      </c>
      <c r="C789" t="s">
        <v>74</v>
      </c>
      <c r="D789" t="s">
        <v>74</v>
      </c>
      <c r="E789" t="s">
        <v>74</v>
      </c>
      <c r="F789" t="s">
        <v>14973</v>
      </c>
      <c r="G789" t="s">
        <v>74</v>
      </c>
      <c r="H789" t="s">
        <v>74</v>
      </c>
      <c r="I789" t="s">
        <v>14974</v>
      </c>
      <c r="J789" t="s">
        <v>11121</v>
      </c>
      <c r="K789" t="s">
        <v>74</v>
      </c>
      <c r="L789" t="s">
        <v>74</v>
      </c>
      <c r="M789" t="s">
        <v>78</v>
      </c>
      <c r="N789" t="s">
        <v>454</v>
      </c>
      <c r="O789" t="s">
        <v>74</v>
      </c>
      <c r="P789" t="s">
        <v>74</v>
      </c>
      <c r="Q789" t="s">
        <v>74</v>
      </c>
      <c r="R789" t="s">
        <v>74</v>
      </c>
      <c r="S789" t="s">
        <v>74</v>
      </c>
      <c r="T789" t="s">
        <v>14975</v>
      </c>
      <c r="U789" t="s">
        <v>14976</v>
      </c>
      <c r="V789" t="s">
        <v>14977</v>
      </c>
      <c r="W789" t="s">
        <v>14978</v>
      </c>
      <c r="X789" t="s">
        <v>14979</v>
      </c>
      <c r="Y789" t="s">
        <v>14980</v>
      </c>
      <c r="Z789" t="s">
        <v>14981</v>
      </c>
      <c r="AA789" t="s">
        <v>74</v>
      </c>
      <c r="AB789" t="s">
        <v>74</v>
      </c>
      <c r="AC789" t="s">
        <v>14982</v>
      </c>
      <c r="AD789" t="s">
        <v>14983</v>
      </c>
      <c r="AE789" t="s">
        <v>14984</v>
      </c>
      <c r="AF789" t="s">
        <v>74</v>
      </c>
      <c r="AG789">
        <v>91</v>
      </c>
      <c r="AH789">
        <v>25</v>
      </c>
      <c r="AI789">
        <v>29</v>
      </c>
      <c r="AJ789">
        <v>3</v>
      </c>
      <c r="AK789">
        <v>53</v>
      </c>
      <c r="AL789" t="s">
        <v>2666</v>
      </c>
      <c r="AM789" t="s">
        <v>342</v>
      </c>
      <c r="AN789" t="s">
        <v>2667</v>
      </c>
      <c r="AO789" t="s">
        <v>11134</v>
      </c>
      <c r="AP789" t="s">
        <v>11135</v>
      </c>
      <c r="AQ789" t="s">
        <v>74</v>
      </c>
      <c r="AR789" t="s">
        <v>11136</v>
      </c>
      <c r="AS789" t="s">
        <v>11137</v>
      </c>
      <c r="AT789" t="s">
        <v>13619</v>
      </c>
      <c r="AU789">
        <v>2014</v>
      </c>
      <c r="AV789">
        <v>37</v>
      </c>
      <c r="AW789">
        <v>11</v>
      </c>
      <c r="AX789" t="s">
        <v>74</v>
      </c>
      <c r="AY789" t="s">
        <v>74</v>
      </c>
      <c r="AZ789" t="s">
        <v>74</v>
      </c>
      <c r="BA789" t="s">
        <v>74</v>
      </c>
      <c r="BB789">
        <v>1685</v>
      </c>
      <c r="BC789">
        <v>1699</v>
      </c>
      <c r="BD789" t="s">
        <v>74</v>
      </c>
      <c r="BE789" t="s">
        <v>14985</v>
      </c>
      <c r="BF789" t="str">
        <f>HYPERLINK("http://dx.doi.org/10.1007/s00300-014-1553-3","http://dx.doi.org/10.1007/s00300-014-1553-3")</f>
        <v>http://dx.doi.org/10.1007/s00300-014-1553-3</v>
      </c>
      <c r="BG789" t="s">
        <v>74</v>
      </c>
      <c r="BH789" t="s">
        <v>74</v>
      </c>
      <c r="BI789">
        <v>15</v>
      </c>
      <c r="BJ789" t="s">
        <v>3475</v>
      </c>
      <c r="BK789" t="s">
        <v>91</v>
      </c>
      <c r="BL789" t="s">
        <v>3476</v>
      </c>
      <c r="BM789" t="s">
        <v>14955</v>
      </c>
      <c r="BN789" t="s">
        <v>74</v>
      </c>
      <c r="BO789" t="s">
        <v>134</v>
      </c>
      <c r="BP789" t="s">
        <v>74</v>
      </c>
      <c r="BQ789" t="s">
        <v>74</v>
      </c>
      <c r="BR789" t="s">
        <v>93</v>
      </c>
      <c r="BS789" t="s">
        <v>14986</v>
      </c>
      <c r="BT789" t="str">
        <f>HYPERLINK("https%3A%2F%2Fwww.webofscience.com%2Fwos%2Fwoscc%2Ffull-record%2FWOS:000343141300011","View Full Record in Web of Science")</f>
        <v>View Full Record in Web of Science</v>
      </c>
    </row>
    <row r="790" spans="1:72" x14ac:dyDescent="0.15">
      <c r="A790" t="s">
        <v>72</v>
      </c>
      <c r="B790" t="s">
        <v>14987</v>
      </c>
      <c r="C790" t="s">
        <v>74</v>
      </c>
      <c r="D790" t="s">
        <v>74</v>
      </c>
      <c r="E790" t="s">
        <v>74</v>
      </c>
      <c r="F790" t="s">
        <v>14988</v>
      </c>
      <c r="G790" t="s">
        <v>74</v>
      </c>
      <c r="H790" t="s">
        <v>74</v>
      </c>
      <c r="I790" t="s">
        <v>14989</v>
      </c>
      <c r="J790" t="s">
        <v>11121</v>
      </c>
      <c r="K790" t="s">
        <v>74</v>
      </c>
      <c r="L790" t="s">
        <v>74</v>
      </c>
      <c r="M790" t="s">
        <v>78</v>
      </c>
      <c r="N790" t="s">
        <v>99</v>
      </c>
      <c r="O790" t="s">
        <v>74</v>
      </c>
      <c r="P790" t="s">
        <v>74</v>
      </c>
      <c r="Q790" t="s">
        <v>74</v>
      </c>
      <c r="R790" t="s">
        <v>74</v>
      </c>
      <c r="S790" t="s">
        <v>74</v>
      </c>
      <c r="T790" t="s">
        <v>14990</v>
      </c>
      <c r="U790" t="s">
        <v>14991</v>
      </c>
      <c r="V790" t="s">
        <v>14992</v>
      </c>
      <c r="W790" t="s">
        <v>14993</v>
      </c>
      <c r="X790" t="s">
        <v>14994</v>
      </c>
      <c r="Y790" t="s">
        <v>14995</v>
      </c>
      <c r="Z790" t="s">
        <v>14996</v>
      </c>
      <c r="AA790" t="s">
        <v>14997</v>
      </c>
      <c r="AB790" t="s">
        <v>74</v>
      </c>
      <c r="AC790" t="s">
        <v>74</v>
      </c>
      <c r="AD790" t="s">
        <v>74</v>
      </c>
      <c r="AE790" t="s">
        <v>74</v>
      </c>
      <c r="AF790" t="s">
        <v>74</v>
      </c>
      <c r="AG790">
        <v>9</v>
      </c>
      <c r="AH790">
        <v>6</v>
      </c>
      <c r="AI790">
        <v>7</v>
      </c>
      <c r="AJ790">
        <v>1</v>
      </c>
      <c r="AK790">
        <v>11</v>
      </c>
      <c r="AL790" t="s">
        <v>2666</v>
      </c>
      <c r="AM790" t="s">
        <v>342</v>
      </c>
      <c r="AN790" t="s">
        <v>2761</v>
      </c>
      <c r="AO790" t="s">
        <v>11134</v>
      </c>
      <c r="AP790" t="s">
        <v>11135</v>
      </c>
      <c r="AQ790" t="s">
        <v>74</v>
      </c>
      <c r="AR790" t="s">
        <v>11136</v>
      </c>
      <c r="AS790" t="s">
        <v>11137</v>
      </c>
      <c r="AT790" t="s">
        <v>13619</v>
      </c>
      <c r="AU790">
        <v>2014</v>
      </c>
      <c r="AV790">
        <v>37</v>
      </c>
      <c r="AW790">
        <v>11</v>
      </c>
      <c r="AX790" t="s">
        <v>74</v>
      </c>
      <c r="AY790" t="s">
        <v>74</v>
      </c>
      <c r="AZ790" t="s">
        <v>74</v>
      </c>
      <c r="BA790" t="s">
        <v>74</v>
      </c>
      <c r="BB790">
        <v>1701</v>
      </c>
      <c r="BC790">
        <v>1703</v>
      </c>
      <c r="BD790" t="s">
        <v>74</v>
      </c>
      <c r="BE790" t="s">
        <v>14998</v>
      </c>
      <c r="BF790" t="str">
        <f>HYPERLINK("http://dx.doi.org/10.1007/s00300-014-1549-z","http://dx.doi.org/10.1007/s00300-014-1549-z")</f>
        <v>http://dx.doi.org/10.1007/s00300-014-1549-z</v>
      </c>
      <c r="BG790" t="s">
        <v>74</v>
      </c>
      <c r="BH790" t="s">
        <v>74</v>
      </c>
      <c r="BI790">
        <v>3</v>
      </c>
      <c r="BJ790" t="s">
        <v>3475</v>
      </c>
      <c r="BK790" t="s">
        <v>91</v>
      </c>
      <c r="BL790" t="s">
        <v>3476</v>
      </c>
      <c r="BM790" t="s">
        <v>14955</v>
      </c>
      <c r="BN790" t="s">
        <v>74</v>
      </c>
      <c r="BO790" t="s">
        <v>574</v>
      </c>
      <c r="BP790" t="s">
        <v>74</v>
      </c>
      <c r="BQ790" t="s">
        <v>74</v>
      </c>
      <c r="BR790" t="s">
        <v>93</v>
      </c>
      <c r="BS790" t="s">
        <v>14999</v>
      </c>
      <c r="BT790" t="str">
        <f>HYPERLINK("https%3A%2F%2Fwww.webofscience.com%2Fwos%2Fwoscc%2Ffull-record%2FWOS:000343141300012","View Full Record in Web of Science")</f>
        <v>View Full Record in Web of Science</v>
      </c>
    </row>
    <row r="791" spans="1:72" x14ac:dyDescent="0.15">
      <c r="A791" t="s">
        <v>72</v>
      </c>
      <c r="B791" t="s">
        <v>14110</v>
      </c>
      <c r="C791" t="s">
        <v>74</v>
      </c>
      <c r="D791" t="s">
        <v>74</v>
      </c>
      <c r="E791" t="s">
        <v>74</v>
      </c>
      <c r="F791" t="s">
        <v>15000</v>
      </c>
      <c r="G791" t="s">
        <v>74</v>
      </c>
      <c r="H791" t="s">
        <v>74</v>
      </c>
      <c r="I791" t="s">
        <v>15001</v>
      </c>
      <c r="J791" t="s">
        <v>11917</v>
      </c>
      <c r="K791" t="s">
        <v>74</v>
      </c>
      <c r="L791" t="s">
        <v>74</v>
      </c>
      <c r="M791" t="s">
        <v>78</v>
      </c>
      <c r="N791" t="s">
        <v>99</v>
      </c>
      <c r="O791" t="s">
        <v>74</v>
      </c>
      <c r="P791" t="s">
        <v>74</v>
      </c>
      <c r="Q791" t="s">
        <v>74</v>
      </c>
      <c r="R791" t="s">
        <v>74</v>
      </c>
      <c r="S791" t="s">
        <v>74</v>
      </c>
      <c r="T791" t="s">
        <v>15002</v>
      </c>
      <c r="U791" t="s">
        <v>15003</v>
      </c>
      <c r="V791" t="s">
        <v>15004</v>
      </c>
      <c r="W791" t="s">
        <v>15005</v>
      </c>
      <c r="X791" t="s">
        <v>14118</v>
      </c>
      <c r="Y791" t="s">
        <v>15006</v>
      </c>
      <c r="Z791" t="s">
        <v>15007</v>
      </c>
      <c r="AA791" t="s">
        <v>14121</v>
      </c>
      <c r="AB791" t="s">
        <v>14122</v>
      </c>
      <c r="AC791" t="s">
        <v>15008</v>
      </c>
      <c r="AD791" t="s">
        <v>15009</v>
      </c>
      <c r="AE791" t="s">
        <v>15010</v>
      </c>
      <c r="AF791" t="s">
        <v>74</v>
      </c>
      <c r="AG791">
        <v>25</v>
      </c>
      <c r="AH791">
        <v>11</v>
      </c>
      <c r="AI791">
        <v>12</v>
      </c>
      <c r="AJ791">
        <v>3</v>
      </c>
      <c r="AK791">
        <v>15</v>
      </c>
      <c r="AL791" t="s">
        <v>2439</v>
      </c>
      <c r="AM791" t="s">
        <v>1411</v>
      </c>
      <c r="AN791" t="s">
        <v>2440</v>
      </c>
      <c r="AO791" t="s">
        <v>11930</v>
      </c>
      <c r="AP791" t="s">
        <v>11931</v>
      </c>
      <c r="AQ791" t="s">
        <v>74</v>
      </c>
      <c r="AR791" t="s">
        <v>11932</v>
      </c>
      <c r="AS791" t="s">
        <v>11933</v>
      </c>
      <c r="AT791" t="s">
        <v>13619</v>
      </c>
      <c r="AU791">
        <v>2014</v>
      </c>
      <c r="AV791">
        <v>119</v>
      </c>
      <c r="AW791" t="s">
        <v>74</v>
      </c>
      <c r="AX791" t="s">
        <v>74</v>
      </c>
      <c r="AY791" t="s">
        <v>74</v>
      </c>
      <c r="AZ791" t="s">
        <v>74</v>
      </c>
      <c r="BA791" t="s">
        <v>74</v>
      </c>
      <c r="BB791">
        <v>63</v>
      </c>
      <c r="BC791">
        <v>70</v>
      </c>
      <c r="BD791" t="s">
        <v>74</v>
      </c>
      <c r="BE791" t="s">
        <v>15011</v>
      </c>
      <c r="BF791" t="str">
        <f>HYPERLINK("http://dx.doi.org/10.1016/j.jastp.2014.06.016","http://dx.doi.org/10.1016/j.jastp.2014.06.016")</f>
        <v>http://dx.doi.org/10.1016/j.jastp.2014.06.016</v>
      </c>
      <c r="BG791" t="s">
        <v>74</v>
      </c>
      <c r="BH791" t="s">
        <v>74</v>
      </c>
      <c r="BI791">
        <v>8</v>
      </c>
      <c r="BJ791" t="s">
        <v>4629</v>
      </c>
      <c r="BK791" t="s">
        <v>91</v>
      </c>
      <c r="BL791" t="s">
        <v>4629</v>
      </c>
      <c r="BM791" t="s">
        <v>15012</v>
      </c>
      <c r="BN791" t="s">
        <v>74</v>
      </c>
      <c r="BO791" t="s">
        <v>74</v>
      </c>
      <c r="BP791" t="s">
        <v>74</v>
      </c>
      <c r="BQ791" t="s">
        <v>74</v>
      </c>
      <c r="BR791" t="s">
        <v>93</v>
      </c>
      <c r="BS791" t="s">
        <v>15013</v>
      </c>
      <c r="BT791" t="str">
        <f>HYPERLINK("https%3A%2F%2Fwww.webofscience.com%2Fwos%2Fwoscc%2Ffull-record%2FWOS:000342890100007","View Full Record in Web of Science")</f>
        <v>View Full Record in Web of Science</v>
      </c>
    </row>
    <row r="792" spans="1:72" x14ac:dyDescent="0.15">
      <c r="A792" t="s">
        <v>72</v>
      </c>
      <c r="B792" t="s">
        <v>15014</v>
      </c>
      <c r="C792" t="s">
        <v>74</v>
      </c>
      <c r="D792" t="s">
        <v>74</v>
      </c>
      <c r="E792" t="s">
        <v>74</v>
      </c>
      <c r="F792" t="s">
        <v>15015</v>
      </c>
      <c r="G792" t="s">
        <v>74</v>
      </c>
      <c r="H792" t="s">
        <v>74</v>
      </c>
      <c r="I792" t="s">
        <v>15016</v>
      </c>
      <c r="J792" t="s">
        <v>11917</v>
      </c>
      <c r="K792" t="s">
        <v>74</v>
      </c>
      <c r="L792" t="s">
        <v>74</v>
      </c>
      <c r="M792" t="s">
        <v>78</v>
      </c>
      <c r="N792" t="s">
        <v>99</v>
      </c>
      <c r="O792" t="s">
        <v>74</v>
      </c>
      <c r="P792" t="s">
        <v>74</v>
      </c>
      <c r="Q792" t="s">
        <v>74</v>
      </c>
      <c r="R792" t="s">
        <v>74</v>
      </c>
      <c r="S792" t="s">
        <v>74</v>
      </c>
      <c r="T792" t="s">
        <v>15017</v>
      </c>
      <c r="U792" t="s">
        <v>15018</v>
      </c>
      <c r="V792" t="s">
        <v>15019</v>
      </c>
      <c r="W792" t="s">
        <v>15020</v>
      </c>
      <c r="X792" t="s">
        <v>15021</v>
      </c>
      <c r="Y792" t="s">
        <v>15022</v>
      </c>
      <c r="Z792" t="s">
        <v>15023</v>
      </c>
      <c r="AA792" t="s">
        <v>15024</v>
      </c>
      <c r="AB792" t="s">
        <v>15025</v>
      </c>
      <c r="AC792" t="s">
        <v>15026</v>
      </c>
      <c r="AD792" t="s">
        <v>15027</v>
      </c>
      <c r="AE792" t="s">
        <v>15028</v>
      </c>
      <c r="AF792" t="s">
        <v>74</v>
      </c>
      <c r="AG792">
        <v>47</v>
      </c>
      <c r="AH792">
        <v>29</v>
      </c>
      <c r="AI792">
        <v>30</v>
      </c>
      <c r="AJ792">
        <v>0</v>
      </c>
      <c r="AK792">
        <v>13</v>
      </c>
      <c r="AL792" t="s">
        <v>2439</v>
      </c>
      <c r="AM792" t="s">
        <v>1411</v>
      </c>
      <c r="AN792" t="s">
        <v>2440</v>
      </c>
      <c r="AO792" t="s">
        <v>11930</v>
      </c>
      <c r="AP792" t="s">
        <v>11931</v>
      </c>
      <c r="AQ792" t="s">
        <v>74</v>
      </c>
      <c r="AR792" t="s">
        <v>11932</v>
      </c>
      <c r="AS792" t="s">
        <v>11933</v>
      </c>
      <c r="AT792" t="s">
        <v>13619</v>
      </c>
      <c r="AU792">
        <v>2014</v>
      </c>
      <c r="AV792">
        <v>119</v>
      </c>
      <c r="AW792" t="s">
        <v>74</v>
      </c>
      <c r="AX792" t="s">
        <v>74</v>
      </c>
      <c r="AY792" t="s">
        <v>74</v>
      </c>
      <c r="AZ792" t="s">
        <v>74</v>
      </c>
      <c r="BA792" t="s">
        <v>74</v>
      </c>
      <c r="BB792">
        <v>71</v>
      </c>
      <c r="BC792">
        <v>82</v>
      </c>
      <c r="BD792" t="s">
        <v>74</v>
      </c>
      <c r="BE792" t="s">
        <v>15029</v>
      </c>
      <c r="BF792" t="str">
        <f>HYPERLINK("http://dx.doi.org/10.1016/j.jastp.2014.07.002","http://dx.doi.org/10.1016/j.jastp.2014.07.002")</f>
        <v>http://dx.doi.org/10.1016/j.jastp.2014.07.002</v>
      </c>
      <c r="BG792" t="s">
        <v>74</v>
      </c>
      <c r="BH792" t="s">
        <v>74</v>
      </c>
      <c r="BI792">
        <v>12</v>
      </c>
      <c r="BJ792" t="s">
        <v>4629</v>
      </c>
      <c r="BK792" t="s">
        <v>91</v>
      </c>
      <c r="BL792" t="s">
        <v>4629</v>
      </c>
      <c r="BM792" t="s">
        <v>15012</v>
      </c>
      <c r="BN792" t="s">
        <v>74</v>
      </c>
      <c r="BO792" t="s">
        <v>74</v>
      </c>
      <c r="BP792" t="s">
        <v>74</v>
      </c>
      <c r="BQ792" t="s">
        <v>74</v>
      </c>
      <c r="BR792" t="s">
        <v>93</v>
      </c>
      <c r="BS792" t="s">
        <v>15030</v>
      </c>
      <c r="BT792" t="str">
        <f>HYPERLINK("https%3A%2F%2Fwww.webofscience.com%2Fwos%2Fwoscc%2Ffull-record%2FWOS:000342890100008","View Full Record in Web of Science")</f>
        <v>View Full Record in Web of Science</v>
      </c>
    </row>
    <row r="793" spans="1:72" x14ac:dyDescent="0.15">
      <c r="A793" t="s">
        <v>72</v>
      </c>
      <c r="B793" t="s">
        <v>15031</v>
      </c>
      <c r="C793" t="s">
        <v>74</v>
      </c>
      <c r="D793" t="s">
        <v>74</v>
      </c>
      <c r="E793" t="s">
        <v>74</v>
      </c>
      <c r="F793" t="s">
        <v>15032</v>
      </c>
      <c r="G793" t="s">
        <v>74</v>
      </c>
      <c r="H793" t="s">
        <v>74</v>
      </c>
      <c r="I793" t="s">
        <v>15033</v>
      </c>
      <c r="J793" t="s">
        <v>14550</v>
      </c>
      <c r="K793" t="s">
        <v>74</v>
      </c>
      <c r="L793" t="s">
        <v>74</v>
      </c>
      <c r="M793" t="s">
        <v>78</v>
      </c>
      <c r="N793" t="s">
        <v>99</v>
      </c>
      <c r="O793" t="s">
        <v>74</v>
      </c>
      <c r="P793" t="s">
        <v>74</v>
      </c>
      <c r="Q793" t="s">
        <v>74</v>
      </c>
      <c r="R793" t="s">
        <v>74</v>
      </c>
      <c r="S793" t="s">
        <v>74</v>
      </c>
      <c r="T793" t="s">
        <v>74</v>
      </c>
      <c r="U793" t="s">
        <v>15034</v>
      </c>
      <c r="V793" t="s">
        <v>15035</v>
      </c>
      <c r="W793" t="s">
        <v>15036</v>
      </c>
      <c r="X793" t="s">
        <v>15037</v>
      </c>
      <c r="Y793" t="s">
        <v>15038</v>
      </c>
      <c r="Z793" t="s">
        <v>15039</v>
      </c>
      <c r="AA793" t="s">
        <v>15040</v>
      </c>
      <c r="AB793" t="s">
        <v>15041</v>
      </c>
      <c r="AC793" t="s">
        <v>15042</v>
      </c>
      <c r="AD793" t="s">
        <v>15042</v>
      </c>
      <c r="AE793" t="s">
        <v>15043</v>
      </c>
      <c r="AF793" t="s">
        <v>74</v>
      </c>
      <c r="AG793">
        <v>50</v>
      </c>
      <c r="AH793">
        <v>78</v>
      </c>
      <c r="AI793">
        <v>89</v>
      </c>
      <c r="AJ793">
        <v>2</v>
      </c>
      <c r="AK793">
        <v>68</v>
      </c>
      <c r="AL793" t="s">
        <v>14561</v>
      </c>
      <c r="AM793" t="s">
        <v>1946</v>
      </c>
      <c r="AN793" t="s">
        <v>14562</v>
      </c>
      <c r="AO793" t="s">
        <v>14563</v>
      </c>
      <c r="AP793" t="s">
        <v>14564</v>
      </c>
      <c r="AQ793" t="s">
        <v>74</v>
      </c>
      <c r="AR793" t="s">
        <v>14565</v>
      </c>
      <c r="AS793" t="s">
        <v>14566</v>
      </c>
      <c r="AT793" t="s">
        <v>13619</v>
      </c>
      <c r="AU793">
        <v>2014</v>
      </c>
      <c r="AV793">
        <v>80</v>
      </c>
      <c r="AW793">
        <v>22</v>
      </c>
      <c r="AX793" t="s">
        <v>74</v>
      </c>
      <c r="AY793" t="s">
        <v>74</v>
      </c>
      <c r="AZ793" t="s">
        <v>74</v>
      </c>
      <c r="BA793" t="s">
        <v>74</v>
      </c>
      <c r="BB793">
        <v>6888</v>
      </c>
      <c r="BC793">
        <v>6897</v>
      </c>
      <c r="BD793" t="s">
        <v>74</v>
      </c>
      <c r="BE793" t="s">
        <v>15044</v>
      </c>
      <c r="BF793" t="str">
        <f>HYPERLINK("http://dx.doi.org/10.1128/AEM.01525-14","http://dx.doi.org/10.1128/AEM.01525-14")</f>
        <v>http://dx.doi.org/10.1128/AEM.01525-14</v>
      </c>
      <c r="BG793" t="s">
        <v>74</v>
      </c>
      <c r="BH793" t="s">
        <v>74</v>
      </c>
      <c r="BI793">
        <v>10</v>
      </c>
      <c r="BJ793" t="s">
        <v>14568</v>
      </c>
      <c r="BK793" t="s">
        <v>91</v>
      </c>
      <c r="BL793" t="s">
        <v>14568</v>
      </c>
      <c r="BM793" t="s">
        <v>14569</v>
      </c>
      <c r="BN793">
        <v>25172856</v>
      </c>
      <c r="BO793" t="s">
        <v>12637</v>
      </c>
      <c r="BP793" t="s">
        <v>74</v>
      </c>
      <c r="BQ793" t="s">
        <v>74</v>
      </c>
      <c r="BR793" t="s">
        <v>93</v>
      </c>
      <c r="BS793" t="s">
        <v>15045</v>
      </c>
      <c r="BT793" t="str">
        <f>HYPERLINK("https%3A%2F%2Fwww.webofscience.com%2Fwos%2Fwoscc%2Ffull-record%2FWOS:000344161700005","View Full Record in Web of Science")</f>
        <v>View Full Record in Web of Science</v>
      </c>
    </row>
    <row r="794" spans="1:72" x14ac:dyDescent="0.15">
      <c r="A794" t="s">
        <v>72</v>
      </c>
      <c r="B794" t="s">
        <v>15046</v>
      </c>
      <c r="C794" t="s">
        <v>74</v>
      </c>
      <c r="D794" t="s">
        <v>74</v>
      </c>
      <c r="E794" t="s">
        <v>74</v>
      </c>
      <c r="F794" t="s">
        <v>15047</v>
      </c>
      <c r="G794" t="s">
        <v>74</v>
      </c>
      <c r="H794" t="s">
        <v>74</v>
      </c>
      <c r="I794" t="s">
        <v>15048</v>
      </c>
      <c r="J794" t="s">
        <v>13833</v>
      </c>
      <c r="K794" t="s">
        <v>74</v>
      </c>
      <c r="L794" t="s">
        <v>74</v>
      </c>
      <c r="M794" t="s">
        <v>78</v>
      </c>
      <c r="N794" t="s">
        <v>5947</v>
      </c>
      <c r="O794" t="s">
        <v>74</v>
      </c>
      <c r="P794" t="s">
        <v>74</v>
      </c>
      <c r="Q794" t="s">
        <v>74</v>
      </c>
      <c r="R794" t="s">
        <v>74</v>
      </c>
      <c r="S794" t="s">
        <v>74</v>
      </c>
      <c r="T794" t="s">
        <v>74</v>
      </c>
      <c r="U794" t="s">
        <v>15049</v>
      </c>
      <c r="V794" t="s">
        <v>74</v>
      </c>
      <c r="W794" t="s">
        <v>15050</v>
      </c>
      <c r="X794" t="s">
        <v>15051</v>
      </c>
      <c r="Y794" t="s">
        <v>15052</v>
      </c>
      <c r="Z794" t="s">
        <v>15053</v>
      </c>
      <c r="AA794" t="s">
        <v>15054</v>
      </c>
      <c r="AB794" t="s">
        <v>15055</v>
      </c>
      <c r="AC794" t="s">
        <v>74</v>
      </c>
      <c r="AD794" t="s">
        <v>74</v>
      </c>
      <c r="AE794" t="s">
        <v>74</v>
      </c>
      <c r="AF794" t="s">
        <v>74</v>
      </c>
      <c r="AG794">
        <v>27</v>
      </c>
      <c r="AH794">
        <v>4</v>
      </c>
      <c r="AI794">
        <v>6</v>
      </c>
      <c r="AJ794">
        <v>0</v>
      </c>
      <c r="AK794">
        <v>12</v>
      </c>
      <c r="AL794" t="s">
        <v>13841</v>
      </c>
      <c r="AM794" t="s">
        <v>6202</v>
      </c>
      <c r="AN794" t="s">
        <v>13842</v>
      </c>
      <c r="AO794" t="s">
        <v>13843</v>
      </c>
      <c r="AP794" t="s">
        <v>13844</v>
      </c>
      <c r="AQ794" t="s">
        <v>74</v>
      </c>
      <c r="AR794" t="s">
        <v>13845</v>
      </c>
      <c r="AS794" t="s">
        <v>13846</v>
      </c>
      <c r="AT794" t="s">
        <v>13619</v>
      </c>
      <c r="AU794">
        <v>2014</v>
      </c>
      <c r="AV794">
        <v>46</v>
      </c>
      <c r="AW794">
        <v>4</v>
      </c>
      <c r="AX794" t="s">
        <v>74</v>
      </c>
      <c r="AY794" t="s">
        <v>74</v>
      </c>
      <c r="AZ794" t="s">
        <v>1437</v>
      </c>
      <c r="BA794" t="s">
        <v>74</v>
      </c>
      <c r="BB794">
        <v>705</v>
      </c>
      <c r="BC794">
        <v>708</v>
      </c>
      <c r="BD794" t="s">
        <v>74</v>
      </c>
      <c r="BE794" t="s">
        <v>15056</v>
      </c>
      <c r="BF794" t="str">
        <f>HYPERLINK("http://dx.doi.org/10.1657/1938-4246-46.4.705","http://dx.doi.org/10.1657/1938-4246-46.4.705")</f>
        <v>http://dx.doi.org/10.1657/1938-4246-46.4.705</v>
      </c>
      <c r="BG794" t="s">
        <v>74</v>
      </c>
      <c r="BH794" t="s">
        <v>74</v>
      </c>
      <c r="BI794">
        <v>4</v>
      </c>
      <c r="BJ794" t="s">
        <v>13848</v>
      </c>
      <c r="BK794" t="s">
        <v>91</v>
      </c>
      <c r="BL794" t="s">
        <v>6693</v>
      </c>
      <c r="BM794" t="s">
        <v>13849</v>
      </c>
      <c r="BN794" t="s">
        <v>74</v>
      </c>
      <c r="BO794" t="s">
        <v>2056</v>
      </c>
      <c r="BP794" t="s">
        <v>74</v>
      </c>
      <c r="BQ794" t="s">
        <v>74</v>
      </c>
      <c r="BR794" t="s">
        <v>93</v>
      </c>
      <c r="BS794" t="s">
        <v>15057</v>
      </c>
      <c r="BT794" t="str">
        <f>HYPERLINK("https%3A%2F%2Fwww.webofscience.com%2Fwos%2Fwoscc%2Ffull-record%2FWOS:000346219500001","View Full Record in Web of Science")</f>
        <v>View Full Record in Web of Science</v>
      </c>
    </row>
    <row r="795" spans="1:72" x14ac:dyDescent="0.15">
      <c r="A795" t="s">
        <v>72</v>
      </c>
      <c r="B795" t="s">
        <v>15058</v>
      </c>
      <c r="C795" t="s">
        <v>74</v>
      </c>
      <c r="D795" t="s">
        <v>74</v>
      </c>
      <c r="E795" t="s">
        <v>74</v>
      </c>
      <c r="F795" t="s">
        <v>15059</v>
      </c>
      <c r="G795" t="s">
        <v>74</v>
      </c>
      <c r="H795" t="s">
        <v>74</v>
      </c>
      <c r="I795" t="s">
        <v>15060</v>
      </c>
      <c r="J795" t="s">
        <v>13833</v>
      </c>
      <c r="K795" t="s">
        <v>74</v>
      </c>
      <c r="L795" t="s">
        <v>74</v>
      </c>
      <c r="M795" t="s">
        <v>78</v>
      </c>
      <c r="N795" t="s">
        <v>99</v>
      </c>
      <c r="O795" t="s">
        <v>74</v>
      </c>
      <c r="P795" t="s">
        <v>74</v>
      </c>
      <c r="Q795" t="s">
        <v>74</v>
      </c>
      <c r="R795" t="s">
        <v>74</v>
      </c>
      <c r="S795" t="s">
        <v>74</v>
      </c>
      <c r="T795" t="s">
        <v>74</v>
      </c>
      <c r="U795" t="s">
        <v>15061</v>
      </c>
      <c r="V795" t="s">
        <v>15062</v>
      </c>
      <c r="W795" t="s">
        <v>15063</v>
      </c>
      <c r="X795" t="s">
        <v>15064</v>
      </c>
      <c r="Y795" t="s">
        <v>15065</v>
      </c>
      <c r="Z795" t="s">
        <v>15066</v>
      </c>
      <c r="AA795" t="s">
        <v>15067</v>
      </c>
      <c r="AB795" t="s">
        <v>15068</v>
      </c>
      <c r="AC795" t="s">
        <v>74</v>
      </c>
      <c r="AD795" t="s">
        <v>74</v>
      </c>
      <c r="AE795" t="s">
        <v>74</v>
      </c>
      <c r="AF795" t="s">
        <v>74</v>
      </c>
      <c r="AG795">
        <v>73</v>
      </c>
      <c r="AH795">
        <v>46</v>
      </c>
      <c r="AI795">
        <v>49</v>
      </c>
      <c r="AJ795">
        <v>0</v>
      </c>
      <c r="AK795">
        <v>39</v>
      </c>
      <c r="AL795" t="s">
        <v>82</v>
      </c>
      <c r="AM795" t="s">
        <v>83</v>
      </c>
      <c r="AN795" t="s">
        <v>150</v>
      </c>
      <c r="AO795" t="s">
        <v>13843</v>
      </c>
      <c r="AP795" t="s">
        <v>13844</v>
      </c>
      <c r="AQ795" t="s">
        <v>74</v>
      </c>
      <c r="AR795" t="s">
        <v>13845</v>
      </c>
      <c r="AS795" t="s">
        <v>13846</v>
      </c>
      <c r="AT795" t="s">
        <v>13619</v>
      </c>
      <c r="AU795">
        <v>2014</v>
      </c>
      <c r="AV795">
        <v>46</v>
      </c>
      <c r="AW795">
        <v>4</v>
      </c>
      <c r="AX795" t="s">
        <v>74</v>
      </c>
      <c r="AY795" t="s">
        <v>74</v>
      </c>
      <c r="AZ795" t="s">
        <v>1437</v>
      </c>
      <c r="BA795" t="s">
        <v>74</v>
      </c>
      <c r="BB795">
        <v>735</v>
      </c>
      <c r="BC795">
        <v>743</v>
      </c>
      <c r="BD795" t="s">
        <v>74</v>
      </c>
      <c r="BE795" t="s">
        <v>15069</v>
      </c>
      <c r="BF795" t="str">
        <f>HYPERLINK("http://dx.doi.org/10.1657/1938-4246-46.4.735","http://dx.doi.org/10.1657/1938-4246-46.4.735")</f>
        <v>http://dx.doi.org/10.1657/1938-4246-46.4.735</v>
      </c>
      <c r="BG795" t="s">
        <v>74</v>
      </c>
      <c r="BH795" t="s">
        <v>74</v>
      </c>
      <c r="BI795">
        <v>9</v>
      </c>
      <c r="BJ795" t="s">
        <v>13848</v>
      </c>
      <c r="BK795" t="s">
        <v>91</v>
      </c>
      <c r="BL795" t="s">
        <v>6693</v>
      </c>
      <c r="BM795" t="s">
        <v>13849</v>
      </c>
      <c r="BN795" t="s">
        <v>74</v>
      </c>
      <c r="BO795" t="s">
        <v>3478</v>
      </c>
      <c r="BP795" t="s">
        <v>74</v>
      </c>
      <c r="BQ795" t="s">
        <v>74</v>
      </c>
      <c r="BR795" t="s">
        <v>93</v>
      </c>
      <c r="BS795" t="s">
        <v>15070</v>
      </c>
      <c r="BT795" t="str">
        <f>HYPERLINK("https%3A%2F%2Fwww.webofscience.com%2Fwos%2Fwoscc%2Ffull-record%2FWOS:000346219500004","View Full Record in Web of Science")</f>
        <v>View Full Record in Web of Science</v>
      </c>
    </row>
    <row r="796" spans="1:72" x14ac:dyDescent="0.15">
      <c r="A796" t="s">
        <v>72</v>
      </c>
      <c r="B796" t="s">
        <v>15071</v>
      </c>
      <c r="C796" t="s">
        <v>74</v>
      </c>
      <c r="D796" t="s">
        <v>74</v>
      </c>
      <c r="E796" t="s">
        <v>74</v>
      </c>
      <c r="F796" t="s">
        <v>15072</v>
      </c>
      <c r="G796" t="s">
        <v>74</v>
      </c>
      <c r="H796" t="s">
        <v>74</v>
      </c>
      <c r="I796" t="s">
        <v>15073</v>
      </c>
      <c r="J796" t="s">
        <v>13833</v>
      </c>
      <c r="K796" t="s">
        <v>74</v>
      </c>
      <c r="L796" t="s">
        <v>74</v>
      </c>
      <c r="M796" t="s">
        <v>78</v>
      </c>
      <c r="N796" t="s">
        <v>99</v>
      </c>
      <c r="O796" t="s">
        <v>74</v>
      </c>
      <c r="P796" t="s">
        <v>74</v>
      </c>
      <c r="Q796" t="s">
        <v>74</v>
      </c>
      <c r="R796" t="s">
        <v>74</v>
      </c>
      <c r="S796" t="s">
        <v>74</v>
      </c>
      <c r="T796" t="s">
        <v>74</v>
      </c>
      <c r="U796" t="s">
        <v>15074</v>
      </c>
      <c r="V796" t="s">
        <v>15075</v>
      </c>
      <c r="W796" t="s">
        <v>15076</v>
      </c>
      <c r="X796" t="s">
        <v>15077</v>
      </c>
      <c r="Y796" t="s">
        <v>15078</v>
      </c>
      <c r="Z796" t="s">
        <v>15079</v>
      </c>
      <c r="AA796" t="s">
        <v>74</v>
      </c>
      <c r="AB796" t="s">
        <v>74</v>
      </c>
      <c r="AC796" t="s">
        <v>15080</v>
      </c>
      <c r="AD796" t="s">
        <v>15081</v>
      </c>
      <c r="AE796" t="s">
        <v>15082</v>
      </c>
      <c r="AF796" t="s">
        <v>74</v>
      </c>
      <c r="AG796">
        <v>52</v>
      </c>
      <c r="AH796">
        <v>17</v>
      </c>
      <c r="AI796">
        <v>18</v>
      </c>
      <c r="AJ796">
        <v>0</v>
      </c>
      <c r="AK796">
        <v>16</v>
      </c>
      <c r="AL796" t="s">
        <v>13841</v>
      </c>
      <c r="AM796" t="s">
        <v>6202</v>
      </c>
      <c r="AN796" t="s">
        <v>13842</v>
      </c>
      <c r="AO796" t="s">
        <v>13843</v>
      </c>
      <c r="AP796" t="s">
        <v>13844</v>
      </c>
      <c r="AQ796" t="s">
        <v>74</v>
      </c>
      <c r="AR796" t="s">
        <v>13845</v>
      </c>
      <c r="AS796" t="s">
        <v>13846</v>
      </c>
      <c r="AT796" t="s">
        <v>13619</v>
      </c>
      <c r="AU796">
        <v>2014</v>
      </c>
      <c r="AV796">
        <v>46</v>
      </c>
      <c r="AW796">
        <v>4</v>
      </c>
      <c r="AX796" t="s">
        <v>74</v>
      </c>
      <c r="AY796" t="s">
        <v>74</v>
      </c>
      <c r="AZ796" t="s">
        <v>1437</v>
      </c>
      <c r="BA796" t="s">
        <v>74</v>
      </c>
      <c r="BB796">
        <v>755</v>
      </c>
      <c r="BC796">
        <v>765</v>
      </c>
      <c r="BD796" t="s">
        <v>74</v>
      </c>
      <c r="BE796" t="s">
        <v>15083</v>
      </c>
      <c r="BF796" t="str">
        <f>HYPERLINK("http://dx.doi.org/10.1657/1938-4246-46.4.755","http://dx.doi.org/10.1657/1938-4246-46.4.755")</f>
        <v>http://dx.doi.org/10.1657/1938-4246-46.4.755</v>
      </c>
      <c r="BG796" t="s">
        <v>74</v>
      </c>
      <c r="BH796" t="s">
        <v>74</v>
      </c>
      <c r="BI796">
        <v>11</v>
      </c>
      <c r="BJ796" t="s">
        <v>13848</v>
      </c>
      <c r="BK796" t="s">
        <v>91</v>
      </c>
      <c r="BL796" t="s">
        <v>6693</v>
      </c>
      <c r="BM796" t="s">
        <v>13849</v>
      </c>
      <c r="BN796" t="s">
        <v>74</v>
      </c>
      <c r="BO796" t="s">
        <v>3478</v>
      </c>
      <c r="BP796" t="s">
        <v>74</v>
      </c>
      <c r="BQ796" t="s">
        <v>74</v>
      </c>
      <c r="BR796" t="s">
        <v>93</v>
      </c>
      <c r="BS796" t="s">
        <v>15084</v>
      </c>
      <c r="BT796" t="str">
        <f>HYPERLINK("https%3A%2F%2Fwww.webofscience.com%2Fwos%2Fwoscc%2Ffull-record%2FWOS:000346219500006","View Full Record in Web of Science")</f>
        <v>View Full Record in Web of Science</v>
      </c>
    </row>
    <row r="797" spans="1:72" x14ac:dyDescent="0.15">
      <c r="A797" t="s">
        <v>72</v>
      </c>
      <c r="B797" t="s">
        <v>15085</v>
      </c>
      <c r="C797" t="s">
        <v>74</v>
      </c>
      <c r="D797" t="s">
        <v>74</v>
      </c>
      <c r="E797" t="s">
        <v>74</v>
      </c>
      <c r="F797" t="s">
        <v>15086</v>
      </c>
      <c r="G797" t="s">
        <v>74</v>
      </c>
      <c r="H797" t="s">
        <v>74</v>
      </c>
      <c r="I797" t="s">
        <v>15087</v>
      </c>
      <c r="J797" t="s">
        <v>13833</v>
      </c>
      <c r="K797" t="s">
        <v>74</v>
      </c>
      <c r="L797" t="s">
        <v>74</v>
      </c>
      <c r="M797" t="s">
        <v>78</v>
      </c>
      <c r="N797" t="s">
        <v>99</v>
      </c>
      <c r="O797" t="s">
        <v>74</v>
      </c>
      <c r="P797" t="s">
        <v>74</v>
      </c>
      <c r="Q797" t="s">
        <v>74</v>
      </c>
      <c r="R797" t="s">
        <v>74</v>
      </c>
      <c r="S797" t="s">
        <v>74</v>
      </c>
      <c r="T797" t="s">
        <v>74</v>
      </c>
      <c r="U797" t="s">
        <v>15088</v>
      </c>
      <c r="V797" t="s">
        <v>15089</v>
      </c>
      <c r="W797" t="s">
        <v>15090</v>
      </c>
      <c r="X797" t="s">
        <v>15091</v>
      </c>
      <c r="Y797" t="s">
        <v>15092</v>
      </c>
      <c r="Z797" t="s">
        <v>15093</v>
      </c>
      <c r="AA797" t="s">
        <v>74</v>
      </c>
      <c r="AB797" t="s">
        <v>74</v>
      </c>
      <c r="AC797" t="s">
        <v>15094</v>
      </c>
      <c r="AD797" t="s">
        <v>15095</v>
      </c>
      <c r="AE797" t="s">
        <v>15096</v>
      </c>
      <c r="AF797" t="s">
        <v>74</v>
      </c>
      <c r="AG797">
        <v>58</v>
      </c>
      <c r="AH797">
        <v>19</v>
      </c>
      <c r="AI797">
        <v>26</v>
      </c>
      <c r="AJ797">
        <v>1</v>
      </c>
      <c r="AK797">
        <v>34</v>
      </c>
      <c r="AL797" t="s">
        <v>82</v>
      </c>
      <c r="AM797" t="s">
        <v>83</v>
      </c>
      <c r="AN797" t="s">
        <v>150</v>
      </c>
      <c r="AO797" t="s">
        <v>13843</v>
      </c>
      <c r="AP797" t="s">
        <v>13844</v>
      </c>
      <c r="AQ797" t="s">
        <v>74</v>
      </c>
      <c r="AR797" t="s">
        <v>13845</v>
      </c>
      <c r="AS797" t="s">
        <v>13846</v>
      </c>
      <c r="AT797" t="s">
        <v>13619</v>
      </c>
      <c r="AU797">
        <v>2014</v>
      </c>
      <c r="AV797">
        <v>46</v>
      </c>
      <c r="AW797">
        <v>4</v>
      </c>
      <c r="AX797" t="s">
        <v>74</v>
      </c>
      <c r="AY797" t="s">
        <v>74</v>
      </c>
      <c r="AZ797" t="s">
        <v>1437</v>
      </c>
      <c r="BA797" t="s">
        <v>74</v>
      </c>
      <c r="BB797">
        <v>766</v>
      </c>
      <c r="BC797">
        <v>776</v>
      </c>
      <c r="BD797" t="s">
        <v>74</v>
      </c>
      <c r="BE797" t="s">
        <v>15097</v>
      </c>
      <c r="BF797" t="str">
        <f>HYPERLINK("http://dx.doi.org/10.1657/1938-4246-46.4.767","http://dx.doi.org/10.1657/1938-4246-46.4.767")</f>
        <v>http://dx.doi.org/10.1657/1938-4246-46.4.767</v>
      </c>
      <c r="BG797" t="s">
        <v>74</v>
      </c>
      <c r="BH797" t="s">
        <v>74</v>
      </c>
      <c r="BI797">
        <v>11</v>
      </c>
      <c r="BJ797" t="s">
        <v>13848</v>
      </c>
      <c r="BK797" t="s">
        <v>91</v>
      </c>
      <c r="BL797" t="s">
        <v>6693</v>
      </c>
      <c r="BM797" t="s">
        <v>13849</v>
      </c>
      <c r="BN797" t="s">
        <v>74</v>
      </c>
      <c r="BO797" t="s">
        <v>2056</v>
      </c>
      <c r="BP797" t="s">
        <v>74</v>
      </c>
      <c r="BQ797" t="s">
        <v>74</v>
      </c>
      <c r="BR797" t="s">
        <v>93</v>
      </c>
      <c r="BS797" t="s">
        <v>15098</v>
      </c>
      <c r="BT797" t="str">
        <f>HYPERLINK("https%3A%2F%2Fwww.webofscience.com%2Fwos%2Fwoscc%2Ffull-record%2FWOS:000346219500007","View Full Record in Web of Science")</f>
        <v>View Full Record in Web of Science</v>
      </c>
    </row>
    <row r="798" spans="1:72" x14ac:dyDescent="0.15">
      <c r="A798" t="s">
        <v>72</v>
      </c>
      <c r="B798" t="s">
        <v>15099</v>
      </c>
      <c r="C798" t="s">
        <v>74</v>
      </c>
      <c r="D798" t="s">
        <v>74</v>
      </c>
      <c r="E798" t="s">
        <v>74</v>
      </c>
      <c r="F798" t="s">
        <v>15100</v>
      </c>
      <c r="G798" t="s">
        <v>74</v>
      </c>
      <c r="H798" t="s">
        <v>74</v>
      </c>
      <c r="I798" t="s">
        <v>15101</v>
      </c>
      <c r="J798" t="s">
        <v>13833</v>
      </c>
      <c r="K798" t="s">
        <v>74</v>
      </c>
      <c r="L798" t="s">
        <v>74</v>
      </c>
      <c r="M798" t="s">
        <v>78</v>
      </c>
      <c r="N798" t="s">
        <v>99</v>
      </c>
      <c r="O798" t="s">
        <v>74</v>
      </c>
      <c r="P798" t="s">
        <v>74</v>
      </c>
      <c r="Q798" t="s">
        <v>74</v>
      </c>
      <c r="R798" t="s">
        <v>74</v>
      </c>
      <c r="S798" t="s">
        <v>74</v>
      </c>
      <c r="T798" t="s">
        <v>74</v>
      </c>
      <c r="U798" t="s">
        <v>15102</v>
      </c>
      <c r="V798" t="s">
        <v>15103</v>
      </c>
      <c r="W798" t="s">
        <v>15104</v>
      </c>
      <c r="X798" t="s">
        <v>15105</v>
      </c>
      <c r="Y798" t="s">
        <v>15106</v>
      </c>
      <c r="Z798" t="s">
        <v>15107</v>
      </c>
      <c r="AA798" t="s">
        <v>15108</v>
      </c>
      <c r="AB798" t="s">
        <v>15109</v>
      </c>
      <c r="AC798" t="s">
        <v>15110</v>
      </c>
      <c r="AD798" t="s">
        <v>15111</v>
      </c>
      <c r="AE798" t="s">
        <v>15112</v>
      </c>
      <c r="AF798" t="s">
        <v>74</v>
      </c>
      <c r="AG798">
        <v>74</v>
      </c>
      <c r="AH798">
        <v>45</v>
      </c>
      <c r="AI798">
        <v>46</v>
      </c>
      <c r="AJ798">
        <v>2</v>
      </c>
      <c r="AK798">
        <v>64</v>
      </c>
      <c r="AL798" t="s">
        <v>82</v>
      </c>
      <c r="AM798" t="s">
        <v>83</v>
      </c>
      <c r="AN798" t="s">
        <v>150</v>
      </c>
      <c r="AO798" t="s">
        <v>13843</v>
      </c>
      <c r="AP798" t="s">
        <v>13844</v>
      </c>
      <c r="AQ798" t="s">
        <v>74</v>
      </c>
      <c r="AR798" t="s">
        <v>13845</v>
      </c>
      <c r="AS798" t="s">
        <v>13846</v>
      </c>
      <c r="AT798" t="s">
        <v>13619</v>
      </c>
      <c r="AU798">
        <v>2014</v>
      </c>
      <c r="AV798">
        <v>46</v>
      </c>
      <c r="AW798">
        <v>4</v>
      </c>
      <c r="AX798" t="s">
        <v>74</v>
      </c>
      <c r="AY798" t="s">
        <v>74</v>
      </c>
      <c r="AZ798" t="s">
        <v>1437</v>
      </c>
      <c r="BA798" t="s">
        <v>74</v>
      </c>
      <c r="BB798">
        <v>811</v>
      </c>
      <c r="BC798">
        <v>828</v>
      </c>
      <c r="BD798" t="s">
        <v>74</v>
      </c>
      <c r="BE798" t="s">
        <v>15113</v>
      </c>
      <c r="BF798" t="str">
        <f>HYPERLINK("http://dx.doi.org/10.1657/1938-4246-46.4.811","http://dx.doi.org/10.1657/1938-4246-46.4.811")</f>
        <v>http://dx.doi.org/10.1657/1938-4246-46.4.811</v>
      </c>
      <c r="BG798" t="s">
        <v>74</v>
      </c>
      <c r="BH798" t="s">
        <v>74</v>
      </c>
      <c r="BI798">
        <v>18</v>
      </c>
      <c r="BJ798" t="s">
        <v>13848</v>
      </c>
      <c r="BK798" t="s">
        <v>91</v>
      </c>
      <c r="BL798" t="s">
        <v>6693</v>
      </c>
      <c r="BM798" t="s">
        <v>13849</v>
      </c>
      <c r="BN798" t="s">
        <v>74</v>
      </c>
      <c r="BO798" t="s">
        <v>3478</v>
      </c>
      <c r="BP798" t="s">
        <v>74</v>
      </c>
      <c r="BQ798" t="s">
        <v>74</v>
      </c>
      <c r="BR798" t="s">
        <v>93</v>
      </c>
      <c r="BS798" t="s">
        <v>15114</v>
      </c>
      <c r="BT798" t="str">
        <f>HYPERLINK("https%3A%2F%2Fwww.webofscience.com%2Fwos%2Fwoscc%2Ffull-record%2FWOS:000346219500011","View Full Record in Web of Science")</f>
        <v>View Full Record in Web of Science</v>
      </c>
    </row>
    <row r="799" spans="1:72" x14ac:dyDescent="0.15">
      <c r="A799" t="s">
        <v>72</v>
      </c>
      <c r="B799" t="s">
        <v>15115</v>
      </c>
      <c r="C799" t="s">
        <v>74</v>
      </c>
      <c r="D799" t="s">
        <v>74</v>
      </c>
      <c r="E799" t="s">
        <v>74</v>
      </c>
      <c r="F799" t="s">
        <v>15116</v>
      </c>
      <c r="G799" t="s">
        <v>74</v>
      </c>
      <c r="H799" t="s">
        <v>74</v>
      </c>
      <c r="I799" t="s">
        <v>15117</v>
      </c>
      <c r="J799" t="s">
        <v>13833</v>
      </c>
      <c r="K799" t="s">
        <v>74</v>
      </c>
      <c r="L799" t="s">
        <v>74</v>
      </c>
      <c r="M799" t="s">
        <v>78</v>
      </c>
      <c r="N799" t="s">
        <v>99</v>
      </c>
      <c r="O799" t="s">
        <v>74</v>
      </c>
      <c r="P799" t="s">
        <v>74</v>
      </c>
      <c r="Q799" t="s">
        <v>74</v>
      </c>
      <c r="R799" t="s">
        <v>74</v>
      </c>
      <c r="S799" t="s">
        <v>74</v>
      </c>
      <c r="T799" t="s">
        <v>74</v>
      </c>
      <c r="U799" t="s">
        <v>15118</v>
      </c>
      <c r="V799" t="s">
        <v>15119</v>
      </c>
      <c r="W799" t="s">
        <v>15120</v>
      </c>
      <c r="X799" t="s">
        <v>15121</v>
      </c>
      <c r="Y799" t="s">
        <v>15122</v>
      </c>
      <c r="Z799" t="s">
        <v>15123</v>
      </c>
      <c r="AA799" t="s">
        <v>15124</v>
      </c>
      <c r="AB799" t="s">
        <v>15125</v>
      </c>
      <c r="AC799" t="s">
        <v>15126</v>
      </c>
      <c r="AD799" t="s">
        <v>15127</v>
      </c>
      <c r="AE799" t="s">
        <v>15128</v>
      </c>
      <c r="AF799" t="s">
        <v>74</v>
      </c>
      <c r="AG799">
        <v>169</v>
      </c>
      <c r="AH799">
        <v>64</v>
      </c>
      <c r="AI799">
        <v>75</v>
      </c>
      <c r="AJ799">
        <v>2</v>
      </c>
      <c r="AK799">
        <v>116</v>
      </c>
      <c r="AL799" t="s">
        <v>82</v>
      </c>
      <c r="AM799" t="s">
        <v>83</v>
      </c>
      <c r="AN799" t="s">
        <v>150</v>
      </c>
      <c r="AO799" t="s">
        <v>13843</v>
      </c>
      <c r="AP799" t="s">
        <v>13844</v>
      </c>
      <c r="AQ799" t="s">
        <v>74</v>
      </c>
      <c r="AR799" t="s">
        <v>13845</v>
      </c>
      <c r="AS799" t="s">
        <v>13846</v>
      </c>
      <c r="AT799" t="s">
        <v>13619</v>
      </c>
      <c r="AU799">
        <v>2014</v>
      </c>
      <c r="AV799">
        <v>46</v>
      </c>
      <c r="AW799">
        <v>4</v>
      </c>
      <c r="AX799" t="s">
        <v>74</v>
      </c>
      <c r="AY799" t="s">
        <v>74</v>
      </c>
      <c r="AZ799" t="s">
        <v>1437</v>
      </c>
      <c r="BA799" t="s">
        <v>74</v>
      </c>
      <c r="BB799">
        <v>829</v>
      </c>
      <c r="BC799">
        <v>840</v>
      </c>
      <c r="BD799" t="s">
        <v>74</v>
      </c>
      <c r="BE799" t="s">
        <v>15129</v>
      </c>
      <c r="BF799" t="str">
        <f>HYPERLINK("http://dx.doi.org/10.1657/1938-4246-46.4.829","http://dx.doi.org/10.1657/1938-4246-46.4.829")</f>
        <v>http://dx.doi.org/10.1657/1938-4246-46.4.829</v>
      </c>
      <c r="BG799" t="s">
        <v>74</v>
      </c>
      <c r="BH799" t="s">
        <v>74</v>
      </c>
      <c r="BI799">
        <v>12</v>
      </c>
      <c r="BJ799" t="s">
        <v>13848</v>
      </c>
      <c r="BK799" t="s">
        <v>91</v>
      </c>
      <c r="BL799" t="s">
        <v>6693</v>
      </c>
      <c r="BM799" t="s">
        <v>13849</v>
      </c>
      <c r="BN799" t="s">
        <v>74</v>
      </c>
      <c r="BO799" t="s">
        <v>2056</v>
      </c>
      <c r="BP799" t="s">
        <v>74</v>
      </c>
      <c r="BQ799" t="s">
        <v>74</v>
      </c>
      <c r="BR799" t="s">
        <v>93</v>
      </c>
      <c r="BS799" t="s">
        <v>15130</v>
      </c>
      <c r="BT799" t="str">
        <f>HYPERLINK("https%3A%2F%2Fwww.webofscience.com%2Fwos%2Fwoscc%2Ffull-record%2FWOS:000346219500012","View Full Record in Web of Science")</f>
        <v>View Full Record in Web of Science</v>
      </c>
    </row>
    <row r="800" spans="1:72" x14ac:dyDescent="0.15">
      <c r="A800" t="s">
        <v>72</v>
      </c>
      <c r="B800" t="s">
        <v>15131</v>
      </c>
      <c r="C800" t="s">
        <v>74</v>
      </c>
      <c r="D800" t="s">
        <v>74</v>
      </c>
      <c r="E800" t="s">
        <v>74</v>
      </c>
      <c r="F800" t="s">
        <v>15132</v>
      </c>
      <c r="G800" t="s">
        <v>74</v>
      </c>
      <c r="H800" t="s">
        <v>74</v>
      </c>
      <c r="I800" t="s">
        <v>15133</v>
      </c>
      <c r="J800" t="s">
        <v>13833</v>
      </c>
      <c r="K800" t="s">
        <v>74</v>
      </c>
      <c r="L800" t="s">
        <v>74</v>
      </c>
      <c r="M800" t="s">
        <v>78</v>
      </c>
      <c r="N800" t="s">
        <v>99</v>
      </c>
      <c r="O800" t="s">
        <v>74</v>
      </c>
      <c r="P800" t="s">
        <v>74</v>
      </c>
      <c r="Q800" t="s">
        <v>74</v>
      </c>
      <c r="R800" t="s">
        <v>74</v>
      </c>
      <c r="S800" t="s">
        <v>74</v>
      </c>
      <c r="T800" t="s">
        <v>74</v>
      </c>
      <c r="U800" t="s">
        <v>15134</v>
      </c>
      <c r="V800" t="s">
        <v>15135</v>
      </c>
      <c r="W800" t="s">
        <v>15136</v>
      </c>
      <c r="X800" t="s">
        <v>15137</v>
      </c>
      <c r="Y800" t="s">
        <v>15138</v>
      </c>
      <c r="Z800" t="s">
        <v>15139</v>
      </c>
      <c r="AA800" t="s">
        <v>15140</v>
      </c>
      <c r="AB800" t="s">
        <v>15141</v>
      </c>
      <c r="AC800" t="s">
        <v>74</v>
      </c>
      <c r="AD800" t="s">
        <v>74</v>
      </c>
      <c r="AE800" t="s">
        <v>74</v>
      </c>
      <c r="AF800" t="s">
        <v>74</v>
      </c>
      <c r="AG800">
        <v>142</v>
      </c>
      <c r="AH800">
        <v>21</v>
      </c>
      <c r="AI800">
        <v>25</v>
      </c>
      <c r="AJ800">
        <v>0</v>
      </c>
      <c r="AK800">
        <v>35</v>
      </c>
      <c r="AL800" t="s">
        <v>82</v>
      </c>
      <c r="AM800" t="s">
        <v>83</v>
      </c>
      <c r="AN800" t="s">
        <v>150</v>
      </c>
      <c r="AO800" t="s">
        <v>13843</v>
      </c>
      <c r="AP800" t="s">
        <v>13844</v>
      </c>
      <c r="AQ800" t="s">
        <v>74</v>
      </c>
      <c r="AR800" t="s">
        <v>13845</v>
      </c>
      <c r="AS800" t="s">
        <v>13846</v>
      </c>
      <c r="AT800" t="s">
        <v>13619</v>
      </c>
      <c r="AU800">
        <v>2014</v>
      </c>
      <c r="AV800">
        <v>46</v>
      </c>
      <c r="AW800">
        <v>4</v>
      </c>
      <c r="AX800" t="s">
        <v>74</v>
      </c>
      <c r="AY800" t="s">
        <v>74</v>
      </c>
      <c r="AZ800" t="s">
        <v>1437</v>
      </c>
      <c r="BA800" t="s">
        <v>74</v>
      </c>
      <c r="BB800">
        <v>891</v>
      </c>
      <c r="BC800">
        <v>904</v>
      </c>
      <c r="BD800" t="s">
        <v>74</v>
      </c>
      <c r="BE800" t="s">
        <v>15142</v>
      </c>
      <c r="BF800" t="str">
        <f>HYPERLINK("http://dx.doi.org/10.1657/1938-4246-46.4.891","http://dx.doi.org/10.1657/1938-4246-46.4.891")</f>
        <v>http://dx.doi.org/10.1657/1938-4246-46.4.891</v>
      </c>
      <c r="BG800" t="s">
        <v>74</v>
      </c>
      <c r="BH800" t="s">
        <v>74</v>
      </c>
      <c r="BI800">
        <v>14</v>
      </c>
      <c r="BJ800" t="s">
        <v>13848</v>
      </c>
      <c r="BK800" t="s">
        <v>91</v>
      </c>
      <c r="BL800" t="s">
        <v>6693</v>
      </c>
      <c r="BM800" t="s">
        <v>13849</v>
      </c>
      <c r="BN800" t="s">
        <v>74</v>
      </c>
      <c r="BO800" t="s">
        <v>2056</v>
      </c>
      <c r="BP800" t="s">
        <v>74</v>
      </c>
      <c r="BQ800" t="s">
        <v>74</v>
      </c>
      <c r="BR800" t="s">
        <v>93</v>
      </c>
      <c r="BS800" t="s">
        <v>15143</v>
      </c>
      <c r="BT800" t="str">
        <f>HYPERLINK("https%3A%2F%2Fwww.webofscience.com%2Fwos%2Fwoscc%2Ffull-record%2FWOS:000346219500017","View Full Record in Web of Science")</f>
        <v>View Full Record in Web of Science</v>
      </c>
    </row>
    <row r="801" spans="1:72" x14ac:dyDescent="0.15">
      <c r="A801" t="s">
        <v>72</v>
      </c>
      <c r="B801" t="s">
        <v>15144</v>
      </c>
      <c r="C801" t="s">
        <v>74</v>
      </c>
      <c r="D801" t="s">
        <v>74</v>
      </c>
      <c r="E801" t="s">
        <v>74</v>
      </c>
      <c r="F801" t="s">
        <v>15145</v>
      </c>
      <c r="G801" t="s">
        <v>74</v>
      </c>
      <c r="H801" t="s">
        <v>74</v>
      </c>
      <c r="I801" t="s">
        <v>15146</v>
      </c>
      <c r="J801" t="s">
        <v>13833</v>
      </c>
      <c r="K801" t="s">
        <v>74</v>
      </c>
      <c r="L801" t="s">
        <v>74</v>
      </c>
      <c r="M801" t="s">
        <v>78</v>
      </c>
      <c r="N801" t="s">
        <v>99</v>
      </c>
      <c r="O801" t="s">
        <v>74</v>
      </c>
      <c r="P801" t="s">
        <v>74</v>
      </c>
      <c r="Q801" t="s">
        <v>74</v>
      </c>
      <c r="R801" t="s">
        <v>74</v>
      </c>
      <c r="S801" t="s">
        <v>74</v>
      </c>
      <c r="T801" t="s">
        <v>74</v>
      </c>
      <c r="U801" t="s">
        <v>15147</v>
      </c>
      <c r="V801" t="s">
        <v>15148</v>
      </c>
      <c r="W801" t="s">
        <v>15149</v>
      </c>
      <c r="X801" t="s">
        <v>15150</v>
      </c>
      <c r="Y801" t="s">
        <v>15151</v>
      </c>
      <c r="Z801" t="s">
        <v>15152</v>
      </c>
      <c r="AA801" t="s">
        <v>15153</v>
      </c>
      <c r="AB801" t="s">
        <v>15154</v>
      </c>
      <c r="AC801" t="s">
        <v>15155</v>
      </c>
      <c r="AD801" t="s">
        <v>15156</v>
      </c>
      <c r="AE801" t="s">
        <v>15157</v>
      </c>
      <c r="AF801" t="s">
        <v>74</v>
      </c>
      <c r="AG801">
        <v>40</v>
      </c>
      <c r="AH801">
        <v>10</v>
      </c>
      <c r="AI801">
        <v>11</v>
      </c>
      <c r="AJ801">
        <v>0</v>
      </c>
      <c r="AK801">
        <v>19</v>
      </c>
      <c r="AL801" t="s">
        <v>13841</v>
      </c>
      <c r="AM801" t="s">
        <v>6202</v>
      </c>
      <c r="AN801" t="s">
        <v>13842</v>
      </c>
      <c r="AO801" t="s">
        <v>13843</v>
      </c>
      <c r="AP801" t="s">
        <v>13844</v>
      </c>
      <c r="AQ801" t="s">
        <v>74</v>
      </c>
      <c r="AR801" t="s">
        <v>13845</v>
      </c>
      <c r="AS801" t="s">
        <v>13846</v>
      </c>
      <c r="AT801" t="s">
        <v>13619</v>
      </c>
      <c r="AU801">
        <v>2014</v>
      </c>
      <c r="AV801">
        <v>46</v>
      </c>
      <c r="AW801">
        <v>4</v>
      </c>
      <c r="AX801" t="s">
        <v>74</v>
      </c>
      <c r="AY801" t="s">
        <v>74</v>
      </c>
      <c r="AZ801" t="s">
        <v>1437</v>
      </c>
      <c r="BA801" t="s">
        <v>74</v>
      </c>
      <c r="BB801">
        <v>905</v>
      </c>
      <c r="BC801">
        <v>917</v>
      </c>
      <c r="BD801" t="s">
        <v>74</v>
      </c>
      <c r="BE801" t="s">
        <v>15158</v>
      </c>
      <c r="BF801" t="str">
        <f>HYPERLINK("http://dx.doi.org/10.1657/1938-4246-46.4.905","http://dx.doi.org/10.1657/1938-4246-46.4.905")</f>
        <v>http://dx.doi.org/10.1657/1938-4246-46.4.905</v>
      </c>
      <c r="BG801" t="s">
        <v>74</v>
      </c>
      <c r="BH801" t="s">
        <v>74</v>
      </c>
      <c r="BI801">
        <v>13</v>
      </c>
      <c r="BJ801" t="s">
        <v>13848</v>
      </c>
      <c r="BK801" t="s">
        <v>91</v>
      </c>
      <c r="BL801" t="s">
        <v>6693</v>
      </c>
      <c r="BM801" t="s">
        <v>13849</v>
      </c>
      <c r="BN801" t="s">
        <v>74</v>
      </c>
      <c r="BO801" t="s">
        <v>2081</v>
      </c>
      <c r="BP801" t="s">
        <v>74</v>
      </c>
      <c r="BQ801" t="s">
        <v>74</v>
      </c>
      <c r="BR801" t="s">
        <v>93</v>
      </c>
      <c r="BS801" t="s">
        <v>15159</v>
      </c>
      <c r="BT801" t="str">
        <f>HYPERLINK("https%3A%2F%2Fwww.webofscience.com%2Fwos%2Fwoscc%2Ffull-record%2FWOS:000346219500018","View Full Record in Web of Science")</f>
        <v>View Full Record in Web of Science</v>
      </c>
    </row>
    <row r="802" spans="1:72" x14ac:dyDescent="0.15">
      <c r="A802" t="s">
        <v>72</v>
      </c>
      <c r="B802" t="s">
        <v>15160</v>
      </c>
      <c r="C802" t="s">
        <v>74</v>
      </c>
      <c r="D802" t="s">
        <v>74</v>
      </c>
      <c r="E802" t="s">
        <v>74</v>
      </c>
      <c r="F802" t="s">
        <v>15161</v>
      </c>
      <c r="G802" t="s">
        <v>74</v>
      </c>
      <c r="H802" t="s">
        <v>74</v>
      </c>
      <c r="I802" t="s">
        <v>15162</v>
      </c>
      <c r="J802" t="s">
        <v>13833</v>
      </c>
      <c r="K802" t="s">
        <v>74</v>
      </c>
      <c r="L802" t="s">
        <v>74</v>
      </c>
      <c r="M802" t="s">
        <v>78</v>
      </c>
      <c r="N802" t="s">
        <v>99</v>
      </c>
      <c r="O802" t="s">
        <v>74</v>
      </c>
      <c r="P802" t="s">
        <v>74</v>
      </c>
      <c r="Q802" t="s">
        <v>74</v>
      </c>
      <c r="R802" t="s">
        <v>74</v>
      </c>
      <c r="S802" t="s">
        <v>74</v>
      </c>
      <c r="T802" t="s">
        <v>74</v>
      </c>
      <c r="U802" t="s">
        <v>15163</v>
      </c>
      <c r="V802" t="s">
        <v>15164</v>
      </c>
      <c r="W802" t="s">
        <v>15165</v>
      </c>
      <c r="X802" t="s">
        <v>15166</v>
      </c>
      <c r="Y802" t="s">
        <v>15167</v>
      </c>
      <c r="Z802" t="s">
        <v>15168</v>
      </c>
      <c r="AA802" t="s">
        <v>15169</v>
      </c>
      <c r="AB802" t="s">
        <v>15170</v>
      </c>
      <c r="AC802" t="s">
        <v>15171</v>
      </c>
      <c r="AD802" t="s">
        <v>15172</v>
      </c>
      <c r="AE802" t="s">
        <v>15173</v>
      </c>
      <c r="AF802" t="s">
        <v>74</v>
      </c>
      <c r="AG802">
        <v>57</v>
      </c>
      <c r="AH802">
        <v>108</v>
      </c>
      <c r="AI802">
        <v>112</v>
      </c>
      <c r="AJ802">
        <v>1</v>
      </c>
      <c r="AK802">
        <v>41</v>
      </c>
      <c r="AL802" t="s">
        <v>13841</v>
      </c>
      <c r="AM802" t="s">
        <v>6202</v>
      </c>
      <c r="AN802" t="s">
        <v>13842</v>
      </c>
      <c r="AO802" t="s">
        <v>13843</v>
      </c>
      <c r="AP802" t="s">
        <v>13844</v>
      </c>
      <c r="AQ802" t="s">
        <v>74</v>
      </c>
      <c r="AR802" t="s">
        <v>13845</v>
      </c>
      <c r="AS802" t="s">
        <v>13846</v>
      </c>
      <c r="AT802" t="s">
        <v>13619</v>
      </c>
      <c r="AU802">
        <v>2014</v>
      </c>
      <c r="AV802">
        <v>46</v>
      </c>
      <c r="AW802">
        <v>4</v>
      </c>
      <c r="AX802" t="s">
        <v>74</v>
      </c>
      <c r="AY802" t="s">
        <v>74</v>
      </c>
      <c r="AZ802" t="s">
        <v>1437</v>
      </c>
      <c r="BA802" t="s">
        <v>74</v>
      </c>
      <c r="BB802">
        <v>933</v>
      </c>
      <c r="BC802">
        <v>945</v>
      </c>
      <c r="BD802" t="s">
        <v>74</v>
      </c>
      <c r="BE802" t="s">
        <v>15174</v>
      </c>
      <c r="BF802" t="str">
        <f>HYPERLINK("http://dx.doi.org/10.1657/1938-4246-46.4.933","http://dx.doi.org/10.1657/1938-4246-46.4.933")</f>
        <v>http://dx.doi.org/10.1657/1938-4246-46.4.933</v>
      </c>
      <c r="BG802" t="s">
        <v>74</v>
      </c>
      <c r="BH802" t="s">
        <v>74</v>
      </c>
      <c r="BI802">
        <v>13</v>
      </c>
      <c r="BJ802" t="s">
        <v>13848</v>
      </c>
      <c r="BK802" t="s">
        <v>91</v>
      </c>
      <c r="BL802" t="s">
        <v>6693</v>
      </c>
      <c r="BM802" t="s">
        <v>13849</v>
      </c>
      <c r="BN802" t="s">
        <v>74</v>
      </c>
      <c r="BO802" t="s">
        <v>10140</v>
      </c>
      <c r="BP802" t="s">
        <v>74</v>
      </c>
      <c r="BQ802" t="s">
        <v>74</v>
      </c>
      <c r="BR802" t="s">
        <v>93</v>
      </c>
      <c r="BS802" t="s">
        <v>15175</v>
      </c>
      <c r="BT802" t="str">
        <f>HYPERLINK("https%3A%2F%2Fwww.webofscience.com%2Fwos%2Fwoscc%2Ffull-record%2FWOS:000346219500020","View Full Record in Web of Science")</f>
        <v>View Full Record in Web of Science</v>
      </c>
    </row>
    <row r="803" spans="1:72" x14ac:dyDescent="0.15">
      <c r="A803" t="s">
        <v>72</v>
      </c>
      <c r="B803" t="s">
        <v>15176</v>
      </c>
      <c r="C803" t="s">
        <v>74</v>
      </c>
      <c r="D803" t="s">
        <v>74</v>
      </c>
      <c r="E803" t="s">
        <v>74</v>
      </c>
      <c r="F803" t="s">
        <v>15177</v>
      </c>
      <c r="G803" t="s">
        <v>74</v>
      </c>
      <c r="H803" t="s">
        <v>74</v>
      </c>
      <c r="I803" t="s">
        <v>15178</v>
      </c>
      <c r="J803" t="s">
        <v>13833</v>
      </c>
      <c r="K803" t="s">
        <v>74</v>
      </c>
      <c r="L803" t="s">
        <v>74</v>
      </c>
      <c r="M803" t="s">
        <v>78</v>
      </c>
      <c r="N803" t="s">
        <v>99</v>
      </c>
      <c r="O803" t="s">
        <v>74</v>
      </c>
      <c r="P803" t="s">
        <v>74</v>
      </c>
      <c r="Q803" t="s">
        <v>74</v>
      </c>
      <c r="R803" t="s">
        <v>74</v>
      </c>
      <c r="S803" t="s">
        <v>74</v>
      </c>
      <c r="T803" t="s">
        <v>74</v>
      </c>
      <c r="U803" t="s">
        <v>15179</v>
      </c>
      <c r="V803" t="s">
        <v>15180</v>
      </c>
      <c r="W803" t="s">
        <v>15181</v>
      </c>
      <c r="X803" t="s">
        <v>15182</v>
      </c>
      <c r="Y803" t="s">
        <v>15183</v>
      </c>
      <c r="Z803" t="s">
        <v>15184</v>
      </c>
      <c r="AA803" t="s">
        <v>74</v>
      </c>
      <c r="AB803" t="s">
        <v>15185</v>
      </c>
      <c r="AC803" t="s">
        <v>15186</v>
      </c>
      <c r="AD803" t="s">
        <v>15187</v>
      </c>
      <c r="AE803" t="s">
        <v>15188</v>
      </c>
      <c r="AF803" t="s">
        <v>74</v>
      </c>
      <c r="AG803">
        <v>63</v>
      </c>
      <c r="AH803">
        <v>37</v>
      </c>
      <c r="AI803">
        <v>39</v>
      </c>
      <c r="AJ803">
        <v>1</v>
      </c>
      <c r="AK803">
        <v>52</v>
      </c>
      <c r="AL803" t="s">
        <v>82</v>
      </c>
      <c r="AM803" t="s">
        <v>83</v>
      </c>
      <c r="AN803" t="s">
        <v>150</v>
      </c>
      <c r="AO803" t="s">
        <v>13843</v>
      </c>
      <c r="AP803" t="s">
        <v>13844</v>
      </c>
      <c r="AQ803" t="s">
        <v>74</v>
      </c>
      <c r="AR803" t="s">
        <v>13845</v>
      </c>
      <c r="AS803" t="s">
        <v>13846</v>
      </c>
      <c r="AT803" t="s">
        <v>13619</v>
      </c>
      <c r="AU803">
        <v>2014</v>
      </c>
      <c r="AV803">
        <v>46</v>
      </c>
      <c r="AW803">
        <v>4</v>
      </c>
      <c r="AX803" t="s">
        <v>74</v>
      </c>
      <c r="AY803" t="s">
        <v>74</v>
      </c>
      <c r="AZ803" t="s">
        <v>1437</v>
      </c>
      <c r="BA803" t="s">
        <v>74</v>
      </c>
      <c r="BB803">
        <v>947</v>
      </c>
      <c r="BC803">
        <v>961</v>
      </c>
      <c r="BD803" t="s">
        <v>74</v>
      </c>
      <c r="BE803" t="s">
        <v>15189</v>
      </c>
      <c r="BF803" t="str">
        <f>HYPERLINK("http://dx.doi.org/10.1657/1938-4246-46.4.947","http://dx.doi.org/10.1657/1938-4246-46.4.947")</f>
        <v>http://dx.doi.org/10.1657/1938-4246-46.4.947</v>
      </c>
      <c r="BG803" t="s">
        <v>74</v>
      </c>
      <c r="BH803" t="s">
        <v>74</v>
      </c>
      <c r="BI803">
        <v>15</v>
      </c>
      <c r="BJ803" t="s">
        <v>13848</v>
      </c>
      <c r="BK803" t="s">
        <v>91</v>
      </c>
      <c r="BL803" t="s">
        <v>6693</v>
      </c>
      <c r="BM803" t="s">
        <v>13849</v>
      </c>
      <c r="BN803" t="s">
        <v>74</v>
      </c>
      <c r="BO803" t="s">
        <v>3478</v>
      </c>
      <c r="BP803" t="s">
        <v>74</v>
      </c>
      <c r="BQ803" t="s">
        <v>74</v>
      </c>
      <c r="BR803" t="s">
        <v>93</v>
      </c>
      <c r="BS803" t="s">
        <v>15190</v>
      </c>
      <c r="BT803" t="str">
        <f>HYPERLINK("https%3A%2F%2Fwww.webofscience.com%2Fwos%2Fwoscc%2Ffull-record%2FWOS:000346219500021","View Full Record in Web of Science")</f>
        <v>View Full Record in Web of Science</v>
      </c>
    </row>
    <row r="804" spans="1:72" x14ac:dyDescent="0.15">
      <c r="A804" t="s">
        <v>72</v>
      </c>
      <c r="B804" t="s">
        <v>15191</v>
      </c>
      <c r="C804" t="s">
        <v>74</v>
      </c>
      <c r="D804" t="s">
        <v>74</v>
      </c>
      <c r="E804" t="s">
        <v>74</v>
      </c>
      <c r="F804" t="s">
        <v>15192</v>
      </c>
      <c r="G804" t="s">
        <v>74</v>
      </c>
      <c r="H804" t="s">
        <v>74</v>
      </c>
      <c r="I804" t="s">
        <v>15193</v>
      </c>
      <c r="J804" t="s">
        <v>13833</v>
      </c>
      <c r="K804" t="s">
        <v>74</v>
      </c>
      <c r="L804" t="s">
        <v>74</v>
      </c>
      <c r="M804" t="s">
        <v>78</v>
      </c>
      <c r="N804" t="s">
        <v>454</v>
      </c>
      <c r="O804" t="s">
        <v>74</v>
      </c>
      <c r="P804" t="s">
        <v>74</v>
      </c>
      <c r="Q804" t="s">
        <v>74</v>
      </c>
      <c r="R804" t="s">
        <v>74</v>
      </c>
      <c r="S804" t="s">
        <v>74</v>
      </c>
      <c r="T804" t="s">
        <v>74</v>
      </c>
      <c r="U804" t="s">
        <v>15194</v>
      </c>
      <c r="V804" t="s">
        <v>15195</v>
      </c>
      <c r="W804" t="s">
        <v>15196</v>
      </c>
      <c r="X804" t="s">
        <v>5141</v>
      </c>
      <c r="Y804" t="s">
        <v>15197</v>
      </c>
      <c r="Z804" t="s">
        <v>15198</v>
      </c>
      <c r="AA804" t="s">
        <v>74</v>
      </c>
      <c r="AB804" t="s">
        <v>74</v>
      </c>
      <c r="AC804" t="s">
        <v>74</v>
      </c>
      <c r="AD804" t="s">
        <v>74</v>
      </c>
      <c r="AE804" t="s">
        <v>74</v>
      </c>
      <c r="AF804" t="s">
        <v>74</v>
      </c>
      <c r="AG804">
        <v>137</v>
      </c>
      <c r="AH804">
        <v>56</v>
      </c>
      <c r="AI804">
        <v>66</v>
      </c>
      <c r="AJ804">
        <v>6</v>
      </c>
      <c r="AK804">
        <v>136</v>
      </c>
      <c r="AL804" t="s">
        <v>13841</v>
      </c>
      <c r="AM804" t="s">
        <v>6202</v>
      </c>
      <c r="AN804" t="s">
        <v>13842</v>
      </c>
      <c r="AO804" t="s">
        <v>13843</v>
      </c>
      <c r="AP804" t="s">
        <v>13844</v>
      </c>
      <c r="AQ804" t="s">
        <v>74</v>
      </c>
      <c r="AR804" t="s">
        <v>13845</v>
      </c>
      <c r="AS804" t="s">
        <v>13846</v>
      </c>
      <c r="AT804" t="s">
        <v>13619</v>
      </c>
      <c r="AU804">
        <v>2014</v>
      </c>
      <c r="AV804">
        <v>46</v>
      </c>
      <c r="AW804">
        <v>4</v>
      </c>
      <c r="AX804" t="s">
        <v>74</v>
      </c>
      <c r="AY804" t="s">
        <v>74</v>
      </c>
      <c r="AZ804" t="s">
        <v>1437</v>
      </c>
      <c r="BA804" t="s">
        <v>74</v>
      </c>
      <c r="BB804">
        <v>987</v>
      </c>
      <c r="BC804">
        <v>1006</v>
      </c>
      <c r="BD804" t="s">
        <v>74</v>
      </c>
      <c r="BE804" t="s">
        <v>15199</v>
      </c>
      <c r="BF804" t="str">
        <f>HYPERLINK("http://dx.doi.org/10.1657/1938-4246-46.4.987","http://dx.doi.org/10.1657/1938-4246-46.4.987")</f>
        <v>http://dx.doi.org/10.1657/1938-4246-46.4.987</v>
      </c>
      <c r="BG804" t="s">
        <v>74</v>
      </c>
      <c r="BH804" t="s">
        <v>74</v>
      </c>
      <c r="BI804">
        <v>20</v>
      </c>
      <c r="BJ804" t="s">
        <v>13848</v>
      </c>
      <c r="BK804" t="s">
        <v>91</v>
      </c>
      <c r="BL804" t="s">
        <v>6693</v>
      </c>
      <c r="BM804" t="s">
        <v>13849</v>
      </c>
      <c r="BN804" t="s">
        <v>74</v>
      </c>
      <c r="BO804" t="s">
        <v>2056</v>
      </c>
      <c r="BP804" t="s">
        <v>74</v>
      </c>
      <c r="BQ804" t="s">
        <v>74</v>
      </c>
      <c r="BR804" t="s">
        <v>93</v>
      </c>
      <c r="BS804" t="s">
        <v>15200</v>
      </c>
      <c r="BT804" t="str">
        <f>HYPERLINK("https%3A%2F%2Fwww.webofscience.com%2Fwos%2Fwoscc%2Ffull-record%2FWOS:000346219500024","View Full Record in Web of Science")</f>
        <v>View Full Record in Web of Science</v>
      </c>
    </row>
    <row r="805" spans="1:72" x14ac:dyDescent="0.15">
      <c r="A805" t="s">
        <v>72</v>
      </c>
      <c r="B805" t="s">
        <v>15201</v>
      </c>
      <c r="C805" t="s">
        <v>74</v>
      </c>
      <c r="D805" t="s">
        <v>74</v>
      </c>
      <c r="E805" t="s">
        <v>74</v>
      </c>
      <c r="F805" t="s">
        <v>15202</v>
      </c>
      <c r="G805" t="s">
        <v>74</v>
      </c>
      <c r="H805" t="s">
        <v>74</v>
      </c>
      <c r="I805" t="s">
        <v>15203</v>
      </c>
      <c r="J805" t="s">
        <v>15204</v>
      </c>
      <c r="K805" t="s">
        <v>74</v>
      </c>
      <c r="L805" t="s">
        <v>74</v>
      </c>
      <c r="M805" t="s">
        <v>78</v>
      </c>
      <c r="N805" t="s">
        <v>99</v>
      </c>
      <c r="O805" t="s">
        <v>74</v>
      </c>
      <c r="P805" t="s">
        <v>74</v>
      </c>
      <c r="Q805" t="s">
        <v>74</v>
      </c>
      <c r="R805" t="s">
        <v>74</v>
      </c>
      <c r="S805" t="s">
        <v>74</v>
      </c>
      <c r="T805" t="s">
        <v>15205</v>
      </c>
      <c r="U805" t="s">
        <v>15206</v>
      </c>
      <c r="V805" t="s">
        <v>15207</v>
      </c>
      <c r="W805" t="s">
        <v>15208</v>
      </c>
      <c r="X805" t="s">
        <v>15209</v>
      </c>
      <c r="Y805" t="s">
        <v>15210</v>
      </c>
      <c r="Z805" t="s">
        <v>15211</v>
      </c>
      <c r="AA805" t="s">
        <v>15212</v>
      </c>
      <c r="AB805" t="s">
        <v>15213</v>
      </c>
      <c r="AC805" t="s">
        <v>15214</v>
      </c>
      <c r="AD805" t="s">
        <v>15215</v>
      </c>
      <c r="AE805" t="s">
        <v>15216</v>
      </c>
      <c r="AF805" t="s">
        <v>74</v>
      </c>
      <c r="AG805">
        <v>39</v>
      </c>
      <c r="AH805">
        <v>11</v>
      </c>
      <c r="AI805">
        <v>11</v>
      </c>
      <c r="AJ805">
        <v>0</v>
      </c>
      <c r="AK805">
        <v>2</v>
      </c>
      <c r="AL805" t="s">
        <v>2193</v>
      </c>
      <c r="AM805" t="s">
        <v>342</v>
      </c>
      <c r="AN805" t="s">
        <v>15217</v>
      </c>
      <c r="AO805" t="s">
        <v>15218</v>
      </c>
      <c r="AP805" t="s">
        <v>15219</v>
      </c>
      <c r="AQ805" t="s">
        <v>74</v>
      </c>
      <c r="AR805" t="s">
        <v>15220</v>
      </c>
      <c r="AS805" t="s">
        <v>15221</v>
      </c>
      <c r="AT805" t="s">
        <v>13619</v>
      </c>
      <c r="AU805">
        <v>2014</v>
      </c>
      <c r="AV805">
        <v>27</v>
      </c>
      <c r="AW805">
        <v>6</v>
      </c>
      <c r="AX805" t="s">
        <v>74</v>
      </c>
      <c r="AY805" t="s">
        <v>74</v>
      </c>
      <c r="AZ805" t="s">
        <v>74</v>
      </c>
      <c r="BA805" t="s">
        <v>74</v>
      </c>
      <c r="BB805">
        <v>517</v>
      </c>
      <c r="BC805">
        <v>528</v>
      </c>
      <c r="BD805" t="s">
        <v>74</v>
      </c>
      <c r="BE805" t="s">
        <v>15222</v>
      </c>
      <c r="BF805" t="str">
        <f>HYPERLINK("http://dx.doi.org/10.1134/S1024856014060165","http://dx.doi.org/10.1134/S1024856014060165")</f>
        <v>http://dx.doi.org/10.1134/S1024856014060165</v>
      </c>
      <c r="BG805" t="s">
        <v>74</v>
      </c>
      <c r="BH805" t="s">
        <v>74</v>
      </c>
      <c r="BI805">
        <v>12</v>
      </c>
      <c r="BJ805" t="s">
        <v>15223</v>
      </c>
      <c r="BK805" t="s">
        <v>202</v>
      </c>
      <c r="BL805" t="s">
        <v>15223</v>
      </c>
      <c r="BM805" t="s">
        <v>15224</v>
      </c>
      <c r="BN805" t="s">
        <v>74</v>
      </c>
      <c r="BO805" t="s">
        <v>74</v>
      </c>
      <c r="BP805" t="s">
        <v>74</v>
      </c>
      <c r="BQ805" t="s">
        <v>74</v>
      </c>
      <c r="BR805" t="s">
        <v>93</v>
      </c>
      <c r="BS805" t="s">
        <v>15225</v>
      </c>
      <c r="BT805" t="str">
        <f>HYPERLINK("https%3A%2F%2Fwww.webofscience.com%2Fwos%2Fwoscc%2Ffull-record%2FWOS:000434602000009","View Full Record in Web of Science")</f>
        <v>View Full Record in Web of Science</v>
      </c>
    </row>
    <row r="806" spans="1:72" x14ac:dyDescent="0.15">
      <c r="A806" t="s">
        <v>72</v>
      </c>
      <c r="B806" t="s">
        <v>15226</v>
      </c>
      <c r="C806" t="s">
        <v>74</v>
      </c>
      <c r="D806" t="s">
        <v>74</v>
      </c>
      <c r="E806" t="s">
        <v>74</v>
      </c>
      <c r="F806" t="s">
        <v>15227</v>
      </c>
      <c r="G806" t="s">
        <v>74</v>
      </c>
      <c r="H806" t="s">
        <v>74</v>
      </c>
      <c r="I806" t="s">
        <v>15228</v>
      </c>
      <c r="J806" t="s">
        <v>15229</v>
      </c>
      <c r="K806" t="s">
        <v>74</v>
      </c>
      <c r="L806" t="s">
        <v>74</v>
      </c>
      <c r="M806" t="s">
        <v>78</v>
      </c>
      <c r="N806" t="s">
        <v>454</v>
      </c>
      <c r="O806" t="s">
        <v>74</v>
      </c>
      <c r="P806" t="s">
        <v>74</v>
      </c>
      <c r="Q806" t="s">
        <v>74</v>
      </c>
      <c r="R806" t="s">
        <v>74</v>
      </c>
      <c r="S806" t="s">
        <v>74</v>
      </c>
      <c r="T806" t="s">
        <v>15230</v>
      </c>
      <c r="U806" t="s">
        <v>15231</v>
      </c>
      <c r="V806" t="s">
        <v>15232</v>
      </c>
      <c r="W806" t="s">
        <v>15233</v>
      </c>
      <c r="X806" t="s">
        <v>15234</v>
      </c>
      <c r="Y806" t="s">
        <v>15235</v>
      </c>
      <c r="Z806" t="s">
        <v>15236</v>
      </c>
      <c r="AA806" t="s">
        <v>15237</v>
      </c>
      <c r="AB806" t="s">
        <v>15238</v>
      </c>
      <c r="AC806" t="s">
        <v>15239</v>
      </c>
      <c r="AD806" t="s">
        <v>15240</v>
      </c>
      <c r="AE806" t="s">
        <v>15241</v>
      </c>
      <c r="AF806" t="s">
        <v>74</v>
      </c>
      <c r="AG806">
        <v>87</v>
      </c>
      <c r="AH806">
        <v>3</v>
      </c>
      <c r="AI806">
        <v>6</v>
      </c>
      <c r="AJ806">
        <v>0</v>
      </c>
      <c r="AK806">
        <v>120</v>
      </c>
      <c r="AL806" t="s">
        <v>2114</v>
      </c>
      <c r="AM806" t="s">
        <v>2115</v>
      </c>
      <c r="AN806" t="s">
        <v>2116</v>
      </c>
      <c r="AO806" t="s">
        <v>15242</v>
      </c>
      <c r="AP806" t="s">
        <v>15243</v>
      </c>
      <c r="AQ806" t="s">
        <v>74</v>
      </c>
      <c r="AR806" t="s">
        <v>15244</v>
      </c>
      <c r="AS806" t="s">
        <v>15245</v>
      </c>
      <c r="AT806" t="s">
        <v>13619</v>
      </c>
      <c r="AU806">
        <v>2014</v>
      </c>
      <c r="AV806">
        <v>59</v>
      </c>
      <c r="AW806">
        <v>33</v>
      </c>
      <c r="AX806" t="s">
        <v>74</v>
      </c>
      <c r="AY806" t="s">
        <v>74</v>
      </c>
      <c r="AZ806" t="s">
        <v>74</v>
      </c>
      <c r="BA806" t="s">
        <v>74</v>
      </c>
      <c r="BB806">
        <v>4456</v>
      </c>
      <c r="BC806">
        <v>4464</v>
      </c>
      <c r="BD806" t="s">
        <v>74</v>
      </c>
      <c r="BE806" t="s">
        <v>15246</v>
      </c>
      <c r="BF806" t="str">
        <f>HYPERLINK("http://dx.doi.org/10.1007/s11434-014-0300-z","http://dx.doi.org/10.1007/s11434-014-0300-z")</f>
        <v>http://dx.doi.org/10.1007/s11434-014-0300-z</v>
      </c>
      <c r="BG806" t="s">
        <v>74</v>
      </c>
      <c r="BH806" t="s">
        <v>74</v>
      </c>
      <c r="BI806">
        <v>9</v>
      </c>
      <c r="BJ806" t="s">
        <v>201</v>
      </c>
      <c r="BK806" t="s">
        <v>91</v>
      </c>
      <c r="BL806" t="s">
        <v>203</v>
      </c>
      <c r="BM806" t="s">
        <v>15247</v>
      </c>
      <c r="BN806" t="s">
        <v>74</v>
      </c>
      <c r="BO806" t="s">
        <v>74</v>
      </c>
      <c r="BP806" t="s">
        <v>74</v>
      </c>
      <c r="BQ806" t="s">
        <v>74</v>
      </c>
      <c r="BR806" t="s">
        <v>93</v>
      </c>
      <c r="BS806" t="s">
        <v>15248</v>
      </c>
      <c r="BT806" t="str">
        <f>HYPERLINK("https%3A%2F%2Fwww.webofscience.com%2Fwos%2Fwoscc%2Ffull-record%2FWOS:000344321500010","View Full Record in Web of Science")</f>
        <v>View Full Record in Web of Science</v>
      </c>
    </row>
    <row r="807" spans="1:72" x14ac:dyDescent="0.15">
      <c r="A807" t="s">
        <v>72</v>
      </c>
      <c r="B807" t="s">
        <v>15249</v>
      </c>
      <c r="C807" t="s">
        <v>74</v>
      </c>
      <c r="D807" t="s">
        <v>74</v>
      </c>
      <c r="E807" t="s">
        <v>74</v>
      </c>
      <c r="F807" t="s">
        <v>15250</v>
      </c>
      <c r="G807" t="s">
        <v>74</v>
      </c>
      <c r="H807" t="s">
        <v>74</v>
      </c>
      <c r="I807" t="s">
        <v>15251</v>
      </c>
      <c r="J807" t="s">
        <v>2749</v>
      </c>
      <c r="K807" t="s">
        <v>74</v>
      </c>
      <c r="L807" t="s">
        <v>74</v>
      </c>
      <c r="M807" t="s">
        <v>78</v>
      </c>
      <c r="N807" t="s">
        <v>99</v>
      </c>
      <c r="O807" t="s">
        <v>74</v>
      </c>
      <c r="P807" t="s">
        <v>74</v>
      </c>
      <c r="Q807" t="s">
        <v>74</v>
      </c>
      <c r="R807" t="s">
        <v>74</v>
      </c>
      <c r="S807" t="s">
        <v>74</v>
      </c>
      <c r="T807" t="s">
        <v>15252</v>
      </c>
      <c r="U807" t="s">
        <v>15253</v>
      </c>
      <c r="V807" t="s">
        <v>15254</v>
      </c>
      <c r="W807" t="s">
        <v>15255</v>
      </c>
      <c r="X807" t="s">
        <v>15256</v>
      </c>
      <c r="Y807" t="s">
        <v>15257</v>
      </c>
      <c r="Z807" t="s">
        <v>15258</v>
      </c>
      <c r="AA807" t="s">
        <v>15259</v>
      </c>
      <c r="AB807" t="s">
        <v>15260</v>
      </c>
      <c r="AC807" t="s">
        <v>15261</v>
      </c>
      <c r="AD807" t="s">
        <v>15262</v>
      </c>
      <c r="AE807" t="s">
        <v>15263</v>
      </c>
      <c r="AF807" t="s">
        <v>74</v>
      </c>
      <c r="AG807">
        <v>70</v>
      </c>
      <c r="AH807">
        <v>42</v>
      </c>
      <c r="AI807">
        <v>44</v>
      </c>
      <c r="AJ807">
        <v>2</v>
      </c>
      <c r="AK807">
        <v>21</v>
      </c>
      <c r="AL807" t="s">
        <v>2666</v>
      </c>
      <c r="AM807" t="s">
        <v>342</v>
      </c>
      <c r="AN807" t="s">
        <v>2667</v>
      </c>
      <c r="AO807" t="s">
        <v>2762</v>
      </c>
      <c r="AP807" t="s">
        <v>2763</v>
      </c>
      <c r="AQ807" t="s">
        <v>74</v>
      </c>
      <c r="AR807" t="s">
        <v>2764</v>
      </c>
      <c r="AS807" t="s">
        <v>2765</v>
      </c>
      <c r="AT807" t="s">
        <v>13619</v>
      </c>
      <c r="AU807">
        <v>2014</v>
      </c>
      <c r="AV807">
        <v>43</v>
      </c>
      <c r="AW807" t="s">
        <v>15264</v>
      </c>
      <c r="AX807" t="s">
        <v>74</v>
      </c>
      <c r="AY807" t="s">
        <v>74</v>
      </c>
      <c r="AZ807" t="s">
        <v>74</v>
      </c>
      <c r="BA807" t="s">
        <v>74</v>
      </c>
      <c r="BB807">
        <v>2399</v>
      </c>
      <c r="BC807">
        <v>2414</v>
      </c>
      <c r="BD807" t="s">
        <v>74</v>
      </c>
      <c r="BE807" t="s">
        <v>15265</v>
      </c>
      <c r="BF807" t="str">
        <f>HYPERLINK("http://dx.doi.org/10.1007/s00382-014-2062-3","http://dx.doi.org/10.1007/s00382-014-2062-3")</f>
        <v>http://dx.doi.org/10.1007/s00382-014-2062-3</v>
      </c>
      <c r="BG807" t="s">
        <v>74</v>
      </c>
      <c r="BH807" t="s">
        <v>74</v>
      </c>
      <c r="BI807">
        <v>16</v>
      </c>
      <c r="BJ807" t="s">
        <v>226</v>
      </c>
      <c r="BK807" t="s">
        <v>91</v>
      </c>
      <c r="BL807" t="s">
        <v>226</v>
      </c>
      <c r="BM807" t="s">
        <v>15266</v>
      </c>
      <c r="BN807" t="s">
        <v>74</v>
      </c>
      <c r="BO807" t="s">
        <v>74</v>
      </c>
      <c r="BP807" t="s">
        <v>74</v>
      </c>
      <c r="BQ807" t="s">
        <v>74</v>
      </c>
      <c r="BR807" t="s">
        <v>93</v>
      </c>
      <c r="BS807" t="s">
        <v>15267</v>
      </c>
      <c r="BT807" t="str">
        <f>HYPERLINK("https%3A%2F%2Fwww.webofscience.com%2Fwos%2Fwoscc%2Ffull-record%2FWOS:000344480100005","View Full Record in Web of Science")</f>
        <v>View Full Record in Web of Science</v>
      </c>
    </row>
    <row r="808" spans="1:72" x14ac:dyDescent="0.15">
      <c r="A808" t="s">
        <v>72</v>
      </c>
      <c r="B808" t="s">
        <v>15268</v>
      </c>
      <c r="C808" t="s">
        <v>74</v>
      </c>
      <c r="D808" t="s">
        <v>74</v>
      </c>
      <c r="E808" t="s">
        <v>74</v>
      </c>
      <c r="F808" t="s">
        <v>15269</v>
      </c>
      <c r="G808" t="s">
        <v>74</v>
      </c>
      <c r="H808" t="s">
        <v>74</v>
      </c>
      <c r="I808" t="s">
        <v>15270</v>
      </c>
      <c r="J808" t="s">
        <v>2749</v>
      </c>
      <c r="K808" t="s">
        <v>74</v>
      </c>
      <c r="L808" t="s">
        <v>74</v>
      </c>
      <c r="M808" t="s">
        <v>78</v>
      </c>
      <c r="N808" t="s">
        <v>99</v>
      </c>
      <c r="O808" t="s">
        <v>74</v>
      </c>
      <c r="P808" t="s">
        <v>74</v>
      </c>
      <c r="Q808" t="s">
        <v>74</v>
      </c>
      <c r="R808" t="s">
        <v>74</v>
      </c>
      <c r="S808" t="s">
        <v>74</v>
      </c>
      <c r="T808" t="s">
        <v>15271</v>
      </c>
      <c r="U808" t="s">
        <v>15272</v>
      </c>
      <c r="V808" t="s">
        <v>15273</v>
      </c>
      <c r="W808" t="s">
        <v>15274</v>
      </c>
      <c r="X808" t="s">
        <v>15275</v>
      </c>
      <c r="Y808" t="s">
        <v>15276</v>
      </c>
      <c r="Z808" t="s">
        <v>15277</v>
      </c>
      <c r="AA808" t="s">
        <v>15278</v>
      </c>
      <c r="AB808" t="s">
        <v>15279</v>
      </c>
      <c r="AC808" t="s">
        <v>15280</v>
      </c>
      <c r="AD808" t="s">
        <v>15281</v>
      </c>
      <c r="AE808" t="s">
        <v>15282</v>
      </c>
      <c r="AF808" t="s">
        <v>74</v>
      </c>
      <c r="AG808">
        <v>70</v>
      </c>
      <c r="AH808">
        <v>27</v>
      </c>
      <c r="AI808">
        <v>29</v>
      </c>
      <c r="AJ808">
        <v>2</v>
      </c>
      <c r="AK808">
        <v>20</v>
      </c>
      <c r="AL808" t="s">
        <v>2666</v>
      </c>
      <c r="AM808" t="s">
        <v>342</v>
      </c>
      <c r="AN808" t="s">
        <v>2667</v>
      </c>
      <c r="AO808" t="s">
        <v>2762</v>
      </c>
      <c r="AP808" t="s">
        <v>2763</v>
      </c>
      <c r="AQ808" t="s">
        <v>74</v>
      </c>
      <c r="AR808" t="s">
        <v>2764</v>
      </c>
      <c r="AS808" t="s">
        <v>2765</v>
      </c>
      <c r="AT808" t="s">
        <v>13619</v>
      </c>
      <c r="AU808">
        <v>2014</v>
      </c>
      <c r="AV808">
        <v>43</v>
      </c>
      <c r="AW808" t="s">
        <v>15264</v>
      </c>
      <c r="AX808" t="s">
        <v>74</v>
      </c>
      <c r="AY808" t="s">
        <v>74</v>
      </c>
      <c r="AZ808" t="s">
        <v>74</v>
      </c>
      <c r="BA808" t="s">
        <v>74</v>
      </c>
      <c r="BB808">
        <v>2813</v>
      </c>
      <c r="BC808">
        <v>2829</v>
      </c>
      <c r="BD808" t="s">
        <v>74</v>
      </c>
      <c r="BE808" t="s">
        <v>15283</v>
      </c>
      <c r="BF808" t="str">
        <f>HYPERLINK("http://dx.doi.org/10.1007/s00382-014-2095-7","http://dx.doi.org/10.1007/s00382-014-2095-7")</f>
        <v>http://dx.doi.org/10.1007/s00382-014-2095-7</v>
      </c>
      <c r="BG808" t="s">
        <v>74</v>
      </c>
      <c r="BH808" t="s">
        <v>74</v>
      </c>
      <c r="BI808">
        <v>17</v>
      </c>
      <c r="BJ808" t="s">
        <v>226</v>
      </c>
      <c r="BK808" t="s">
        <v>91</v>
      </c>
      <c r="BL808" t="s">
        <v>226</v>
      </c>
      <c r="BM808" t="s">
        <v>15266</v>
      </c>
      <c r="BN808" t="s">
        <v>74</v>
      </c>
      <c r="BO808" t="s">
        <v>74</v>
      </c>
      <c r="BP808" t="s">
        <v>74</v>
      </c>
      <c r="BQ808" t="s">
        <v>74</v>
      </c>
      <c r="BR808" t="s">
        <v>93</v>
      </c>
      <c r="BS808" t="s">
        <v>15284</v>
      </c>
      <c r="BT808" t="str">
        <f>HYPERLINK("https%3A%2F%2Fwww.webofscience.com%2Fwos%2Fwoscc%2Ffull-record%2FWOS:000344480100027","View Full Record in Web of Science")</f>
        <v>View Full Record in Web of Science</v>
      </c>
    </row>
    <row r="809" spans="1:72" x14ac:dyDescent="0.15">
      <c r="A809" t="s">
        <v>72</v>
      </c>
      <c r="B809" t="s">
        <v>15285</v>
      </c>
      <c r="C809" t="s">
        <v>74</v>
      </c>
      <c r="D809" t="s">
        <v>74</v>
      </c>
      <c r="E809" t="s">
        <v>74</v>
      </c>
      <c r="F809" t="s">
        <v>15286</v>
      </c>
      <c r="G809" t="s">
        <v>74</v>
      </c>
      <c r="H809" t="s">
        <v>74</v>
      </c>
      <c r="I809" t="s">
        <v>15287</v>
      </c>
      <c r="J809" t="s">
        <v>2627</v>
      </c>
      <c r="K809" t="s">
        <v>74</v>
      </c>
      <c r="L809" t="s">
        <v>74</v>
      </c>
      <c r="M809" t="s">
        <v>78</v>
      </c>
      <c r="N809" t="s">
        <v>99</v>
      </c>
      <c r="O809" t="s">
        <v>74</v>
      </c>
      <c r="P809" t="s">
        <v>74</v>
      </c>
      <c r="Q809" t="s">
        <v>74</v>
      </c>
      <c r="R809" t="s">
        <v>74</v>
      </c>
      <c r="S809" t="s">
        <v>74</v>
      </c>
      <c r="T809" t="s">
        <v>15288</v>
      </c>
      <c r="U809" t="s">
        <v>15289</v>
      </c>
      <c r="V809" t="s">
        <v>15290</v>
      </c>
      <c r="W809" t="s">
        <v>15291</v>
      </c>
      <c r="X809" t="s">
        <v>15292</v>
      </c>
      <c r="Y809" t="s">
        <v>15293</v>
      </c>
      <c r="Z809" t="s">
        <v>15294</v>
      </c>
      <c r="AA809" t="s">
        <v>15295</v>
      </c>
      <c r="AB809" t="s">
        <v>15296</v>
      </c>
      <c r="AC809" t="s">
        <v>15297</v>
      </c>
      <c r="AD809" t="s">
        <v>15298</v>
      </c>
      <c r="AE809" t="s">
        <v>15299</v>
      </c>
      <c r="AF809" t="s">
        <v>74</v>
      </c>
      <c r="AG809">
        <v>151</v>
      </c>
      <c r="AH809">
        <v>40</v>
      </c>
      <c r="AI809">
        <v>46</v>
      </c>
      <c r="AJ809">
        <v>2</v>
      </c>
      <c r="AK809">
        <v>48</v>
      </c>
      <c r="AL809" t="s">
        <v>2640</v>
      </c>
      <c r="AM809" t="s">
        <v>1176</v>
      </c>
      <c r="AN809" t="s">
        <v>2641</v>
      </c>
      <c r="AO809" t="s">
        <v>2642</v>
      </c>
      <c r="AP809" t="s">
        <v>2643</v>
      </c>
      <c r="AQ809" t="s">
        <v>74</v>
      </c>
      <c r="AR809" t="s">
        <v>2644</v>
      </c>
      <c r="AS809" t="s">
        <v>2645</v>
      </c>
      <c r="AT809" t="s">
        <v>13619</v>
      </c>
      <c r="AU809">
        <v>2014</v>
      </c>
      <c r="AV809">
        <v>138</v>
      </c>
      <c r="AW809" t="s">
        <v>74</v>
      </c>
      <c r="AX809" t="s">
        <v>74</v>
      </c>
      <c r="AY809" t="s">
        <v>74</v>
      </c>
      <c r="AZ809" t="s">
        <v>74</v>
      </c>
      <c r="BA809" t="s">
        <v>74</v>
      </c>
      <c r="BB809">
        <v>156</v>
      </c>
      <c r="BC809">
        <v>178</v>
      </c>
      <c r="BD809" t="s">
        <v>74</v>
      </c>
      <c r="BE809" t="s">
        <v>15300</v>
      </c>
      <c r="BF809" t="str">
        <f>HYPERLINK("http://dx.doi.org/10.1016/j.earscirev.2014.08.010","http://dx.doi.org/10.1016/j.earscirev.2014.08.010")</f>
        <v>http://dx.doi.org/10.1016/j.earscirev.2014.08.010</v>
      </c>
      <c r="BG809" t="s">
        <v>74</v>
      </c>
      <c r="BH809" t="s">
        <v>74</v>
      </c>
      <c r="BI809">
        <v>23</v>
      </c>
      <c r="BJ809" t="s">
        <v>1953</v>
      </c>
      <c r="BK809" t="s">
        <v>91</v>
      </c>
      <c r="BL809" t="s">
        <v>1954</v>
      </c>
      <c r="BM809" t="s">
        <v>15301</v>
      </c>
      <c r="BN809" t="s">
        <v>74</v>
      </c>
      <c r="BO809" t="s">
        <v>574</v>
      </c>
      <c r="BP809" t="s">
        <v>74</v>
      </c>
      <c r="BQ809" t="s">
        <v>74</v>
      </c>
      <c r="BR809" t="s">
        <v>93</v>
      </c>
      <c r="BS809" t="s">
        <v>15302</v>
      </c>
      <c r="BT809" t="str">
        <f>HYPERLINK("https%3A%2F%2Fwww.webofscience.com%2Fwos%2Fwoscc%2Ffull-record%2FWOS:000345058600008","View Full Record in Web of Science")</f>
        <v>View Full Record in Web of Science</v>
      </c>
    </row>
    <row r="810" spans="1:72" x14ac:dyDescent="0.15">
      <c r="A810" t="s">
        <v>72</v>
      </c>
      <c r="B810" t="s">
        <v>15303</v>
      </c>
      <c r="C810" t="s">
        <v>74</v>
      </c>
      <c r="D810" t="s">
        <v>74</v>
      </c>
      <c r="E810" t="s">
        <v>74</v>
      </c>
      <c r="F810" t="s">
        <v>15304</v>
      </c>
      <c r="G810" t="s">
        <v>74</v>
      </c>
      <c r="H810" t="s">
        <v>74</v>
      </c>
      <c r="I810" t="s">
        <v>15305</v>
      </c>
      <c r="J810" t="s">
        <v>2627</v>
      </c>
      <c r="K810" t="s">
        <v>74</v>
      </c>
      <c r="L810" t="s">
        <v>74</v>
      </c>
      <c r="M810" t="s">
        <v>78</v>
      </c>
      <c r="N810" t="s">
        <v>99</v>
      </c>
      <c r="O810" t="s">
        <v>74</v>
      </c>
      <c r="P810" t="s">
        <v>74</v>
      </c>
      <c r="Q810" t="s">
        <v>74</v>
      </c>
      <c r="R810" t="s">
        <v>74</v>
      </c>
      <c r="S810" t="s">
        <v>74</v>
      </c>
      <c r="T810" t="s">
        <v>15306</v>
      </c>
      <c r="U810" t="s">
        <v>15307</v>
      </c>
      <c r="V810" t="s">
        <v>15308</v>
      </c>
      <c r="W810" t="s">
        <v>15309</v>
      </c>
      <c r="X810" t="s">
        <v>15310</v>
      </c>
      <c r="Y810" t="s">
        <v>15311</v>
      </c>
      <c r="Z810" t="s">
        <v>15312</v>
      </c>
      <c r="AA810" t="s">
        <v>15313</v>
      </c>
      <c r="AB810" t="s">
        <v>15314</v>
      </c>
      <c r="AC810" t="s">
        <v>15315</v>
      </c>
      <c r="AD810" t="s">
        <v>15316</v>
      </c>
      <c r="AE810" t="s">
        <v>15317</v>
      </c>
      <c r="AF810" t="s">
        <v>74</v>
      </c>
      <c r="AG810">
        <v>77</v>
      </c>
      <c r="AH810">
        <v>5</v>
      </c>
      <c r="AI810">
        <v>5</v>
      </c>
      <c r="AJ810">
        <v>1</v>
      </c>
      <c r="AK810">
        <v>24</v>
      </c>
      <c r="AL810" t="s">
        <v>1175</v>
      </c>
      <c r="AM810" t="s">
        <v>1176</v>
      </c>
      <c r="AN810" t="s">
        <v>2938</v>
      </c>
      <c r="AO810" t="s">
        <v>2642</v>
      </c>
      <c r="AP810" t="s">
        <v>2643</v>
      </c>
      <c r="AQ810" t="s">
        <v>74</v>
      </c>
      <c r="AR810" t="s">
        <v>2644</v>
      </c>
      <c r="AS810" t="s">
        <v>2645</v>
      </c>
      <c r="AT810" t="s">
        <v>13619</v>
      </c>
      <c r="AU810">
        <v>2014</v>
      </c>
      <c r="AV810">
        <v>138</v>
      </c>
      <c r="AW810" t="s">
        <v>74</v>
      </c>
      <c r="AX810" t="s">
        <v>74</v>
      </c>
      <c r="AY810" t="s">
        <v>74</v>
      </c>
      <c r="AZ810" t="s">
        <v>74</v>
      </c>
      <c r="BA810" t="s">
        <v>74</v>
      </c>
      <c r="BB810">
        <v>215</v>
      </c>
      <c r="BC810">
        <v>230</v>
      </c>
      <c r="BD810" t="s">
        <v>74</v>
      </c>
      <c r="BE810" t="s">
        <v>15318</v>
      </c>
      <c r="BF810" t="str">
        <f>HYPERLINK("http://dx.doi.org/10.1016/j.earscirev.2014.02.004","http://dx.doi.org/10.1016/j.earscirev.2014.02.004")</f>
        <v>http://dx.doi.org/10.1016/j.earscirev.2014.02.004</v>
      </c>
      <c r="BG810" t="s">
        <v>74</v>
      </c>
      <c r="BH810" t="s">
        <v>74</v>
      </c>
      <c r="BI810">
        <v>16</v>
      </c>
      <c r="BJ810" t="s">
        <v>1953</v>
      </c>
      <c r="BK810" t="s">
        <v>91</v>
      </c>
      <c r="BL810" t="s">
        <v>1954</v>
      </c>
      <c r="BM810" t="s">
        <v>15301</v>
      </c>
      <c r="BN810" t="s">
        <v>74</v>
      </c>
      <c r="BO810" t="s">
        <v>7051</v>
      </c>
      <c r="BP810" t="s">
        <v>74</v>
      </c>
      <c r="BQ810" t="s">
        <v>74</v>
      </c>
      <c r="BR810" t="s">
        <v>93</v>
      </c>
      <c r="BS810" t="s">
        <v>15319</v>
      </c>
      <c r="BT810" t="str">
        <f>HYPERLINK("https%3A%2F%2Fwww.webofscience.com%2Fwos%2Fwoscc%2Ffull-record%2FWOS:000345058600011","View Full Record in Web of Science")</f>
        <v>View Full Record in Web of Science</v>
      </c>
    </row>
    <row r="811" spans="1:72" x14ac:dyDescent="0.15">
      <c r="A811" t="s">
        <v>72</v>
      </c>
      <c r="B811" t="s">
        <v>15320</v>
      </c>
      <c r="C811" t="s">
        <v>74</v>
      </c>
      <c r="D811" t="s">
        <v>74</v>
      </c>
      <c r="E811" t="s">
        <v>74</v>
      </c>
      <c r="F811" t="s">
        <v>15321</v>
      </c>
      <c r="G811" t="s">
        <v>74</v>
      </c>
      <c r="H811" t="s">
        <v>74</v>
      </c>
      <c r="I811" t="s">
        <v>15322</v>
      </c>
      <c r="J811" t="s">
        <v>2653</v>
      </c>
      <c r="K811" t="s">
        <v>74</v>
      </c>
      <c r="L811" t="s">
        <v>74</v>
      </c>
      <c r="M811" t="s">
        <v>78</v>
      </c>
      <c r="N811" t="s">
        <v>99</v>
      </c>
      <c r="O811" t="s">
        <v>74</v>
      </c>
      <c r="P811" t="s">
        <v>74</v>
      </c>
      <c r="Q811" t="s">
        <v>74</v>
      </c>
      <c r="R811" t="s">
        <v>74</v>
      </c>
      <c r="S811" t="s">
        <v>74</v>
      </c>
      <c r="T811" t="s">
        <v>15323</v>
      </c>
      <c r="U811" t="s">
        <v>15324</v>
      </c>
      <c r="V811" t="s">
        <v>15325</v>
      </c>
      <c r="W811" t="s">
        <v>15326</v>
      </c>
      <c r="X811" t="s">
        <v>15327</v>
      </c>
      <c r="Y811" t="s">
        <v>15328</v>
      </c>
      <c r="Z811" t="s">
        <v>15329</v>
      </c>
      <c r="AA811" t="s">
        <v>74</v>
      </c>
      <c r="AB811" t="s">
        <v>15330</v>
      </c>
      <c r="AC811" t="s">
        <v>15331</v>
      </c>
      <c r="AD811" t="s">
        <v>15331</v>
      </c>
      <c r="AE811" t="s">
        <v>15332</v>
      </c>
      <c r="AF811" t="s">
        <v>74</v>
      </c>
      <c r="AG811">
        <v>46</v>
      </c>
      <c r="AH811">
        <v>43</v>
      </c>
      <c r="AI811">
        <v>48</v>
      </c>
      <c r="AJ811">
        <v>0</v>
      </c>
      <c r="AK811">
        <v>34</v>
      </c>
      <c r="AL811" t="s">
        <v>2666</v>
      </c>
      <c r="AM811" t="s">
        <v>342</v>
      </c>
      <c r="AN811" t="s">
        <v>2667</v>
      </c>
      <c r="AO811" t="s">
        <v>2668</v>
      </c>
      <c r="AP811" t="s">
        <v>2669</v>
      </c>
      <c r="AQ811" t="s">
        <v>74</v>
      </c>
      <c r="AR811" t="s">
        <v>2670</v>
      </c>
      <c r="AS811" t="s">
        <v>2671</v>
      </c>
      <c r="AT811" t="s">
        <v>13619</v>
      </c>
      <c r="AU811">
        <v>2014</v>
      </c>
      <c r="AV811">
        <v>37</v>
      </c>
      <c r="AW811">
        <v>6</v>
      </c>
      <c r="AX811" t="s">
        <v>74</v>
      </c>
      <c r="AY811" t="s">
        <v>74</v>
      </c>
      <c r="AZ811" t="s">
        <v>74</v>
      </c>
      <c r="BA811" t="s">
        <v>74</v>
      </c>
      <c r="BB811">
        <v>1572</v>
      </c>
      <c r="BC811">
        <v>1581</v>
      </c>
      <c r="BD811" t="s">
        <v>74</v>
      </c>
      <c r="BE811" t="s">
        <v>15333</v>
      </c>
      <c r="BF811" t="str">
        <f>HYPERLINK("http://dx.doi.org/10.1007/s12237-014-9782-9","http://dx.doi.org/10.1007/s12237-014-9782-9")</f>
        <v>http://dx.doi.org/10.1007/s12237-014-9782-9</v>
      </c>
      <c r="BG811" t="s">
        <v>74</v>
      </c>
      <c r="BH811" t="s">
        <v>74</v>
      </c>
      <c r="BI811">
        <v>10</v>
      </c>
      <c r="BJ811" t="s">
        <v>2673</v>
      </c>
      <c r="BK811" t="s">
        <v>91</v>
      </c>
      <c r="BL811" t="s">
        <v>2674</v>
      </c>
      <c r="BM811" t="s">
        <v>15334</v>
      </c>
      <c r="BN811" t="s">
        <v>74</v>
      </c>
      <c r="BO811" t="s">
        <v>74</v>
      </c>
      <c r="BP811" t="s">
        <v>74</v>
      </c>
      <c r="BQ811" t="s">
        <v>74</v>
      </c>
      <c r="BR811" t="s">
        <v>93</v>
      </c>
      <c r="BS811" t="s">
        <v>15335</v>
      </c>
      <c r="BT811" t="str">
        <f>HYPERLINK("https%3A%2F%2Fwww.webofscience.com%2Fwos%2Fwoscc%2Ffull-record%2FWOS:000343722700019","View Full Record in Web of Science")</f>
        <v>View Full Record in Web of Science</v>
      </c>
    </row>
    <row r="812" spans="1:72" x14ac:dyDescent="0.15">
      <c r="A812" t="s">
        <v>72</v>
      </c>
      <c r="B812" t="s">
        <v>15336</v>
      </c>
      <c r="C812" t="s">
        <v>74</v>
      </c>
      <c r="D812" t="s">
        <v>74</v>
      </c>
      <c r="E812" t="s">
        <v>74</v>
      </c>
      <c r="F812" t="s">
        <v>15337</v>
      </c>
      <c r="G812" t="s">
        <v>74</v>
      </c>
      <c r="H812" t="s">
        <v>74</v>
      </c>
      <c r="I812" t="s">
        <v>15338</v>
      </c>
      <c r="J812" t="s">
        <v>15339</v>
      </c>
      <c r="K812" t="s">
        <v>74</v>
      </c>
      <c r="L812" t="s">
        <v>74</v>
      </c>
      <c r="M812" t="s">
        <v>78</v>
      </c>
      <c r="N812" t="s">
        <v>99</v>
      </c>
      <c r="O812" t="s">
        <v>74</v>
      </c>
      <c r="P812" t="s">
        <v>74</v>
      </c>
      <c r="Q812" t="s">
        <v>74</v>
      </c>
      <c r="R812" t="s">
        <v>74</v>
      </c>
      <c r="S812" t="s">
        <v>74</v>
      </c>
      <c r="T812" t="s">
        <v>15340</v>
      </c>
      <c r="U812" t="s">
        <v>15341</v>
      </c>
      <c r="V812" t="s">
        <v>15342</v>
      </c>
      <c r="W812" t="s">
        <v>15343</v>
      </c>
      <c r="X812" t="s">
        <v>15344</v>
      </c>
      <c r="Y812" t="s">
        <v>15345</v>
      </c>
      <c r="Z812" t="s">
        <v>15346</v>
      </c>
      <c r="AA812" t="s">
        <v>15347</v>
      </c>
      <c r="AB812" t="s">
        <v>15348</v>
      </c>
      <c r="AC812" t="s">
        <v>15349</v>
      </c>
      <c r="AD812" t="s">
        <v>15350</v>
      </c>
      <c r="AE812" t="s">
        <v>15351</v>
      </c>
      <c r="AF812" t="s">
        <v>74</v>
      </c>
      <c r="AG812">
        <v>56</v>
      </c>
      <c r="AH812">
        <v>18</v>
      </c>
      <c r="AI812">
        <v>21</v>
      </c>
      <c r="AJ812">
        <v>1</v>
      </c>
      <c r="AK812">
        <v>38</v>
      </c>
      <c r="AL812" t="s">
        <v>15352</v>
      </c>
      <c r="AM812" t="s">
        <v>15353</v>
      </c>
      <c r="AN812" t="s">
        <v>15354</v>
      </c>
      <c r="AO812" t="s">
        <v>15355</v>
      </c>
      <c r="AP812" t="s">
        <v>15356</v>
      </c>
      <c r="AQ812" t="s">
        <v>74</v>
      </c>
      <c r="AR812" t="s">
        <v>15357</v>
      </c>
      <c r="AS812" t="s">
        <v>15358</v>
      </c>
      <c r="AT812" t="s">
        <v>13619</v>
      </c>
      <c r="AU812">
        <v>2014</v>
      </c>
      <c r="AV812">
        <v>28</v>
      </c>
      <c r="AW812">
        <v>11</v>
      </c>
      <c r="AX812" t="s">
        <v>74</v>
      </c>
      <c r="AY812" t="s">
        <v>74</v>
      </c>
      <c r="AZ812" t="s">
        <v>74</v>
      </c>
      <c r="BA812" t="s">
        <v>74</v>
      </c>
      <c r="BB812">
        <v>4924</v>
      </c>
      <c r="BC812">
        <v>4935</v>
      </c>
      <c r="BD812" t="s">
        <v>74</v>
      </c>
      <c r="BE812" t="s">
        <v>15359</v>
      </c>
      <c r="BF812" t="str">
        <f>HYPERLINK("http://dx.doi.org/10.1096/fj.14-256388","http://dx.doi.org/10.1096/fj.14-256388")</f>
        <v>http://dx.doi.org/10.1096/fj.14-256388</v>
      </c>
      <c r="BG812" t="s">
        <v>74</v>
      </c>
      <c r="BH812" t="s">
        <v>74</v>
      </c>
      <c r="BI812">
        <v>12</v>
      </c>
      <c r="BJ812" t="s">
        <v>11631</v>
      </c>
      <c r="BK812" t="s">
        <v>91</v>
      </c>
      <c r="BL812" t="s">
        <v>11632</v>
      </c>
      <c r="BM812" t="s">
        <v>15360</v>
      </c>
      <c r="BN812">
        <v>25114178</v>
      </c>
      <c r="BO812" t="s">
        <v>74</v>
      </c>
      <c r="BP812" t="s">
        <v>74</v>
      </c>
      <c r="BQ812" t="s">
        <v>74</v>
      </c>
      <c r="BR812" t="s">
        <v>93</v>
      </c>
      <c r="BS812" t="s">
        <v>15361</v>
      </c>
      <c r="BT812" t="str">
        <f>HYPERLINK("https%3A%2F%2Fwww.webofscience.com%2Fwos%2Fwoscc%2Ffull-record%2FWOS:000344050900029","View Full Record in Web of Science")</f>
        <v>View Full Record in Web of Science</v>
      </c>
    </row>
    <row r="813" spans="1:72" x14ac:dyDescent="0.15">
      <c r="A813" t="s">
        <v>72</v>
      </c>
      <c r="B813" t="s">
        <v>15362</v>
      </c>
      <c r="C813" t="s">
        <v>74</v>
      </c>
      <c r="D813" t="s">
        <v>74</v>
      </c>
      <c r="E813" t="s">
        <v>74</v>
      </c>
      <c r="F813" t="s">
        <v>15363</v>
      </c>
      <c r="G813" t="s">
        <v>74</v>
      </c>
      <c r="H813" t="s">
        <v>74</v>
      </c>
      <c r="I813" t="s">
        <v>15364</v>
      </c>
      <c r="J813" t="s">
        <v>15365</v>
      </c>
      <c r="K813" t="s">
        <v>74</v>
      </c>
      <c r="L813" t="s">
        <v>74</v>
      </c>
      <c r="M813" t="s">
        <v>78</v>
      </c>
      <c r="N813" t="s">
        <v>99</v>
      </c>
      <c r="O813" t="s">
        <v>74</v>
      </c>
      <c r="P813" t="s">
        <v>74</v>
      </c>
      <c r="Q813" t="s">
        <v>74</v>
      </c>
      <c r="R813" t="s">
        <v>74</v>
      </c>
      <c r="S813" t="s">
        <v>74</v>
      </c>
      <c r="T813" t="s">
        <v>74</v>
      </c>
      <c r="U813" t="s">
        <v>74</v>
      </c>
      <c r="V813" t="s">
        <v>15366</v>
      </c>
      <c r="W813" t="s">
        <v>15367</v>
      </c>
      <c r="X813" t="s">
        <v>15368</v>
      </c>
      <c r="Y813" t="s">
        <v>15369</v>
      </c>
      <c r="Z813" t="s">
        <v>15370</v>
      </c>
      <c r="AA813" t="s">
        <v>74</v>
      </c>
      <c r="AB813" t="s">
        <v>74</v>
      </c>
      <c r="AC813" t="s">
        <v>15371</v>
      </c>
      <c r="AD813" t="s">
        <v>15372</v>
      </c>
      <c r="AE813" t="s">
        <v>15373</v>
      </c>
      <c r="AF813" t="s">
        <v>74</v>
      </c>
      <c r="AG813">
        <v>17</v>
      </c>
      <c r="AH813">
        <v>2</v>
      </c>
      <c r="AI813">
        <v>2</v>
      </c>
      <c r="AJ813">
        <v>0</v>
      </c>
      <c r="AK813">
        <v>2</v>
      </c>
      <c r="AL813" t="s">
        <v>14561</v>
      </c>
      <c r="AM813" t="s">
        <v>1946</v>
      </c>
      <c r="AN813" t="s">
        <v>14562</v>
      </c>
      <c r="AO813" t="s">
        <v>74</v>
      </c>
      <c r="AP813" t="s">
        <v>15374</v>
      </c>
      <c r="AQ813" t="s">
        <v>74</v>
      </c>
      <c r="AR813" t="s">
        <v>15365</v>
      </c>
      <c r="AS813" t="s">
        <v>15375</v>
      </c>
      <c r="AT813" t="s">
        <v>13643</v>
      </c>
      <c r="AU813">
        <v>2014</v>
      </c>
      <c r="AV813">
        <v>2</v>
      </c>
      <c r="AW813">
        <v>6</v>
      </c>
      <c r="AX813" t="s">
        <v>74</v>
      </c>
      <c r="AY813" t="s">
        <v>74</v>
      </c>
      <c r="AZ813" t="s">
        <v>74</v>
      </c>
      <c r="BA813" t="s">
        <v>74</v>
      </c>
      <c r="BB813" t="s">
        <v>74</v>
      </c>
      <c r="BC813" t="s">
        <v>74</v>
      </c>
      <c r="BD813" t="s">
        <v>15376</v>
      </c>
      <c r="BE813" t="s">
        <v>15377</v>
      </c>
      <c r="BF813" t="str">
        <f>HYPERLINK("http://dx.doi.org/10.1128/genomeA.01242-14","http://dx.doi.org/10.1128/genomeA.01242-14")</f>
        <v>http://dx.doi.org/10.1128/genomeA.01242-14</v>
      </c>
      <c r="BG813" t="s">
        <v>74</v>
      </c>
      <c r="BH813" t="s">
        <v>74</v>
      </c>
      <c r="BI813">
        <v>2</v>
      </c>
      <c r="BJ813" t="s">
        <v>5926</v>
      </c>
      <c r="BK813" t="s">
        <v>202</v>
      </c>
      <c r="BL813" t="s">
        <v>5926</v>
      </c>
      <c r="BM813" t="s">
        <v>15378</v>
      </c>
      <c r="BN813">
        <v>25477404</v>
      </c>
      <c r="BO813" t="s">
        <v>1971</v>
      </c>
      <c r="BP813" t="s">
        <v>74</v>
      </c>
      <c r="BQ813" t="s">
        <v>74</v>
      </c>
      <c r="BR813" t="s">
        <v>93</v>
      </c>
      <c r="BS813" t="s">
        <v>15379</v>
      </c>
      <c r="BT813" t="str">
        <f>HYPERLINK("https%3A%2F%2Fwww.webofscience.com%2Fwos%2Fwoscc%2Ffull-record%2FWOS:000460614500114","View Full Record in Web of Science")</f>
        <v>View Full Record in Web of Science</v>
      </c>
    </row>
    <row r="814" spans="1:72" x14ac:dyDescent="0.15">
      <c r="A814" t="s">
        <v>72</v>
      </c>
      <c r="B814" t="s">
        <v>15380</v>
      </c>
      <c r="C814" t="s">
        <v>74</v>
      </c>
      <c r="D814" t="s">
        <v>74</v>
      </c>
      <c r="E814" t="s">
        <v>74</v>
      </c>
      <c r="F814" t="s">
        <v>15381</v>
      </c>
      <c r="G814" t="s">
        <v>74</v>
      </c>
      <c r="H814" t="s">
        <v>74</v>
      </c>
      <c r="I814" t="s">
        <v>15382</v>
      </c>
      <c r="J814" t="s">
        <v>6167</v>
      </c>
      <c r="K814" t="s">
        <v>74</v>
      </c>
      <c r="L814" t="s">
        <v>74</v>
      </c>
      <c r="M814" t="s">
        <v>78</v>
      </c>
      <c r="N814" t="s">
        <v>99</v>
      </c>
      <c r="O814" t="s">
        <v>74</v>
      </c>
      <c r="P814" t="s">
        <v>74</v>
      </c>
      <c r="Q814" t="s">
        <v>74</v>
      </c>
      <c r="R814" t="s">
        <v>74</v>
      </c>
      <c r="S814" t="s">
        <v>74</v>
      </c>
      <c r="T814" t="s">
        <v>74</v>
      </c>
      <c r="U814" t="s">
        <v>15383</v>
      </c>
      <c r="V814" t="s">
        <v>15384</v>
      </c>
      <c r="W814" t="s">
        <v>15385</v>
      </c>
      <c r="X814" t="s">
        <v>15386</v>
      </c>
      <c r="Y814" t="s">
        <v>15387</v>
      </c>
      <c r="Z814" t="s">
        <v>15388</v>
      </c>
      <c r="AA814" t="s">
        <v>15389</v>
      </c>
      <c r="AB814" t="s">
        <v>15390</v>
      </c>
      <c r="AC814" t="s">
        <v>15391</v>
      </c>
      <c r="AD814" t="s">
        <v>15392</v>
      </c>
      <c r="AE814" t="s">
        <v>15393</v>
      </c>
      <c r="AF814" t="s">
        <v>74</v>
      </c>
      <c r="AG814">
        <v>72</v>
      </c>
      <c r="AH814">
        <v>29</v>
      </c>
      <c r="AI814">
        <v>32</v>
      </c>
      <c r="AJ814">
        <v>0</v>
      </c>
      <c r="AK814">
        <v>37</v>
      </c>
      <c r="AL814" t="s">
        <v>1945</v>
      </c>
      <c r="AM814" t="s">
        <v>1946</v>
      </c>
      <c r="AN814" t="s">
        <v>1947</v>
      </c>
      <c r="AO814" t="s">
        <v>74</v>
      </c>
      <c r="AP814" t="s">
        <v>6179</v>
      </c>
      <c r="AQ814" t="s">
        <v>74</v>
      </c>
      <c r="AR814" t="s">
        <v>6180</v>
      </c>
      <c r="AS814" t="s">
        <v>6181</v>
      </c>
      <c r="AT814" t="s">
        <v>13619</v>
      </c>
      <c r="AU814">
        <v>2014</v>
      </c>
      <c r="AV814">
        <v>15</v>
      </c>
      <c r="AW814">
        <v>11</v>
      </c>
      <c r="AX814" t="s">
        <v>74</v>
      </c>
      <c r="AY814" t="s">
        <v>74</v>
      </c>
      <c r="AZ814" t="s">
        <v>74</v>
      </c>
      <c r="BA814" t="s">
        <v>74</v>
      </c>
      <c r="BB814">
        <v>4180</v>
      </c>
      <c r="BC814">
        <v>4202</v>
      </c>
      <c r="BD814" t="s">
        <v>74</v>
      </c>
      <c r="BE814" t="s">
        <v>15394</v>
      </c>
      <c r="BF814" t="str">
        <f>HYPERLINK("http://dx.doi.org/10.1002/2014GC005435","http://dx.doi.org/10.1002/2014GC005435")</f>
        <v>http://dx.doi.org/10.1002/2014GC005435</v>
      </c>
      <c r="BG814" t="s">
        <v>74</v>
      </c>
      <c r="BH814" t="s">
        <v>74</v>
      </c>
      <c r="BI814">
        <v>23</v>
      </c>
      <c r="BJ814" t="s">
        <v>1902</v>
      </c>
      <c r="BK814" t="s">
        <v>91</v>
      </c>
      <c r="BL814" t="s">
        <v>1902</v>
      </c>
      <c r="BM814" t="s">
        <v>15395</v>
      </c>
      <c r="BN814" t="s">
        <v>74</v>
      </c>
      <c r="BO814" t="s">
        <v>375</v>
      </c>
      <c r="BP814" t="s">
        <v>74</v>
      </c>
      <c r="BQ814" t="s">
        <v>74</v>
      </c>
      <c r="BR814" t="s">
        <v>93</v>
      </c>
      <c r="BS814" t="s">
        <v>15396</v>
      </c>
      <c r="BT814" t="str">
        <f>HYPERLINK("https%3A%2F%2Fwww.webofscience.com%2Fwos%2Fwoscc%2Ffull-record%2FWOS:000348060800004","View Full Record in Web of Science")</f>
        <v>View Full Record in Web of Science</v>
      </c>
    </row>
    <row r="815" spans="1:72" x14ac:dyDescent="0.15">
      <c r="A815" t="s">
        <v>72</v>
      </c>
      <c r="B815" t="s">
        <v>15397</v>
      </c>
      <c r="C815" t="s">
        <v>74</v>
      </c>
      <c r="D815" t="s">
        <v>74</v>
      </c>
      <c r="E815" t="s">
        <v>74</v>
      </c>
      <c r="F815" t="s">
        <v>15398</v>
      </c>
      <c r="G815" t="s">
        <v>74</v>
      </c>
      <c r="H815" t="s">
        <v>74</v>
      </c>
      <c r="I815" t="s">
        <v>15399</v>
      </c>
      <c r="J815" t="s">
        <v>15400</v>
      </c>
      <c r="K815" t="s">
        <v>74</v>
      </c>
      <c r="L815" t="s">
        <v>74</v>
      </c>
      <c r="M815" t="s">
        <v>78</v>
      </c>
      <c r="N815" t="s">
        <v>99</v>
      </c>
      <c r="O815" t="s">
        <v>74</v>
      </c>
      <c r="P815" t="s">
        <v>74</v>
      </c>
      <c r="Q815" t="s">
        <v>74</v>
      </c>
      <c r="R815" t="s">
        <v>74</v>
      </c>
      <c r="S815" t="s">
        <v>74</v>
      </c>
      <c r="T815" t="s">
        <v>15401</v>
      </c>
      <c r="U815" t="s">
        <v>15402</v>
      </c>
      <c r="V815" t="s">
        <v>15403</v>
      </c>
      <c r="W815" t="s">
        <v>15404</v>
      </c>
      <c r="X815" t="s">
        <v>15405</v>
      </c>
      <c r="Y815" t="s">
        <v>15406</v>
      </c>
      <c r="Z815" t="s">
        <v>15407</v>
      </c>
      <c r="AA815" t="s">
        <v>15408</v>
      </c>
      <c r="AB815" t="s">
        <v>74</v>
      </c>
      <c r="AC815" t="s">
        <v>15409</v>
      </c>
      <c r="AD815" t="s">
        <v>15410</v>
      </c>
      <c r="AE815" t="s">
        <v>15411</v>
      </c>
      <c r="AF815" t="s">
        <v>74</v>
      </c>
      <c r="AG815">
        <v>35</v>
      </c>
      <c r="AH815">
        <v>10</v>
      </c>
      <c r="AI815">
        <v>11</v>
      </c>
      <c r="AJ815">
        <v>0</v>
      </c>
      <c r="AK815">
        <v>0</v>
      </c>
      <c r="AL815" t="s">
        <v>2114</v>
      </c>
      <c r="AM815" t="s">
        <v>2115</v>
      </c>
      <c r="AN815" t="s">
        <v>15412</v>
      </c>
      <c r="AO815" t="s">
        <v>15413</v>
      </c>
      <c r="AP815" t="s">
        <v>74</v>
      </c>
      <c r="AQ815" t="s">
        <v>74</v>
      </c>
      <c r="AR815" t="s">
        <v>15414</v>
      </c>
      <c r="AS815" t="s">
        <v>15415</v>
      </c>
      <c r="AT815" t="s">
        <v>13619</v>
      </c>
      <c r="AU815">
        <v>2014</v>
      </c>
      <c r="AV815">
        <v>5</v>
      </c>
      <c r="AW815">
        <v>4</v>
      </c>
      <c r="AX815" t="s">
        <v>74</v>
      </c>
      <c r="AY815" t="s">
        <v>74</v>
      </c>
      <c r="AZ815" t="s">
        <v>74</v>
      </c>
      <c r="BA815" t="s">
        <v>74</v>
      </c>
      <c r="BB815">
        <v>57</v>
      </c>
      <c r="BC815">
        <v>67</v>
      </c>
      <c r="BD815" t="s">
        <v>74</v>
      </c>
      <c r="BE815" t="s">
        <v>15416</v>
      </c>
      <c r="BF815" t="str">
        <f>HYPERLINK("http://dx.doi.org/10.3724/SP.J.1246.2014.04057","http://dx.doi.org/10.3724/SP.J.1246.2014.04057")</f>
        <v>http://dx.doi.org/10.3724/SP.J.1246.2014.04057</v>
      </c>
      <c r="BG815" t="s">
        <v>74</v>
      </c>
      <c r="BH815" t="s">
        <v>74</v>
      </c>
      <c r="BI815">
        <v>11</v>
      </c>
      <c r="BJ815" t="s">
        <v>1902</v>
      </c>
      <c r="BK815" t="s">
        <v>202</v>
      </c>
      <c r="BL815" t="s">
        <v>1902</v>
      </c>
      <c r="BM815" t="s">
        <v>15417</v>
      </c>
      <c r="BN815" t="s">
        <v>74</v>
      </c>
      <c r="BO815" t="s">
        <v>1393</v>
      </c>
      <c r="BP815" t="s">
        <v>74</v>
      </c>
      <c r="BQ815" t="s">
        <v>74</v>
      </c>
      <c r="BR815" t="s">
        <v>93</v>
      </c>
      <c r="BS815" t="s">
        <v>15418</v>
      </c>
      <c r="BT815" t="str">
        <f>HYPERLINK("https%3A%2F%2Fwww.webofscience.com%2Fwos%2Fwoscc%2Ffull-record%2FWOS:000420974200008","View Full Record in Web of Science")</f>
        <v>View Full Record in Web of Science</v>
      </c>
    </row>
    <row r="816" spans="1:72" x14ac:dyDescent="0.15">
      <c r="A816" t="s">
        <v>72</v>
      </c>
      <c r="B816" t="s">
        <v>15419</v>
      </c>
      <c r="C816" t="s">
        <v>74</v>
      </c>
      <c r="D816" t="s">
        <v>74</v>
      </c>
      <c r="E816" t="s">
        <v>74</v>
      </c>
      <c r="F816" t="s">
        <v>15420</v>
      </c>
      <c r="G816" t="s">
        <v>74</v>
      </c>
      <c r="H816" t="s">
        <v>74</v>
      </c>
      <c r="I816" t="s">
        <v>15421</v>
      </c>
      <c r="J816" t="s">
        <v>14132</v>
      </c>
      <c r="K816" t="s">
        <v>74</v>
      </c>
      <c r="L816" t="s">
        <v>74</v>
      </c>
      <c r="M816" t="s">
        <v>78</v>
      </c>
      <c r="N816" t="s">
        <v>99</v>
      </c>
      <c r="O816" t="s">
        <v>74</v>
      </c>
      <c r="P816" t="s">
        <v>74</v>
      </c>
      <c r="Q816" t="s">
        <v>74</v>
      </c>
      <c r="R816" t="s">
        <v>74</v>
      </c>
      <c r="S816" t="s">
        <v>74</v>
      </c>
      <c r="T816" t="s">
        <v>74</v>
      </c>
      <c r="U816" t="s">
        <v>15422</v>
      </c>
      <c r="V816" t="s">
        <v>15423</v>
      </c>
      <c r="W816" t="s">
        <v>15424</v>
      </c>
      <c r="X816" t="s">
        <v>15425</v>
      </c>
      <c r="Y816" t="s">
        <v>5608</v>
      </c>
      <c r="Z816" t="s">
        <v>15426</v>
      </c>
      <c r="AA816" t="s">
        <v>15427</v>
      </c>
      <c r="AB816" t="s">
        <v>15428</v>
      </c>
      <c r="AC816" t="s">
        <v>15429</v>
      </c>
      <c r="AD816" t="s">
        <v>15430</v>
      </c>
      <c r="AE816" t="s">
        <v>15431</v>
      </c>
      <c r="AF816" t="s">
        <v>74</v>
      </c>
      <c r="AG816">
        <v>32</v>
      </c>
      <c r="AH816">
        <v>22</v>
      </c>
      <c r="AI816">
        <v>24</v>
      </c>
      <c r="AJ816">
        <v>0</v>
      </c>
      <c r="AK816">
        <v>18</v>
      </c>
      <c r="AL816" t="s">
        <v>6201</v>
      </c>
      <c r="AM816" t="s">
        <v>6202</v>
      </c>
      <c r="AN816" t="s">
        <v>6203</v>
      </c>
      <c r="AO816" t="s">
        <v>14142</v>
      </c>
      <c r="AP816" t="s">
        <v>14143</v>
      </c>
      <c r="AQ816" t="s">
        <v>74</v>
      </c>
      <c r="AR816" t="s">
        <v>14132</v>
      </c>
      <c r="AS816" t="s">
        <v>1954</v>
      </c>
      <c r="AT816" t="s">
        <v>13619</v>
      </c>
      <c r="AU816">
        <v>2014</v>
      </c>
      <c r="AV816">
        <v>42</v>
      </c>
      <c r="AW816">
        <v>11</v>
      </c>
      <c r="AX816" t="s">
        <v>74</v>
      </c>
      <c r="AY816" t="s">
        <v>74</v>
      </c>
      <c r="AZ816" t="s">
        <v>74</v>
      </c>
      <c r="BA816" t="s">
        <v>74</v>
      </c>
      <c r="BB816">
        <v>971</v>
      </c>
      <c r="BC816">
        <v>974</v>
      </c>
      <c r="BD816" t="s">
        <v>74</v>
      </c>
      <c r="BE816" t="s">
        <v>15432</v>
      </c>
      <c r="BF816" t="str">
        <f>HYPERLINK("http://dx.doi.org/10.1130/G35980.1","http://dx.doi.org/10.1130/G35980.1")</f>
        <v>http://dx.doi.org/10.1130/G35980.1</v>
      </c>
      <c r="BG816" t="s">
        <v>74</v>
      </c>
      <c r="BH816" t="s">
        <v>74</v>
      </c>
      <c r="BI816">
        <v>4</v>
      </c>
      <c r="BJ816" t="s">
        <v>1954</v>
      </c>
      <c r="BK816" t="s">
        <v>91</v>
      </c>
      <c r="BL816" t="s">
        <v>1954</v>
      </c>
      <c r="BM816" t="s">
        <v>14145</v>
      </c>
      <c r="BN816" t="s">
        <v>74</v>
      </c>
      <c r="BO816" t="s">
        <v>15433</v>
      </c>
      <c r="BP816" t="s">
        <v>74</v>
      </c>
      <c r="BQ816" t="s">
        <v>74</v>
      </c>
      <c r="BR816" t="s">
        <v>93</v>
      </c>
      <c r="BS816" t="s">
        <v>15434</v>
      </c>
      <c r="BT816" t="str">
        <f>HYPERLINK("https%3A%2F%2Fwww.webofscience.com%2Fwos%2Fwoscc%2Ffull-record%2FWOS:000345440300011","View Full Record in Web of Science")</f>
        <v>View Full Record in Web of Science</v>
      </c>
    </row>
    <row r="817" spans="1:72" x14ac:dyDescent="0.15">
      <c r="A817" t="s">
        <v>72</v>
      </c>
      <c r="B817" t="s">
        <v>15435</v>
      </c>
      <c r="C817" t="s">
        <v>74</v>
      </c>
      <c r="D817" t="s">
        <v>74</v>
      </c>
      <c r="E817" t="s">
        <v>74</v>
      </c>
      <c r="F817" t="s">
        <v>15436</v>
      </c>
      <c r="G817" t="s">
        <v>74</v>
      </c>
      <c r="H817" t="s">
        <v>74</v>
      </c>
      <c r="I817" t="s">
        <v>15437</v>
      </c>
      <c r="J817" t="s">
        <v>15438</v>
      </c>
      <c r="K817" t="s">
        <v>74</v>
      </c>
      <c r="L817" t="s">
        <v>74</v>
      </c>
      <c r="M817" t="s">
        <v>78</v>
      </c>
      <c r="N817" t="s">
        <v>99</v>
      </c>
      <c r="O817" t="s">
        <v>74</v>
      </c>
      <c r="P817" t="s">
        <v>74</v>
      </c>
      <c r="Q817" t="s">
        <v>74</v>
      </c>
      <c r="R817" t="s">
        <v>74</v>
      </c>
      <c r="S817" t="s">
        <v>74</v>
      </c>
      <c r="T817" t="s">
        <v>15439</v>
      </c>
      <c r="U817" t="s">
        <v>15440</v>
      </c>
      <c r="V817" t="s">
        <v>15441</v>
      </c>
      <c r="W817" t="s">
        <v>15442</v>
      </c>
      <c r="X817" t="s">
        <v>15443</v>
      </c>
      <c r="Y817" t="s">
        <v>15444</v>
      </c>
      <c r="Z817" t="s">
        <v>15445</v>
      </c>
      <c r="AA817" t="s">
        <v>15446</v>
      </c>
      <c r="AB817" t="s">
        <v>15447</v>
      </c>
      <c r="AC817" t="s">
        <v>15448</v>
      </c>
      <c r="AD817" t="s">
        <v>15449</v>
      </c>
      <c r="AE817" t="s">
        <v>15450</v>
      </c>
      <c r="AF817" t="s">
        <v>74</v>
      </c>
      <c r="AG817">
        <v>31</v>
      </c>
      <c r="AH817">
        <v>59</v>
      </c>
      <c r="AI817">
        <v>63</v>
      </c>
      <c r="AJ817">
        <v>0</v>
      </c>
      <c r="AK817">
        <v>21</v>
      </c>
      <c r="AL817" t="s">
        <v>2006</v>
      </c>
      <c r="AM817" t="s">
        <v>2007</v>
      </c>
      <c r="AN817" t="s">
        <v>2008</v>
      </c>
      <c r="AO817" t="s">
        <v>15451</v>
      </c>
      <c r="AP817" t="s">
        <v>74</v>
      </c>
      <c r="AQ817" t="s">
        <v>74</v>
      </c>
      <c r="AR817" t="s">
        <v>15452</v>
      </c>
      <c r="AS817" t="s">
        <v>15453</v>
      </c>
      <c r="AT817" t="s">
        <v>13619</v>
      </c>
      <c r="AU817">
        <v>2014</v>
      </c>
      <c r="AV817">
        <v>1</v>
      </c>
      <c r="AW817">
        <v>2</v>
      </c>
      <c r="AX817" t="s">
        <v>74</v>
      </c>
      <c r="AY817" t="s">
        <v>74</v>
      </c>
      <c r="AZ817" t="s">
        <v>74</v>
      </c>
      <c r="BA817" t="s">
        <v>74</v>
      </c>
      <c r="BB817">
        <v>75</v>
      </c>
      <c r="BC817">
        <v>102</v>
      </c>
      <c r="BD817" t="s">
        <v>74</v>
      </c>
      <c r="BE817" t="s">
        <v>15454</v>
      </c>
      <c r="BF817" t="str">
        <f>HYPERLINK("http://dx.doi.org/10.1002/gdj3.8","http://dx.doi.org/10.1002/gdj3.8")</f>
        <v>http://dx.doi.org/10.1002/gdj3.8</v>
      </c>
      <c r="BG817" t="s">
        <v>74</v>
      </c>
      <c r="BH817" t="s">
        <v>74</v>
      </c>
      <c r="BI817">
        <v>28</v>
      </c>
      <c r="BJ817" t="s">
        <v>637</v>
      </c>
      <c r="BK817" t="s">
        <v>91</v>
      </c>
      <c r="BL817" t="s">
        <v>638</v>
      </c>
      <c r="BM817" t="s">
        <v>15455</v>
      </c>
      <c r="BN817" t="s">
        <v>74</v>
      </c>
      <c r="BO817" t="s">
        <v>475</v>
      </c>
      <c r="BP817" t="s">
        <v>74</v>
      </c>
      <c r="BQ817" t="s">
        <v>74</v>
      </c>
      <c r="BR817" t="s">
        <v>93</v>
      </c>
      <c r="BS817" t="s">
        <v>15456</v>
      </c>
      <c r="BT817" t="str">
        <f>HYPERLINK("https%3A%2F%2Fwww.webofscience.com%2Fwos%2Fwoscc%2Ffull-record%2FWOS:000364219800001","View Full Record in Web of Science")</f>
        <v>View Full Record in Web of Science</v>
      </c>
    </row>
    <row r="818" spans="1:72" x14ac:dyDescent="0.15">
      <c r="A818" t="s">
        <v>72</v>
      </c>
      <c r="B818" t="s">
        <v>15457</v>
      </c>
      <c r="C818" t="s">
        <v>74</v>
      </c>
      <c r="D818" t="s">
        <v>74</v>
      </c>
      <c r="E818" t="s">
        <v>74</v>
      </c>
      <c r="F818" t="s">
        <v>15458</v>
      </c>
      <c r="G818" t="s">
        <v>74</v>
      </c>
      <c r="H818" t="s">
        <v>74</v>
      </c>
      <c r="I818" t="s">
        <v>15459</v>
      </c>
      <c r="J818" t="s">
        <v>9715</v>
      </c>
      <c r="K818" t="s">
        <v>74</v>
      </c>
      <c r="L818" t="s">
        <v>74</v>
      </c>
      <c r="M818" t="s">
        <v>78</v>
      </c>
      <c r="N818" t="s">
        <v>99</v>
      </c>
      <c r="O818" t="s">
        <v>74</v>
      </c>
      <c r="P818" t="s">
        <v>74</v>
      </c>
      <c r="Q818" t="s">
        <v>74</v>
      </c>
      <c r="R818" t="s">
        <v>74</v>
      </c>
      <c r="S818" t="s">
        <v>74</v>
      </c>
      <c r="T818" t="s">
        <v>15460</v>
      </c>
      <c r="U818" t="s">
        <v>15461</v>
      </c>
      <c r="V818" t="s">
        <v>15462</v>
      </c>
      <c r="W818" t="s">
        <v>15463</v>
      </c>
      <c r="X818" t="s">
        <v>15464</v>
      </c>
      <c r="Y818" t="s">
        <v>15465</v>
      </c>
      <c r="Z818" t="s">
        <v>15466</v>
      </c>
      <c r="AA818" t="s">
        <v>15467</v>
      </c>
      <c r="AB818" t="s">
        <v>15468</v>
      </c>
      <c r="AC818" t="s">
        <v>15469</v>
      </c>
      <c r="AD818" t="s">
        <v>15470</v>
      </c>
      <c r="AE818" t="s">
        <v>15471</v>
      </c>
      <c r="AF818" t="s">
        <v>74</v>
      </c>
      <c r="AG818">
        <v>76</v>
      </c>
      <c r="AH818">
        <v>33</v>
      </c>
      <c r="AI818">
        <v>37</v>
      </c>
      <c r="AJ818">
        <v>0</v>
      </c>
      <c r="AK818">
        <v>28</v>
      </c>
      <c r="AL818" t="s">
        <v>2640</v>
      </c>
      <c r="AM818" t="s">
        <v>1176</v>
      </c>
      <c r="AN818" t="s">
        <v>2641</v>
      </c>
      <c r="AO818" t="s">
        <v>9728</v>
      </c>
      <c r="AP818" t="s">
        <v>9729</v>
      </c>
      <c r="AQ818" t="s">
        <v>74</v>
      </c>
      <c r="AR818" t="s">
        <v>9730</v>
      </c>
      <c r="AS818" t="s">
        <v>9731</v>
      </c>
      <c r="AT818" t="s">
        <v>13619</v>
      </c>
      <c r="AU818">
        <v>2014</v>
      </c>
      <c r="AV818">
        <v>122</v>
      </c>
      <c r="AW818" t="s">
        <v>74</v>
      </c>
      <c r="AX818" t="s">
        <v>74</v>
      </c>
      <c r="AY818" t="s">
        <v>74</v>
      </c>
      <c r="AZ818" t="s">
        <v>74</v>
      </c>
      <c r="BA818" t="s">
        <v>74</v>
      </c>
      <c r="BB818">
        <v>224</v>
      </c>
      <c r="BC818">
        <v>237</v>
      </c>
      <c r="BD818" t="s">
        <v>74</v>
      </c>
      <c r="BE818" t="s">
        <v>15472</v>
      </c>
      <c r="BF818" t="str">
        <f>HYPERLINK("http://dx.doi.org/10.1016/j.gloplacha.2014.07.015","http://dx.doi.org/10.1016/j.gloplacha.2014.07.015")</f>
        <v>http://dx.doi.org/10.1016/j.gloplacha.2014.07.015</v>
      </c>
      <c r="BG818" t="s">
        <v>74</v>
      </c>
      <c r="BH818" t="s">
        <v>74</v>
      </c>
      <c r="BI818">
        <v>14</v>
      </c>
      <c r="BJ818" t="s">
        <v>372</v>
      </c>
      <c r="BK818" t="s">
        <v>91</v>
      </c>
      <c r="BL818" t="s">
        <v>373</v>
      </c>
      <c r="BM818" t="s">
        <v>14163</v>
      </c>
      <c r="BN818" t="s">
        <v>74</v>
      </c>
      <c r="BO818" t="s">
        <v>4631</v>
      </c>
      <c r="BP818" t="s">
        <v>74</v>
      </c>
      <c r="BQ818" t="s">
        <v>74</v>
      </c>
      <c r="BR818" t="s">
        <v>93</v>
      </c>
      <c r="BS818" t="s">
        <v>15473</v>
      </c>
      <c r="BT818" t="str">
        <f>HYPERLINK("https%3A%2F%2Fwww.webofscience.com%2Fwos%2Fwoscc%2Ffull-record%2FWOS:000345488600020","View Full Record in Web of Science")</f>
        <v>View Full Record in Web of Science</v>
      </c>
    </row>
    <row r="819" spans="1:72" x14ac:dyDescent="0.15">
      <c r="A819" t="s">
        <v>72</v>
      </c>
      <c r="B819" t="s">
        <v>15474</v>
      </c>
      <c r="C819" t="s">
        <v>74</v>
      </c>
      <c r="D819" t="s">
        <v>74</v>
      </c>
      <c r="E819" t="s">
        <v>74</v>
      </c>
      <c r="F819" t="s">
        <v>15475</v>
      </c>
      <c r="G819" t="s">
        <v>74</v>
      </c>
      <c r="H819" t="s">
        <v>74</v>
      </c>
      <c r="I819" t="s">
        <v>15476</v>
      </c>
      <c r="J819" t="s">
        <v>9968</v>
      </c>
      <c r="K819" t="s">
        <v>74</v>
      </c>
      <c r="L819" t="s">
        <v>74</v>
      </c>
      <c r="M819" t="s">
        <v>78</v>
      </c>
      <c r="N819" t="s">
        <v>99</v>
      </c>
      <c r="O819" t="s">
        <v>74</v>
      </c>
      <c r="P819" t="s">
        <v>74</v>
      </c>
      <c r="Q819" t="s">
        <v>74</v>
      </c>
      <c r="R819" t="s">
        <v>74</v>
      </c>
      <c r="S819" t="s">
        <v>74</v>
      </c>
      <c r="T819" t="s">
        <v>15477</v>
      </c>
      <c r="U819" t="s">
        <v>15478</v>
      </c>
      <c r="V819" t="s">
        <v>15479</v>
      </c>
      <c r="W819" t="s">
        <v>15480</v>
      </c>
      <c r="X819" t="s">
        <v>15481</v>
      </c>
      <c r="Y819" t="s">
        <v>15482</v>
      </c>
      <c r="Z819" t="s">
        <v>15483</v>
      </c>
      <c r="AA819" t="s">
        <v>15484</v>
      </c>
      <c r="AB819" t="s">
        <v>15485</v>
      </c>
      <c r="AC819" t="s">
        <v>15486</v>
      </c>
      <c r="AD819" t="s">
        <v>15487</v>
      </c>
      <c r="AE819" t="s">
        <v>15488</v>
      </c>
      <c r="AF819" t="s">
        <v>74</v>
      </c>
      <c r="AG819">
        <v>50</v>
      </c>
      <c r="AH819">
        <v>65</v>
      </c>
      <c r="AI819">
        <v>71</v>
      </c>
      <c r="AJ819">
        <v>0</v>
      </c>
      <c r="AK819">
        <v>35</v>
      </c>
      <c r="AL819" t="s">
        <v>1945</v>
      </c>
      <c r="AM819" t="s">
        <v>1946</v>
      </c>
      <c r="AN819" t="s">
        <v>1947</v>
      </c>
      <c r="AO819" t="s">
        <v>9981</v>
      </c>
      <c r="AP819" t="s">
        <v>9982</v>
      </c>
      <c r="AQ819" t="s">
        <v>74</v>
      </c>
      <c r="AR819" t="s">
        <v>9983</v>
      </c>
      <c r="AS819" t="s">
        <v>9984</v>
      </c>
      <c r="AT819" t="s">
        <v>13619</v>
      </c>
      <c r="AU819">
        <v>2014</v>
      </c>
      <c r="AV819">
        <v>28</v>
      </c>
      <c r="AW819">
        <v>11</v>
      </c>
      <c r="AX819" t="s">
        <v>74</v>
      </c>
      <c r="AY819" t="s">
        <v>74</v>
      </c>
      <c r="AZ819" t="s">
        <v>74</v>
      </c>
      <c r="BA819" t="s">
        <v>74</v>
      </c>
      <c r="BB819">
        <v>1163</v>
      </c>
      <c r="BC819">
        <v>1178</v>
      </c>
      <c r="BD819" t="s">
        <v>74</v>
      </c>
      <c r="BE819" t="s">
        <v>15489</v>
      </c>
      <c r="BF819" t="str">
        <f>HYPERLINK("http://dx.doi.org/10.1002/2014GB004813","http://dx.doi.org/10.1002/2014GB004813")</f>
        <v>http://dx.doi.org/10.1002/2014GB004813</v>
      </c>
      <c r="BG819" t="s">
        <v>74</v>
      </c>
      <c r="BH819" t="s">
        <v>74</v>
      </c>
      <c r="BI819">
        <v>16</v>
      </c>
      <c r="BJ819" t="s">
        <v>9986</v>
      </c>
      <c r="BK819" t="s">
        <v>91</v>
      </c>
      <c r="BL819" t="s">
        <v>9987</v>
      </c>
      <c r="BM819" t="s">
        <v>15490</v>
      </c>
      <c r="BN819" t="s">
        <v>74</v>
      </c>
      <c r="BO819" t="s">
        <v>4631</v>
      </c>
      <c r="BP819" t="s">
        <v>74</v>
      </c>
      <c r="BQ819" t="s">
        <v>74</v>
      </c>
      <c r="BR819" t="s">
        <v>93</v>
      </c>
      <c r="BS819" t="s">
        <v>15491</v>
      </c>
      <c r="BT819" t="str">
        <f>HYPERLINK("https%3A%2F%2Fwww.webofscience.com%2Fwos%2Fwoscc%2Ffull-record%2FWOS:000346594100001","View Full Record in Web of Science")</f>
        <v>View Full Record in Web of Science</v>
      </c>
    </row>
    <row r="820" spans="1:72" x14ac:dyDescent="0.15">
      <c r="A820" t="s">
        <v>72</v>
      </c>
      <c r="B820" t="s">
        <v>15492</v>
      </c>
      <c r="C820" t="s">
        <v>74</v>
      </c>
      <c r="D820" t="s">
        <v>74</v>
      </c>
      <c r="E820" t="s">
        <v>74</v>
      </c>
      <c r="F820" t="s">
        <v>15493</v>
      </c>
      <c r="G820" t="s">
        <v>74</v>
      </c>
      <c r="H820" t="s">
        <v>74</v>
      </c>
      <c r="I820" t="s">
        <v>15494</v>
      </c>
      <c r="J820" t="s">
        <v>15495</v>
      </c>
      <c r="K820" t="s">
        <v>74</v>
      </c>
      <c r="L820" t="s">
        <v>74</v>
      </c>
      <c r="M820" t="s">
        <v>78</v>
      </c>
      <c r="N820" t="s">
        <v>454</v>
      </c>
      <c r="O820" t="s">
        <v>74</v>
      </c>
      <c r="P820" t="s">
        <v>74</v>
      </c>
      <c r="Q820" t="s">
        <v>74</v>
      </c>
      <c r="R820" t="s">
        <v>74</v>
      </c>
      <c r="S820" t="s">
        <v>74</v>
      </c>
      <c r="T820" t="s">
        <v>15496</v>
      </c>
      <c r="U820" t="s">
        <v>15497</v>
      </c>
      <c r="V820" t="s">
        <v>15498</v>
      </c>
      <c r="W820" t="s">
        <v>15499</v>
      </c>
      <c r="X820" t="s">
        <v>15500</v>
      </c>
      <c r="Y820" t="s">
        <v>15501</v>
      </c>
      <c r="Z820" t="s">
        <v>15502</v>
      </c>
      <c r="AA820" t="s">
        <v>15503</v>
      </c>
      <c r="AB820" t="s">
        <v>15504</v>
      </c>
      <c r="AC820" t="s">
        <v>15505</v>
      </c>
      <c r="AD820" t="s">
        <v>15506</v>
      </c>
      <c r="AE820" t="s">
        <v>15507</v>
      </c>
      <c r="AF820" t="s">
        <v>74</v>
      </c>
      <c r="AG820">
        <v>93</v>
      </c>
      <c r="AH820">
        <v>182</v>
      </c>
      <c r="AI820">
        <v>192</v>
      </c>
      <c r="AJ820">
        <v>3</v>
      </c>
      <c r="AK820">
        <v>187</v>
      </c>
      <c r="AL820" t="s">
        <v>2006</v>
      </c>
      <c r="AM820" t="s">
        <v>2007</v>
      </c>
      <c r="AN820" t="s">
        <v>2008</v>
      </c>
      <c r="AO820" t="s">
        <v>15508</v>
      </c>
      <c r="AP820" t="s">
        <v>15509</v>
      </c>
      <c r="AQ820" t="s">
        <v>74</v>
      </c>
      <c r="AR820" t="s">
        <v>15510</v>
      </c>
      <c r="AS820" t="s">
        <v>15511</v>
      </c>
      <c r="AT820" t="s">
        <v>13619</v>
      </c>
      <c r="AU820">
        <v>2014</v>
      </c>
      <c r="AV820">
        <v>20</v>
      </c>
      <c r="AW820">
        <v>11</v>
      </c>
      <c r="AX820" t="s">
        <v>74</v>
      </c>
      <c r="AY820" t="s">
        <v>74</v>
      </c>
      <c r="AZ820" t="s">
        <v>74</v>
      </c>
      <c r="BA820" t="s">
        <v>74</v>
      </c>
      <c r="BB820">
        <v>3300</v>
      </c>
      <c r="BC820">
        <v>3312</v>
      </c>
      <c r="BD820" t="s">
        <v>74</v>
      </c>
      <c r="BE820" t="s">
        <v>15512</v>
      </c>
      <c r="BF820" t="str">
        <f>HYPERLINK("http://dx.doi.org/10.1111/gcb.12619","http://dx.doi.org/10.1111/gcb.12619")</f>
        <v>http://dx.doi.org/10.1111/gcb.12619</v>
      </c>
      <c r="BG820" t="s">
        <v>74</v>
      </c>
      <c r="BH820" t="s">
        <v>74</v>
      </c>
      <c r="BI820">
        <v>13</v>
      </c>
      <c r="BJ820" t="s">
        <v>11608</v>
      </c>
      <c r="BK820" t="s">
        <v>91</v>
      </c>
      <c r="BL820" t="s">
        <v>3476</v>
      </c>
      <c r="BM820" t="s">
        <v>15513</v>
      </c>
      <c r="BN820">
        <v>24771500</v>
      </c>
      <c r="BO820" t="s">
        <v>74</v>
      </c>
      <c r="BP820" t="s">
        <v>74</v>
      </c>
      <c r="BQ820" t="s">
        <v>74</v>
      </c>
      <c r="BR820" t="s">
        <v>93</v>
      </c>
      <c r="BS820" t="s">
        <v>15514</v>
      </c>
      <c r="BT820" t="str">
        <f>HYPERLINK("https%3A%2F%2Fwww.webofscience.com%2Fwos%2Fwoscc%2Ffull-record%2FWOS:000343762800002","View Full Record in Web of Science")</f>
        <v>View Full Record in Web of Science</v>
      </c>
    </row>
    <row r="821" spans="1:72" x14ac:dyDescent="0.15">
      <c r="A821" t="s">
        <v>72</v>
      </c>
      <c r="B821" t="s">
        <v>15515</v>
      </c>
      <c r="C821" t="s">
        <v>74</v>
      </c>
      <c r="D821" t="s">
        <v>74</v>
      </c>
      <c r="E821" t="s">
        <v>74</v>
      </c>
      <c r="F821" t="s">
        <v>15516</v>
      </c>
      <c r="G821" t="s">
        <v>74</v>
      </c>
      <c r="H821" t="s">
        <v>74</v>
      </c>
      <c r="I821" t="s">
        <v>15517</v>
      </c>
      <c r="J821" t="s">
        <v>1909</v>
      </c>
      <c r="K821" t="s">
        <v>74</v>
      </c>
      <c r="L821" t="s">
        <v>74</v>
      </c>
      <c r="M821" t="s">
        <v>78</v>
      </c>
      <c r="N821" t="s">
        <v>99</v>
      </c>
      <c r="O821" t="s">
        <v>74</v>
      </c>
      <c r="P821" t="s">
        <v>74</v>
      </c>
      <c r="Q821" t="s">
        <v>74</v>
      </c>
      <c r="R821" t="s">
        <v>74</v>
      </c>
      <c r="S821" t="s">
        <v>74</v>
      </c>
      <c r="T821" t="s">
        <v>15518</v>
      </c>
      <c r="U821" t="s">
        <v>15519</v>
      </c>
      <c r="V821" t="s">
        <v>15520</v>
      </c>
      <c r="W821" t="s">
        <v>15521</v>
      </c>
      <c r="X821" t="s">
        <v>4616</v>
      </c>
      <c r="Y821" t="s">
        <v>15522</v>
      </c>
      <c r="Z821" t="s">
        <v>15523</v>
      </c>
      <c r="AA821" t="s">
        <v>15524</v>
      </c>
      <c r="AB821" t="s">
        <v>4754</v>
      </c>
      <c r="AC821" t="s">
        <v>15525</v>
      </c>
      <c r="AD821" t="s">
        <v>15526</v>
      </c>
      <c r="AE821" t="s">
        <v>15527</v>
      </c>
      <c r="AF821" t="s">
        <v>74</v>
      </c>
      <c r="AG821">
        <v>88</v>
      </c>
      <c r="AH821">
        <v>88</v>
      </c>
      <c r="AI821">
        <v>98</v>
      </c>
      <c r="AJ821">
        <v>0</v>
      </c>
      <c r="AK821">
        <v>66</v>
      </c>
      <c r="AL821" t="s">
        <v>1895</v>
      </c>
      <c r="AM821" t="s">
        <v>1411</v>
      </c>
      <c r="AN821" t="s">
        <v>1896</v>
      </c>
      <c r="AO821" t="s">
        <v>1920</v>
      </c>
      <c r="AP821" t="s">
        <v>1921</v>
      </c>
      <c r="AQ821" t="s">
        <v>74</v>
      </c>
      <c r="AR821" t="s">
        <v>1922</v>
      </c>
      <c r="AS821" t="s">
        <v>1923</v>
      </c>
      <c r="AT821" t="s">
        <v>13643</v>
      </c>
      <c r="AU821">
        <v>2014</v>
      </c>
      <c r="AV821">
        <v>71</v>
      </c>
      <c r="AW821">
        <v>9</v>
      </c>
      <c r="AX821" t="s">
        <v>74</v>
      </c>
      <c r="AY821" t="s">
        <v>74</v>
      </c>
      <c r="AZ821" t="s">
        <v>74</v>
      </c>
      <c r="BA821" t="s">
        <v>74</v>
      </c>
      <c r="BB821">
        <v>2578</v>
      </c>
      <c r="BC821">
        <v>2588</v>
      </c>
      <c r="BD821" t="s">
        <v>74</v>
      </c>
      <c r="BE821" t="s">
        <v>15528</v>
      </c>
      <c r="BF821" t="str">
        <f>HYPERLINK("http://dx.doi.org/10.1093/icesjms/fsu104","http://dx.doi.org/10.1093/icesjms/fsu104")</f>
        <v>http://dx.doi.org/10.1093/icesjms/fsu104</v>
      </c>
      <c r="BG821" t="s">
        <v>74</v>
      </c>
      <c r="BH821" t="s">
        <v>74</v>
      </c>
      <c r="BI821">
        <v>11</v>
      </c>
      <c r="BJ821" t="s">
        <v>1926</v>
      </c>
      <c r="BK821" t="s">
        <v>91</v>
      </c>
      <c r="BL821" t="s">
        <v>1926</v>
      </c>
      <c r="BM821" t="s">
        <v>13727</v>
      </c>
      <c r="BN821" t="s">
        <v>74</v>
      </c>
      <c r="BO821" t="s">
        <v>6900</v>
      </c>
      <c r="BP821" t="s">
        <v>74</v>
      </c>
      <c r="BQ821" t="s">
        <v>74</v>
      </c>
      <c r="BR821" t="s">
        <v>93</v>
      </c>
      <c r="BS821" t="s">
        <v>15529</v>
      </c>
      <c r="BT821" t="str">
        <f>HYPERLINK("https%3A%2F%2Fwww.webofscience.com%2Fwos%2Fwoscc%2Ffull-record%2FWOS:000346191300020","View Full Record in Web of Science")</f>
        <v>View Full Record in Web of Science</v>
      </c>
    </row>
    <row r="822" spans="1:72" x14ac:dyDescent="0.15">
      <c r="A822" t="s">
        <v>72</v>
      </c>
      <c r="B822" t="s">
        <v>15530</v>
      </c>
      <c r="C822" t="s">
        <v>74</v>
      </c>
      <c r="D822" t="s">
        <v>74</v>
      </c>
      <c r="E822" t="s">
        <v>74</v>
      </c>
      <c r="F822" t="s">
        <v>15531</v>
      </c>
      <c r="G822" t="s">
        <v>74</v>
      </c>
      <c r="H822" t="s">
        <v>74</v>
      </c>
      <c r="I822" t="s">
        <v>15532</v>
      </c>
      <c r="J822" t="s">
        <v>15533</v>
      </c>
      <c r="K822" t="s">
        <v>74</v>
      </c>
      <c r="L822" t="s">
        <v>74</v>
      </c>
      <c r="M822" t="s">
        <v>78</v>
      </c>
      <c r="N822" t="s">
        <v>99</v>
      </c>
      <c r="O822" t="s">
        <v>74</v>
      </c>
      <c r="P822" t="s">
        <v>74</v>
      </c>
      <c r="Q822" t="s">
        <v>74</v>
      </c>
      <c r="R822" t="s">
        <v>74</v>
      </c>
      <c r="S822" t="s">
        <v>74</v>
      </c>
      <c r="T822" t="s">
        <v>15534</v>
      </c>
      <c r="U822" t="s">
        <v>74</v>
      </c>
      <c r="V822" t="s">
        <v>15535</v>
      </c>
      <c r="W822" t="s">
        <v>15536</v>
      </c>
      <c r="X822" t="s">
        <v>15537</v>
      </c>
      <c r="Y822" t="s">
        <v>15538</v>
      </c>
      <c r="Z822" t="s">
        <v>15539</v>
      </c>
      <c r="AA822" t="s">
        <v>74</v>
      </c>
      <c r="AB822" t="s">
        <v>74</v>
      </c>
      <c r="AC822" t="s">
        <v>74</v>
      </c>
      <c r="AD822" t="s">
        <v>74</v>
      </c>
      <c r="AE822" t="s">
        <v>74</v>
      </c>
      <c r="AF822" t="s">
        <v>74</v>
      </c>
      <c r="AG822">
        <v>13</v>
      </c>
      <c r="AH822">
        <v>1</v>
      </c>
      <c r="AI822">
        <v>2</v>
      </c>
      <c r="AJ822">
        <v>1</v>
      </c>
      <c r="AK822">
        <v>9</v>
      </c>
      <c r="AL822" t="s">
        <v>15540</v>
      </c>
      <c r="AM822" t="s">
        <v>15541</v>
      </c>
      <c r="AN822" t="s">
        <v>15542</v>
      </c>
      <c r="AO822" t="s">
        <v>15543</v>
      </c>
      <c r="AP822" t="s">
        <v>15544</v>
      </c>
      <c r="AQ822" t="s">
        <v>74</v>
      </c>
      <c r="AR822" t="s">
        <v>15545</v>
      </c>
      <c r="AS822" t="s">
        <v>15546</v>
      </c>
      <c r="AT822" t="s">
        <v>13619</v>
      </c>
      <c r="AU822">
        <v>2014</v>
      </c>
      <c r="AV822">
        <v>43</v>
      </c>
      <c r="AW822">
        <v>11</v>
      </c>
      <c r="AX822" t="s">
        <v>74</v>
      </c>
      <c r="AY822" t="s">
        <v>74</v>
      </c>
      <c r="AZ822" t="s">
        <v>74</v>
      </c>
      <c r="BA822" t="s">
        <v>74</v>
      </c>
      <c r="BB822">
        <v>2042</v>
      </c>
      <c r="BC822">
        <v>2052</v>
      </c>
      <c r="BD822" t="s">
        <v>74</v>
      </c>
      <c r="BE822" t="s">
        <v>74</v>
      </c>
      <c r="BF822" t="s">
        <v>74</v>
      </c>
      <c r="BG822" t="s">
        <v>74</v>
      </c>
      <c r="BH822" t="s">
        <v>74</v>
      </c>
      <c r="BI822">
        <v>11</v>
      </c>
      <c r="BJ822" t="s">
        <v>2054</v>
      </c>
      <c r="BK822" t="s">
        <v>91</v>
      </c>
      <c r="BL822" t="s">
        <v>2054</v>
      </c>
      <c r="BM822" t="s">
        <v>15547</v>
      </c>
      <c r="BN822" t="s">
        <v>74</v>
      </c>
      <c r="BO822" t="s">
        <v>74</v>
      </c>
      <c r="BP822" t="s">
        <v>74</v>
      </c>
      <c r="BQ822" t="s">
        <v>74</v>
      </c>
      <c r="BR822" t="s">
        <v>93</v>
      </c>
      <c r="BS822" t="s">
        <v>15548</v>
      </c>
      <c r="BT822" t="str">
        <f>HYPERLINK("https%3A%2F%2Fwww.webofscience.com%2Fwos%2Fwoscc%2Ffull-record%2FWOS:000209761900006","View Full Record in Web of Science")</f>
        <v>View Full Record in Web of Science</v>
      </c>
    </row>
    <row r="823" spans="1:72" x14ac:dyDescent="0.15">
      <c r="A823" t="s">
        <v>72</v>
      </c>
      <c r="B823" t="s">
        <v>15549</v>
      </c>
      <c r="C823" t="s">
        <v>74</v>
      </c>
      <c r="D823" t="s">
        <v>74</v>
      </c>
      <c r="E823" t="s">
        <v>74</v>
      </c>
      <c r="F823" t="s">
        <v>15550</v>
      </c>
      <c r="G823" t="s">
        <v>74</v>
      </c>
      <c r="H823" t="s">
        <v>15551</v>
      </c>
      <c r="I823" t="s">
        <v>15552</v>
      </c>
      <c r="J823" t="s">
        <v>15553</v>
      </c>
      <c r="K823" t="s">
        <v>74</v>
      </c>
      <c r="L823" t="s">
        <v>74</v>
      </c>
      <c r="M823" t="s">
        <v>78</v>
      </c>
      <c r="N823" t="s">
        <v>99</v>
      </c>
      <c r="O823" t="s">
        <v>74</v>
      </c>
      <c r="P823" t="s">
        <v>74</v>
      </c>
      <c r="Q823" t="s">
        <v>74</v>
      </c>
      <c r="R823" t="s">
        <v>74</v>
      </c>
      <c r="S823" t="s">
        <v>74</v>
      </c>
      <c r="T823" t="s">
        <v>15554</v>
      </c>
      <c r="U823" t="s">
        <v>15555</v>
      </c>
      <c r="V823" t="s">
        <v>15556</v>
      </c>
      <c r="W823" t="s">
        <v>15557</v>
      </c>
      <c r="X823" t="s">
        <v>15558</v>
      </c>
      <c r="Y823" t="s">
        <v>15559</v>
      </c>
      <c r="Z823" t="s">
        <v>15560</v>
      </c>
      <c r="AA823" t="s">
        <v>15561</v>
      </c>
      <c r="AB823" t="s">
        <v>15562</v>
      </c>
      <c r="AC823" t="s">
        <v>15563</v>
      </c>
      <c r="AD823" t="s">
        <v>15564</v>
      </c>
      <c r="AE823" t="s">
        <v>15565</v>
      </c>
      <c r="AF823" t="s">
        <v>74</v>
      </c>
      <c r="AG823">
        <v>58</v>
      </c>
      <c r="AH823">
        <v>13</v>
      </c>
      <c r="AI823">
        <v>15</v>
      </c>
      <c r="AJ823">
        <v>1</v>
      </c>
      <c r="AK823">
        <v>24</v>
      </c>
      <c r="AL823" t="s">
        <v>2666</v>
      </c>
      <c r="AM823" t="s">
        <v>342</v>
      </c>
      <c r="AN823" t="s">
        <v>2667</v>
      </c>
      <c r="AO823" t="s">
        <v>15566</v>
      </c>
      <c r="AP823" t="s">
        <v>15567</v>
      </c>
      <c r="AQ823" t="s">
        <v>74</v>
      </c>
      <c r="AR823" t="s">
        <v>15568</v>
      </c>
      <c r="AS823" t="s">
        <v>15569</v>
      </c>
      <c r="AT823" t="s">
        <v>13619</v>
      </c>
      <c r="AU823">
        <v>2014</v>
      </c>
      <c r="AV823">
        <v>103</v>
      </c>
      <c r="AW823">
        <v>8</v>
      </c>
      <c r="AX823" t="s">
        <v>74</v>
      </c>
      <c r="AY823" t="s">
        <v>74</v>
      </c>
      <c r="AZ823" t="s">
        <v>74</v>
      </c>
      <c r="BA823" t="s">
        <v>74</v>
      </c>
      <c r="BB823">
        <v>2315</v>
      </c>
      <c r="BC823">
        <v>2326</v>
      </c>
      <c r="BD823" t="s">
        <v>74</v>
      </c>
      <c r="BE823" t="s">
        <v>15570</v>
      </c>
      <c r="BF823" t="str">
        <f>HYPERLINK("http://dx.doi.org/10.1007/s00531-014-1043-4","http://dx.doi.org/10.1007/s00531-014-1043-4")</f>
        <v>http://dx.doi.org/10.1007/s00531-014-1043-4</v>
      </c>
      <c r="BG823" t="s">
        <v>74</v>
      </c>
      <c r="BH823" t="s">
        <v>74</v>
      </c>
      <c r="BI823">
        <v>12</v>
      </c>
      <c r="BJ823" t="s">
        <v>1953</v>
      </c>
      <c r="BK823" t="s">
        <v>91</v>
      </c>
      <c r="BL823" t="s">
        <v>1954</v>
      </c>
      <c r="BM823" t="s">
        <v>15571</v>
      </c>
      <c r="BN823" t="s">
        <v>74</v>
      </c>
      <c r="BO823" t="s">
        <v>74</v>
      </c>
      <c r="BP823" t="s">
        <v>74</v>
      </c>
      <c r="BQ823" t="s">
        <v>74</v>
      </c>
      <c r="BR823" t="s">
        <v>93</v>
      </c>
      <c r="BS823" t="s">
        <v>15572</v>
      </c>
      <c r="BT823" t="str">
        <f>HYPERLINK("https%3A%2F%2Fwww.webofscience.com%2Fwos%2Fwoscc%2Ffull-record%2FWOS:000344390400009","View Full Record in Web of Science")</f>
        <v>View Full Record in Web of Science</v>
      </c>
    </row>
    <row r="824" spans="1:72" x14ac:dyDescent="0.15">
      <c r="A824" t="s">
        <v>72</v>
      </c>
      <c r="B824" t="s">
        <v>15573</v>
      </c>
      <c r="C824" t="s">
        <v>74</v>
      </c>
      <c r="D824" t="s">
        <v>74</v>
      </c>
      <c r="E824" t="s">
        <v>74</v>
      </c>
      <c r="F824" t="s">
        <v>15574</v>
      </c>
      <c r="G824" t="s">
        <v>74</v>
      </c>
      <c r="H824" t="s">
        <v>74</v>
      </c>
      <c r="I824" t="s">
        <v>1352</v>
      </c>
      <c r="J824" t="s">
        <v>15575</v>
      </c>
      <c r="K824" t="s">
        <v>74</v>
      </c>
      <c r="L824" t="s">
        <v>74</v>
      </c>
      <c r="M824" t="s">
        <v>78</v>
      </c>
      <c r="N824" t="s">
        <v>1354</v>
      </c>
      <c r="O824" t="s">
        <v>74</v>
      </c>
      <c r="P824" t="s">
        <v>74</v>
      </c>
      <c r="Q824" t="s">
        <v>74</v>
      </c>
      <c r="R824" t="s">
        <v>74</v>
      </c>
      <c r="S824" t="s">
        <v>74</v>
      </c>
      <c r="T824" t="s">
        <v>74</v>
      </c>
      <c r="U824" t="s">
        <v>74</v>
      </c>
      <c r="V824" t="s">
        <v>74</v>
      </c>
      <c r="W824" t="s">
        <v>15576</v>
      </c>
      <c r="X824" t="s">
        <v>15577</v>
      </c>
      <c r="Y824" t="s">
        <v>15578</v>
      </c>
      <c r="Z824" t="s">
        <v>74</v>
      </c>
      <c r="AA824" t="s">
        <v>74</v>
      </c>
      <c r="AB824" t="s">
        <v>74</v>
      </c>
      <c r="AC824" t="s">
        <v>74</v>
      </c>
      <c r="AD824" t="s">
        <v>74</v>
      </c>
      <c r="AE824" t="s">
        <v>74</v>
      </c>
      <c r="AF824" t="s">
        <v>74</v>
      </c>
      <c r="AG824">
        <v>1</v>
      </c>
      <c r="AH824">
        <v>0</v>
      </c>
      <c r="AI824">
        <v>0</v>
      </c>
      <c r="AJ824">
        <v>0</v>
      </c>
      <c r="AK824">
        <v>0</v>
      </c>
      <c r="AL824" t="s">
        <v>3150</v>
      </c>
      <c r="AM824" t="s">
        <v>219</v>
      </c>
      <c r="AN824" t="s">
        <v>3151</v>
      </c>
      <c r="AO824" t="s">
        <v>15579</v>
      </c>
      <c r="AP824" t="s">
        <v>15580</v>
      </c>
      <c r="AQ824" t="s">
        <v>74</v>
      </c>
      <c r="AR824" t="s">
        <v>15581</v>
      </c>
      <c r="AS824" t="s">
        <v>15582</v>
      </c>
      <c r="AT824" t="s">
        <v>13619</v>
      </c>
      <c r="AU824">
        <v>2014</v>
      </c>
      <c r="AV824">
        <v>26</v>
      </c>
      <c r="AW824">
        <v>4</v>
      </c>
      <c r="AX824" t="s">
        <v>74</v>
      </c>
      <c r="AY824" t="s">
        <v>74</v>
      </c>
      <c r="AZ824" t="s">
        <v>74</v>
      </c>
      <c r="BA824" t="s">
        <v>74</v>
      </c>
      <c r="BB824">
        <v>852</v>
      </c>
      <c r="BC824">
        <v>854</v>
      </c>
      <c r="BD824" t="s">
        <v>74</v>
      </c>
      <c r="BE824" t="s">
        <v>74</v>
      </c>
      <c r="BF824" t="s">
        <v>74</v>
      </c>
      <c r="BG824" t="s">
        <v>74</v>
      </c>
      <c r="BH824" t="s">
        <v>74</v>
      </c>
      <c r="BI824">
        <v>4</v>
      </c>
      <c r="BJ824" t="s">
        <v>15583</v>
      </c>
      <c r="BK824" t="s">
        <v>202</v>
      </c>
      <c r="BL824" t="s">
        <v>15583</v>
      </c>
      <c r="BM824" t="s">
        <v>15584</v>
      </c>
      <c r="BN824" t="s">
        <v>74</v>
      </c>
      <c r="BO824" t="s">
        <v>74</v>
      </c>
      <c r="BP824" t="s">
        <v>74</v>
      </c>
      <c r="BQ824" t="s">
        <v>74</v>
      </c>
      <c r="BR824" t="s">
        <v>93</v>
      </c>
      <c r="BS824" t="s">
        <v>15585</v>
      </c>
      <c r="BT824" t="str">
        <f>HYPERLINK("https%3A%2F%2Fwww.webofscience.com%2Fwos%2Fwoscc%2Ffull-record%2FWOS:000210720100029","View Full Record in Web of Science")</f>
        <v>View Full Record in Web of Science</v>
      </c>
    </row>
    <row r="825" spans="1:72" x14ac:dyDescent="0.15">
      <c r="A825" t="s">
        <v>72</v>
      </c>
      <c r="B825" t="s">
        <v>15586</v>
      </c>
      <c r="C825" t="s">
        <v>74</v>
      </c>
      <c r="D825" t="s">
        <v>74</v>
      </c>
      <c r="E825" t="s">
        <v>74</v>
      </c>
      <c r="F825" t="s">
        <v>15587</v>
      </c>
      <c r="G825" t="s">
        <v>74</v>
      </c>
      <c r="H825" t="s">
        <v>74</v>
      </c>
      <c r="I825" t="s">
        <v>15588</v>
      </c>
      <c r="J825" t="s">
        <v>2526</v>
      </c>
      <c r="K825" t="s">
        <v>74</v>
      </c>
      <c r="L825" t="s">
        <v>74</v>
      </c>
      <c r="M825" t="s">
        <v>78</v>
      </c>
      <c r="N825" t="s">
        <v>99</v>
      </c>
      <c r="O825" t="s">
        <v>74</v>
      </c>
      <c r="P825" t="s">
        <v>74</v>
      </c>
      <c r="Q825" t="s">
        <v>74</v>
      </c>
      <c r="R825" t="s">
        <v>74</v>
      </c>
      <c r="S825" t="s">
        <v>74</v>
      </c>
      <c r="T825" t="s">
        <v>74</v>
      </c>
      <c r="U825" t="s">
        <v>15589</v>
      </c>
      <c r="V825" t="s">
        <v>15590</v>
      </c>
      <c r="W825" t="s">
        <v>15591</v>
      </c>
      <c r="X825" t="s">
        <v>10353</v>
      </c>
      <c r="Y825" t="s">
        <v>15592</v>
      </c>
      <c r="Z825" t="s">
        <v>15593</v>
      </c>
      <c r="AA825" t="s">
        <v>10356</v>
      </c>
      <c r="AB825" t="s">
        <v>74</v>
      </c>
      <c r="AC825" t="s">
        <v>15594</v>
      </c>
      <c r="AD825" t="s">
        <v>15595</v>
      </c>
      <c r="AE825" t="s">
        <v>15596</v>
      </c>
      <c r="AF825" t="s">
        <v>74</v>
      </c>
      <c r="AG825">
        <v>85</v>
      </c>
      <c r="AH825">
        <v>160</v>
      </c>
      <c r="AI825">
        <v>172</v>
      </c>
      <c r="AJ825">
        <v>3</v>
      </c>
      <c r="AK825">
        <v>76</v>
      </c>
      <c r="AL825" t="s">
        <v>1563</v>
      </c>
      <c r="AM825" t="s">
        <v>1564</v>
      </c>
      <c r="AN825" t="s">
        <v>10343</v>
      </c>
      <c r="AO825" t="s">
        <v>2538</v>
      </c>
      <c r="AP825" t="s">
        <v>2539</v>
      </c>
      <c r="AQ825" t="s">
        <v>74</v>
      </c>
      <c r="AR825" t="s">
        <v>2540</v>
      </c>
      <c r="AS825" t="s">
        <v>2541</v>
      </c>
      <c r="AT825" t="s">
        <v>14185</v>
      </c>
      <c r="AU825">
        <v>2014</v>
      </c>
      <c r="AV825">
        <v>27</v>
      </c>
      <c r="AW825">
        <v>21</v>
      </c>
      <c r="AX825" t="s">
        <v>74</v>
      </c>
      <c r="AY825" t="s">
        <v>74</v>
      </c>
      <c r="AZ825" t="s">
        <v>74</v>
      </c>
      <c r="BA825" t="s">
        <v>74</v>
      </c>
      <c r="BB825">
        <v>8070</v>
      </c>
      <c r="BC825">
        <v>8093</v>
      </c>
      <c r="BD825" t="s">
        <v>74</v>
      </c>
      <c r="BE825" t="s">
        <v>15597</v>
      </c>
      <c r="BF825" t="str">
        <f>HYPERLINK("http://dx.doi.org/10.1175/JCLI-D-13-00733.1","http://dx.doi.org/10.1175/JCLI-D-13-00733.1")</f>
        <v>http://dx.doi.org/10.1175/JCLI-D-13-00733.1</v>
      </c>
      <c r="BG825" t="s">
        <v>74</v>
      </c>
      <c r="BH825" t="s">
        <v>74</v>
      </c>
      <c r="BI825">
        <v>24</v>
      </c>
      <c r="BJ825" t="s">
        <v>226</v>
      </c>
      <c r="BK825" t="s">
        <v>91</v>
      </c>
      <c r="BL825" t="s">
        <v>226</v>
      </c>
      <c r="BM825" t="s">
        <v>14586</v>
      </c>
      <c r="BN825" t="s">
        <v>74</v>
      </c>
      <c r="BO825" t="s">
        <v>574</v>
      </c>
      <c r="BP825" t="s">
        <v>74</v>
      </c>
      <c r="BQ825" t="s">
        <v>74</v>
      </c>
      <c r="BR825" t="s">
        <v>93</v>
      </c>
      <c r="BS825" t="s">
        <v>15598</v>
      </c>
      <c r="BT825" t="str">
        <f>HYPERLINK("https%3A%2F%2Fwww.webofscience.com%2Fwos%2Fwoscc%2Ffull-record%2FWOS:000344131500007","View Full Record in Web of Science")</f>
        <v>View Full Record in Web of Science</v>
      </c>
    </row>
    <row r="826" spans="1:72" x14ac:dyDescent="0.15">
      <c r="A826" t="s">
        <v>72</v>
      </c>
      <c r="B826" t="s">
        <v>15599</v>
      </c>
      <c r="C826" t="s">
        <v>74</v>
      </c>
      <c r="D826" t="s">
        <v>74</v>
      </c>
      <c r="E826" t="s">
        <v>74</v>
      </c>
      <c r="F826" t="s">
        <v>15600</v>
      </c>
      <c r="G826" t="s">
        <v>74</v>
      </c>
      <c r="H826" t="s">
        <v>74</v>
      </c>
      <c r="I826" t="s">
        <v>15601</v>
      </c>
      <c r="J826" t="s">
        <v>2036</v>
      </c>
      <c r="K826" t="s">
        <v>74</v>
      </c>
      <c r="L826" t="s">
        <v>74</v>
      </c>
      <c r="M826" t="s">
        <v>78</v>
      </c>
      <c r="N826" t="s">
        <v>454</v>
      </c>
      <c r="O826" t="s">
        <v>74</v>
      </c>
      <c r="P826" t="s">
        <v>74</v>
      </c>
      <c r="Q826" t="s">
        <v>74</v>
      </c>
      <c r="R826" t="s">
        <v>74</v>
      </c>
      <c r="S826" t="s">
        <v>74</v>
      </c>
      <c r="T826" t="s">
        <v>15602</v>
      </c>
      <c r="U826" t="s">
        <v>15603</v>
      </c>
      <c r="V826" t="s">
        <v>15604</v>
      </c>
      <c r="W826" t="s">
        <v>15605</v>
      </c>
      <c r="X826" t="s">
        <v>15606</v>
      </c>
      <c r="Y826" t="s">
        <v>15607</v>
      </c>
      <c r="Z826" t="s">
        <v>15608</v>
      </c>
      <c r="AA826" t="s">
        <v>15609</v>
      </c>
      <c r="AB826" t="s">
        <v>15610</v>
      </c>
      <c r="AC826" t="s">
        <v>15611</v>
      </c>
      <c r="AD826" t="s">
        <v>15612</v>
      </c>
      <c r="AE826" t="s">
        <v>15613</v>
      </c>
      <c r="AF826" t="s">
        <v>74</v>
      </c>
      <c r="AG826">
        <v>147</v>
      </c>
      <c r="AH826">
        <v>100</v>
      </c>
      <c r="AI826">
        <v>110</v>
      </c>
      <c r="AJ826">
        <v>0</v>
      </c>
      <c r="AK826">
        <v>86</v>
      </c>
      <c r="AL826" t="s">
        <v>1945</v>
      </c>
      <c r="AM826" t="s">
        <v>1946</v>
      </c>
      <c r="AN826" t="s">
        <v>1947</v>
      </c>
      <c r="AO826" t="s">
        <v>2049</v>
      </c>
      <c r="AP826" t="s">
        <v>2050</v>
      </c>
      <c r="AQ826" t="s">
        <v>74</v>
      </c>
      <c r="AR826" t="s">
        <v>2051</v>
      </c>
      <c r="AS826" t="s">
        <v>2052</v>
      </c>
      <c r="AT826" t="s">
        <v>13619</v>
      </c>
      <c r="AU826">
        <v>2014</v>
      </c>
      <c r="AV826">
        <v>119</v>
      </c>
      <c r="AW826">
        <v>11</v>
      </c>
      <c r="AX826" t="s">
        <v>74</v>
      </c>
      <c r="AY826" t="s">
        <v>74</v>
      </c>
      <c r="AZ826" t="s">
        <v>74</v>
      </c>
      <c r="BA826" t="s">
        <v>74</v>
      </c>
      <c r="BB826">
        <v>7660</v>
      </c>
      <c r="BC826">
        <v>7686</v>
      </c>
      <c r="BD826" t="s">
        <v>74</v>
      </c>
      <c r="BE826" t="s">
        <v>15614</v>
      </c>
      <c r="BF826" t="str">
        <f>HYPERLINK("http://dx.doi.org/10.1002/2013JC009678","http://dx.doi.org/10.1002/2013JC009678")</f>
        <v>http://dx.doi.org/10.1002/2013JC009678</v>
      </c>
      <c r="BG826" t="s">
        <v>74</v>
      </c>
      <c r="BH826" t="s">
        <v>74</v>
      </c>
      <c r="BI826">
        <v>27</v>
      </c>
      <c r="BJ826" t="s">
        <v>2054</v>
      </c>
      <c r="BK826" t="s">
        <v>91</v>
      </c>
      <c r="BL826" t="s">
        <v>2054</v>
      </c>
      <c r="BM826" t="s">
        <v>14060</v>
      </c>
      <c r="BN826" t="s">
        <v>74</v>
      </c>
      <c r="BO826" t="s">
        <v>2056</v>
      </c>
      <c r="BP826" t="s">
        <v>74</v>
      </c>
      <c r="BQ826" t="s">
        <v>74</v>
      </c>
      <c r="BR826" t="s">
        <v>93</v>
      </c>
      <c r="BS826" t="s">
        <v>15615</v>
      </c>
      <c r="BT826" t="str">
        <f>HYPERLINK("https%3A%2F%2Fwww.webofscience.com%2Fwos%2Fwoscc%2Ffull-record%2FWOS:000346102900017","View Full Record in Web of Science")</f>
        <v>View Full Record in Web of Science</v>
      </c>
    </row>
    <row r="827" spans="1:72" x14ac:dyDescent="0.15">
      <c r="A827" t="s">
        <v>72</v>
      </c>
      <c r="B827" t="s">
        <v>15616</v>
      </c>
      <c r="C827" t="s">
        <v>74</v>
      </c>
      <c r="D827" t="s">
        <v>74</v>
      </c>
      <c r="E827" t="s">
        <v>74</v>
      </c>
      <c r="F827" t="s">
        <v>15617</v>
      </c>
      <c r="G827" t="s">
        <v>74</v>
      </c>
      <c r="H827" t="s">
        <v>74</v>
      </c>
      <c r="I827" t="s">
        <v>15618</v>
      </c>
      <c r="J827" t="s">
        <v>2036</v>
      </c>
      <c r="K827" t="s">
        <v>74</v>
      </c>
      <c r="L827" t="s">
        <v>74</v>
      </c>
      <c r="M827" t="s">
        <v>78</v>
      </c>
      <c r="N827" t="s">
        <v>99</v>
      </c>
      <c r="O827" t="s">
        <v>74</v>
      </c>
      <c r="P827" t="s">
        <v>74</v>
      </c>
      <c r="Q827" t="s">
        <v>74</v>
      </c>
      <c r="R827" t="s">
        <v>74</v>
      </c>
      <c r="S827" t="s">
        <v>74</v>
      </c>
      <c r="T827" t="s">
        <v>15619</v>
      </c>
      <c r="U827" t="s">
        <v>15620</v>
      </c>
      <c r="V827" t="s">
        <v>15621</v>
      </c>
      <c r="W827" t="s">
        <v>15622</v>
      </c>
      <c r="X827" t="s">
        <v>15623</v>
      </c>
      <c r="Y827" t="s">
        <v>15624</v>
      </c>
      <c r="Z827" t="s">
        <v>15625</v>
      </c>
      <c r="AA827" t="s">
        <v>15626</v>
      </c>
      <c r="AB827" t="s">
        <v>15627</v>
      </c>
      <c r="AC827" t="s">
        <v>15628</v>
      </c>
      <c r="AD827" t="s">
        <v>4423</v>
      </c>
      <c r="AE827" t="s">
        <v>15629</v>
      </c>
      <c r="AF827" t="s">
        <v>74</v>
      </c>
      <c r="AG827">
        <v>42</v>
      </c>
      <c r="AH827">
        <v>19</v>
      </c>
      <c r="AI827">
        <v>19</v>
      </c>
      <c r="AJ827">
        <v>0</v>
      </c>
      <c r="AK827">
        <v>18</v>
      </c>
      <c r="AL827" t="s">
        <v>1945</v>
      </c>
      <c r="AM827" t="s">
        <v>1946</v>
      </c>
      <c r="AN827" t="s">
        <v>1947</v>
      </c>
      <c r="AO827" t="s">
        <v>2049</v>
      </c>
      <c r="AP827" t="s">
        <v>2050</v>
      </c>
      <c r="AQ827" t="s">
        <v>74</v>
      </c>
      <c r="AR827" t="s">
        <v>2051</v>
      </c>
      <c r="AS827" t="s">
        <v>2052</v>
      </c>
      <c r="AT827" t="s">
        <v>13619</v>
      </c>
      <c r="AU827">
        <v>2014</v>
      </c>
      <c r="AV827">
        <v>119</v>
      </c>
      <c r="AW827">
        <v>11</v>
      </c>
      <c r="AX827" t="s">
        <v>74</v>
      </c>
      <c r="AY827" t="s">
        <v>74</v>
      </c>
      <c r="AZ827" t="s">
        <v>74</v>
      </c>
      <c r="BA827" t="s">
        <v>74</v>
      </c>
      <c r="BB827">
        <v>7987</v>
      </c>
      <c r="BC827">
        <v>8010</v>
      </c>
      <c r="BD827" t="s">
        <v>74</v>
      </c>
      <c r="BE827" t="s">
        <v>15630</v>
      </c>
      <c r="BF827" t="str">
        <f>HYPERLINK("http://dx.doi.org/10.1002/2014JC010097","http://dx.doi.org/10.1002/2014JC010097")</f>
        <v>http://dx.doi.org/10.1002/2014JC010097</v>
      </c>
      <c r="BG827" t="s">
        <v>74</v>
      </c>
      <c r="BH827" t="s">
        <v>74</v>
      </c>
      <c r="BI827">
        <v>24</v>
      </c>
      <c r="BJ827" t="s">
        <v>2054</v>
      </c>
      <c r="BK827" t="s">
        <v>91</v>
      </c>
      <c r="BL827" t="s">
        <v>2054</v>
      </c>
      <c r="BM827" t="s">
        <v>14060</v>
      </c>
      <c r="BN827" t="s">
        <v>74</v>
      </c>
      <c r="BO827" t="s">
        <v>10998</v>
      </c>
      <c r="BP827" t="s">
        <v>74</v>
      </c>
      <c r="BQ827" t="s">
        <v>74</v>
      </c>
      <c r="BR827" t="s">
        <v>93</v>
      </c>
      <c r="BS827" t="s">
        <v>15631</v>
      </c>
      <c r="BT827" t="str">
        <f>HYPERLINK("https%3A%2F%2Fwww.webofscience.com%2Fwos%2Fwoscc%2Ffull-record%2FWOS:000346102900036","View Full Record in Web of Science")</f>
        <v>View Full Record in Web of Science</v>
      </c>
    </row>
    <row r="828" spans="1:72" x14ac:dyDescent="0.15">
      <c r="A828" t="s">
        <v>72</v>
      </c>
      <c r="B828" t="s">
        <v>15632</v>
      </c>
      <c r="C828" t="s">
        <v>74</v>
      </c>
      <c r="D828" t="s">
        <v>74</v>
      </c>
      <c r="E828" t="s">
        <v>74</v>
      </c>
      <c r="F828" t="s">
        <v>15633</v>
      </c>
      <c r="G828" t="s">
        <v>74</v>
      </c>
      <c r="H828" t="s">
        <v>74</v>
      </c>
      <c r="I828" t="s">
        <v>15634</v>
      </c>
      <c r="J828" t="s">
        <v>2061</v>
      </c>
      <c r="K828" t="s">
        <v>74</v>
      </c>
      <c r="L828" t="s">
        <v>74</v>
      </c>
      <c r="M828" t="s">
        <v>78</v>
      </c>
      <c r="N828" t="s">
        <v>99</v>
      </c>
      <c r="O828" t="s">
        <v>74</v>
      </c>
      <c r="P828" t="s">
        <v>74</v>
      </c>
      <c r="Q828" t="s">
        <v>74</v>
      </c>
      <c r="R828" t="s">
        <v>74</v>
      </c>
      <c r="S828" t="s">
        <v>74</v>
      </c>
      <c r="T828" t="s">
        <v>15635</v>
      </c>
      <c r="U828" t="s">
        <v>15636</v>
      </c>
      <c r="V828" t="s">
        <v>15637</v>
      </c>
      <c r="W828" t="s">
        <v>15638</v>
      </c>
      <c r="X828" t="s">
        <v>15639</v>
      </c>
      <c r="Y828" t="s">
        <v>15640</v>
      </c>
      <c r="Z828" t="s">
        <v>15641</v>
      </c>
      <c r="AA828" t="s">
        <v>15642</v>
      </c>
      <c r="AB828" t="s">
        <v>15643</v>
      </c>
      <c r="AC828" t="s">
        <v>15644</v>
      </c>
      <c r="AD828" t="s">
        <v>15645</v>
      </c>
      <c r="AE828" t="s">
        <v>15646</v>
      </c>
      <c r="AF828" t="s">
        <v>74</v>
      </c>
      <c r="AG828">
        <v>57</v>
      </c>
      <c r="AH828">
        <v>17</v>
      </c>
      <c r="AI828">
        <v>17</v>
      </c>
      <c r="AJ828">
        <v>0</v>
      </c>
      <c r="AK828">
        <v>6</v>
      </c>
      <c r="AL828" t="s">
        <v>1945</v>
      </c>
      <c r="AM828" t="s">
        <v>1946</v>
      </c>
      <c r="AN828" t="s">
        <v>1947</v>
      </c>
      <c r="AO828" t="s">
        <v>2074</v>
      </c>
      <c r="AP828" t="s">
        <v>2075</v>
      </c>
      <c r="AQ828" t="s">
        <v>74</v>
      </c>
      <c r="AR828" t="s">
        <v>2076</v>
      </c>
      <c r="AS828" t="s">
        <v>2077</v>
      </c>
      <c r="AT828" t="s">
        <v>13619</v>
      </c>
      <c r="AU828">
        <v>2014</v>
      </c>
      <c r="AV828">
        <v>119</v>
      </c>
      <c r="AW828">
        <v>11</v>
      </c>
      <c r="AX828" t="s">
        <v>74</v>
      </c>
      <c r="AY828" t="s">
        <v>74</v>
      </c>
      <c r="AZ828" t="s">
        <v>74</v>
      </c>
      <c r="BA828" t="s">
        <v>74</v>
      </c>
      <c r="BB828">
        <v>8784</v>
      </c>
      <c r="BC828">
        <v>8800</v>
      </c>
      <c r="BD828" t="s">
        <v>74</v>
      </c>
      <c r="BE828" t="s">
        <v>15647</v>
      </c>
      <c r="BF828" t="str">
        <f>HYPERLINK("http://dx.doi.org/10.1002/2014JA020446","http://dx.doi.org/10.1002/2014JA020446")</f>
        <v>http://dx.doi.org/10.1002/2014JA020446</v>
      </c>
      <c r="BG828" t="s">
        <v>74</v>
      </c>
      <c r="BH828" t="s">
        <v>74</v>
      </c>
      <c r="BI828">
        <v>17</v>
      </c>
      <c r="BJ828" t="s">
        <v>2079</v>
      </c>
      <c r="BK828" t="s">
        <v>91</v>
      </c>
      <c r="BL828" t="s">
        <v>2079</v>
      </c>
      <c r="BM828" t="s">
        <v>15648</v>
      </c>
      <c r="BN828" t="s">
        <v>74</v>
      </c>
      <c r="BO828" t="s">
        <v>4631</v>
      </c>
      <c r="BP828" t="s">
        <v>74</v>
      </c>
      <c r="BQ828" t="s">
        <v>74</v>
      </c>
      <c r="BR828" t="s">
        <v>93</v>
      </c>
      <c r="BS828" t="s">
        <v>15649</v>
      </c>
      <c r="BT828" t="str">
        <f>HYPERLINK("https%3A%2F%2Fwww.webofscience.com%2Fwos%2Fwoscc%2Ffull-record%2FWOS:000346792100005","View Full Record in Web of Science")</f>
        <v>View Full Record in Web of Science</v>
      </c>
    </row>
    <row r="829" spans="1:72" x14ac:dyDescent="0.15">
      <c r="A829" t="s">
        <v>72</v>
      </c>
      <c r="B829" t="s">
        <v>15650</v>
      </c>
      <c r="C829" t="s">
        <v>74</v>
      </c>
      <c r="D829" t="s">
        <v>74</v>
      </c>
      <c r="E829" t="s">
        <v>74</v>
      </c>
      <c r="F829" t="s">
        <v>15651</v>
      </c>
      <c r="G829" t="s">
        <v>74</v>
      </c>
      <c r="H829" t="s">
        <v>74</v>
      </c>
      <c r="I829" t="s">
        <v>15652</v>
      </c>
      <c r="J829" t="s">
        <v>2061</v>
      </c>
      <c r="K829" t="s">
        <v>74</v>
      </c>
      <c r="L829" t="s">
        <v>74</v>
      </c>
      <c r="M829" t="s">
        <v>78</v>
      </c>
      <c r="N829" t="s">
        <v>99</v>
      </c>
      <c r="O829" t="s">
        <v>74</v>
      </c>
      <c r="P829" t="s">
        <v>74</v>
      </c>
      <c r="Q829" t="s">
        <v>74</v>
      </c>
      <c r="R829" t="s">
        <v>74</v>
      </c>
      <c r="S829" t="s">
        <v>74</v>
      </c>
      <c r="T829" t="s">
        <v>15653</v>
      </c>
      <c r="U829" t="s">
        <v>15654</v>
      </c>
      <c r="V829" t="s">
        <v>15655</v>
      </c>
      <c r="W829" t="s">
        <v>15656</v>
      </c>
      <c r="X829" t="s">
        <v>15657</v>
      </c>
      <c r="Y829" t="s">
        <v>15658</v>
      </c>
      <c r="Z829" t="s">
        <v>15659</v>
      </c>
      <c r="AA829" t="s">
        <v>15660</v>
      </c>
      <c r="AB829" t="s">
        <v>15661</v>
      </c>
      <c r="AC829" t="s">
        <v>15662</v>
      </c>
      <c r="AD829" t="s">
        <v>15663</v>
      </c>
      <c r="AE829" t="s">
        <v>15664</v>
      </c>
      <c r="AF829" t="s">
        <v>74</v>
      </c>
      <c r="AG829">
        <v>84</v>
      </c>
      <c r="AH829">
        <v>136</v>
      </c>
      <c r="AI829">
        <v>140</v>
      </c>
      <c r="AJ829">
        <v>0</v>
      </c>
      <c r="AK829">
        <v>15</v>
      </c>
      <c r="AL829" t="s">
        <v>1945</v>
      </c>
      <c r="AM829" t="s">
        <v>1946</v>
      </c>
      <c r="AN829" t="s">
        <v>1947</v>
      </c>
      <c r="AO829" t="s">
        <v>2074</v>
      </c>
      <c r="AP829" t="s">
        <v>2075</v>
      </c>
      <c r="AQ829" t="s">
        <v>74</v>
      </c>
      <c r="AR829" t="s">
        <v>2076</v>
      </c>
      <c r="AS829" t="s">
        <v>2077</v>
      </c>
      <c r="AT829" t="s">
        <v>13619</v>
      </c>
      <c r="AU829">
        <v>2014</v>
      </c>
      <c r="AV829">
        <v>119</v>
      </c>
      <c r="AW829">
        <v>11</v>
      </c>
      <c r="AX829" t="s">
        <v>74</v>
      </c>
      <c r="AY829" t="s">
        <v>74</v>
      </c>
      <c r="AZ829" t="s">
        <v>74</v>
      </c>
      <c r="BA829" t="s">
        <v>74</v>
      </c>
      <c r="BB829">
        <v>8820</v>
      </c>
      <c r="BC829">
        <v>8837</v>
      </c>
      <c r="BD829" t="s">
        <v>74</v>
      </c>
      <c r="BE829" t="s">
        <v>15665</v>
      </c>
      <c r="BF829" t="str">
        <f>HYPERLINK("http://dx.doi.org/10.1002/2014JA020366","http://dx.doi.org/10.1002/2014JA020366")</f>
        <v>http://dx.doi.org/10.1002/2014JA020366</v>
      </c>
      <c r="BG829" t="s">
        <v>74</v>
      </c>
      <c r="BH829" t="s">
        <v>74</v>
      </c>
      <c r="BI829">
        <v>18</v>
      </c>
      <c r="BJ829" t="s">
        <v>2079</v>
      </c>
      <c r="BK829" t="s">
        <v>91</v>
      </c>
      <c r="BL829" t="s">
        <v>2079</v>
      </c>
      <c r="BM829" t="s">
        <v>15648</v>
      </c>
      <c r="BN829" t="s">
        <v>74</v>
      </c>
      <c r="BO829" t="s">
        <v>991</v>
      </c>
      <c r="BP829" t="s">
        <v>74</v>
      </c>
      <c r="BQ829" t="s">
        <v>74</v>
      </c>
      <c r="BR829" t="s">
        <v>93</v>
      </c>
      <c r="BS829" t="s">
        <v>15666</v>
      </c>
      <c r="BT829" t="str">
        <f>HYPERLINK("https%3A%2F%2Fwww.webofscience.com%2Fwos%2Fwoscc%2Ffull-record%2FWOS:000346792100008","View Full Record in Web of Science")</f>
        <v>View Full Record in Web of Science</v>
      </c>
    </row>
    <row r="830" spans="1:72" x14ac:dyDescent="0.15">
      <c r="A830" t="s">
        <v>72</v>
      </c>
      <c r="B830" t="s">
        <v>15667</v>
      </c>
      <c r="C830" t="s">
        <v>74</v>
      </c>
      <c r="D830" t="s">
        <v>74</v>
      </c>
      <c r="E830" t="s">
        <v>74</v>
      </c>
      <c r="F830" t="s">
        <v>15668</v>
      </c>
      <c r="G830" t="s">
        <v>74</v>
      </c>
      <c r="H830" t="s">
        <v>74</v>
      </c>
      <c r="I830" t="s">
        <v>15669</v>
      </c>
      <c r="J830" t="s">
        <v>2061</v>
      </c>
      <c r="K830" t="s">
        <v>74</v>
      </c>
      <c r="L830" t="s">
        <v>74</v>
      </c>
      <c r="M830" t="s">
        <v>78</v>
      </c>
      <c r="N830" t="s">
        <v>99</v>
      </c>
      <c r="O830" t="s">
        <v>74</v>
      </c>
      <c r="P830" t="s">
        <v>74</v>
      </c>
      <c r="Q830" t="s">
        <v>74</v>
      </c>
      <c r="R830" t="s">
        <v>74</v>
      </c>
      <c r="S830" t="s">
        <v>74</v>
      </c>
      <c r="T830" t="s">
        <v>15670</v>
      </c>
      <c r="U830" t="s">
        <v>15671</v>
      </c>
      <c r="V830" t="s">
        <v>15672</v>
      </c>
      <c r="W830" t="s">
        <v>15673</v>
      </c>
      <c r="X830" t="s">
        <v>15674</v>
      </c>
      <c r="Y830" t="s">
        <v>15675</v>
      </c>
      <c r="Z830" t="s">
        <v>15676</v>
      </c>
      <c r="AA830" t="s">
        <v>15677</v>
      </c>
      <c r="AB830" t="s">
        <v>15678</v>
      </c>
      <c r="AC830" t="s">
        <v>15679</v>
      </c>
      <c r="AD830" t="s">
        <v>15680</v>
      </c>
      <c r="AE830" t="s">
        <v>15681</v>
      </c>
      <c r="AF830" t="s">
        <v>74</v>
      </c>
      <c r="AG830">
        <v>29</v>
      </c>
      <c r="AH830">
        <v>27</v>
      </c>
      <c r="AI830">
        <v>27</v>
      </c>
      <c r="AJ830">
        <v>0</v>
      </c>
      <c r="AK830">
        <v>3</v>
      </c>
      <c r="AL830" t="s">
        <v>1945</v>
      </c>
      <c r="AM830" t="s">
        <v>1946</v>
      </c>
      <c r="AN830" t="s">
        <v>1947</v>
      </c>
      <c r="AO830" t="s">
        <v>2074</v>
      </c>
      <c r="AP830" t="s">
        <v>2075</v>
      </c>
      <c r="AQ830" t="s">
        <v>74</v>
      </c>
      <c r="AR830" t="s">
        <v>2076</v>
      </c>
      <c r="AS830" t="s">
        <v>2077</v>
      </c>
      <c r="AT830" t="s">
        <v>13619</v>
      </c>
      <c r="AU830">
        <v>2014</v>
      </c>
      <c r="AV830">
        <v>119</v>
      </c>
      <c r="AW830">
        <v>11</v>
      </c>
      <c r="AX830" t="s">
        <v>74</v>
      </c>
      <c r="AY830" t="s">
        <v>74</v>
      </c>
      <c r="AZ830" t="s">
        <v>74</v>
      </c>
      <c r="BA830" t="s">
        <v>74</v>
      </c>
      <c r="BB830">
        <v>9101</v>
      </c>
      <c r="BC830">
        <v>9112</v>
      </c>
      <c r="BD830" t="s">
        <v>74</v>
      </c>
      <c r="BE830" t="s">
        <v>15682</v>
      </c>
      <c r="BF830" t="str">
        <f>HYPERLINK("http://dx.doi.org/10.1002/2014JA020321","http://dx.doi.org/10.1002/2014JA020321")</f>
        <v>http://dx.doi.org/10.1002/2014JA020321</v>
      </c>
      <c r="BG830" t="s">
        <v>74</v>
      </c>
      <c r="BH830" t="s">
        <v>74</v>
      </c>
      <c r="BI830">
        <v>12</v>
      </c>
      <c r="BJ830" t="s">
        <v>2079</v>
      </c>
      <c r="BK830" t="s">
        <v>91</v>
      </c>
      <c r="BL830" t="s">
        <v>2079</v>
      </c>
      <c r="BM830" t="s">
        <v>15648</v>
      </c>
      <c r="BN830" t="s">
        <v>74</v>
      </c>
      <c r="BO830" t="s">
        <v>74</v>
      </c>
      <c r="BP830" t="s">
        <v>74</v>
      </c>
      <c r="BQ830" t="s">
        <v>74</v>
      </c>
      <c r="BR830" t="s">
        <v>93</v>
      </c>
      <c r="BS830" t="s">
        <v>15683</v>
      </c>
      <c r="BT830" t="str">
        <f>HYPERLINK("https%3A%2F%2Fwww.webofscience.com%2Fwos%2Fwoscc%2Ffull-record%2FWOS:000346792100027","View Full Record in Web of Science")</f>
        <v>View Full Record in Web of Science</v>
      </c>
    </row>
    <row r="831" spans="1:72" x14ac:dyDescent="0.15">
      <c r="A831" t="s">
        <v>72</v>
      </c>
      <c r="B831" t="s">
        <v>15684</v>
      </c>
      <c r="C831" t="s">
        <v>74</v>
      </c>
      <c r="D831" t="s">
        <v>74</v>
      </c>
      <c r="E831" t="s">
        <v>74</v>
      </c>
      <c r="F831" t="s">
        <v>15685</v>
      </c>
      <c r="G831" t="s">
        <v>74</v>
      </c>
      <c r="H831" t="s">
        <v>74</v>
      </c>
      <c r="I831" t="s">
        <v>15686</v>
      </c>
      <c r="J831" t="s">
        <v>2840</v>
      </c>
      <c r="K831" t="s">
        <v>74</v>
      </c>
      <c r="L831" t="s">
        <v>74</v>
      </c>
      <c r="M831" t="s">
        <v>78</v>
      </c>
      <c r="N831" t="s">
        <v>99</v>
      </c>
      <c r="O831" t="s">
        <v>74</v>
      </c>
      <c r="P831" t="s">
        <v>74</v>
      </c>
      <c r="Q831" t="s">
        <v>74</v>
      </c>
      <c r="R831" t="s">
        <v>74</v>
      </c>
      <c r="S831" t="s">
        <v>74</v>
      </c>
      <c r="T831" t="s">
        <v>74</v>
      </c>
      <c r="U831" t="s">
        <v>15687</v>
      </c>
      <c r="V831" t="s">
        <v>15688</v>
      </c>
      <c r="W831" t="s">
        <v>15689</v>
      </c>
      <c r="X831" t="s">
        <v>15690</v>
      </c>
      <c r="Y831" t="s">
        <v>15691</v>
      </c>
      <c r="Z831" t="s">
        <v>15692</v>
      </c>
      <c r="AA831" t="s">
        <v>15693</v>
      </c>
      <c r="AB831" t="s">
        <v>15694</v>
      </c>
      <c r="AC831" t="s">
        <v>15695</v>
      </c>
      <c r="AD831" t="s">
        <v>15696</v>
      </c>
      <c r="AE831" t="s">
        <v>15697</v>
      </c>
      <c r="AF831" t="s">
        <v>74</v>
      </c>
      <c r="AG831">
        <v>31</v>
      </c>
      <c r="AH831">
        <v>60</v>
      </c>
      <c r="AI831">
        <v>66</v>
      </c>
      <c r="AJ831">
        <v>0</v>
      </c>
      <c r="AK831">
        <v>25</v>
      </c>
      <c r="AL831" t="s">
        <v>1563</v>
      </c>
      <c r="AM831" t="s">
        <v>1564</v>
      </c>
      <c r="AN831" t="s">
        <v>10343</v>
      </c>
      <c r="AO831" t="s">
        <v>2852</v>
      </c>
      <c r="AP831" t="s">
        <v>2853</v>
      </c>
      <c r="AQ831" t="s">
        <v>74</v>
      </c>
      <c r="AR831" t="s">
        <v>2854</v>
      </c>
      <c r="AS831" t="s">
        <v>2855</v>
      </c>
      <c r="AT831" t="s">
        <v>13619</v>
      </c>
      <c r="AU831">
        <v>2014</v>
      </c>
      <c r="AV831">
        <v>44</v>
      </c>
      <c r="AW831">
        <v>11</v>
      </c>
      <c r="AX831" t="s">
        <v>74</v>
      </c>
      <c r="AY831" t="s">
        <v>74</v>
      </c>
      <c r="AZ831" t="s">
        <v>74</v>
      </c>
      <c r="BA831" t="s">
        <v>74</v>
      </c>
      <c r="BB831">
        <v>2938</v>
      </c>
      <c r="BC831">
        <v>2950</v>
      </c>
      <c r="BD831" t="s">
        <v>74</v>
      </c>
      <c r="BE831" t="s">
        <v>15698</v>
      </c>
      <c r="BF831" t="str">
        <f>HYPERLINK("http://dx.doi.org/10.1175/JPO-D-13-0201.1","http://dx.doi.org/10.1175/JPO-D-13-0201.1")</f>
        <v>http://dx.doi.org/10.1175/JPO-D-13-0201.1</v>
      </c>
      <c r="BG831" t="s">
        <v>74</v>
      </c>
      <c r="BH831" t="s">
        <v>74</v>
      </c>
      <c r="BI831">
        <v>13</v>
      </c>
      <c r="BJ831" t="s">
        <v>2054</v>
      </c>
      <c r="BK831" t="s">
        <v>91</v>
      </c>
      <c r="BL831" t="s">
        <v>2054</v>
      </c>
      <c r="BM831" t="s">
        <v>14463</v>
      </c>
      <c r="BN831" t="s">
        <v>74</v>
      </c>
      <c r="BO831" t="s">
        <v>13819</v>
      </c>
      <c r="BP831" t="s">
        <v>74</v>
      </c>
      <c r="BQ831" t="s">
        <v>74</v>
      </c>
      <c r="BR831" t="s">
        <v>93</v>
      </c>
      <c r="BS831" t="s">
        <v>15699</v>
      </c>
      <c r="BT831" t="str">
        <f>HYPERLINK("https%3A%2F%2Fwww.webofscience.com%2Fwos%2Fwoscc%2Ffull-record%2FWOS:000344718000008","View Full Record in Web of Science")</f>
        <v>View Full Record in Web of Science</v>
      </c>
    </row>
    <row r="832" spans="1:72" x14ac:dyDescent="0.15">
      <c r="A832" t="s">
        <v>72</v>
      </c>
      <c r="B832" t="s">
        <v>15700</v>
      </c>
      <c r="C832" t="s">
        <v>74</v>
      </c>
      <c r="D832" t="s">
        <v>74</v>
      </c>
      <c r="E832" t="s">
        <v>74</v>
      </c>
      <c r="F832" t="s">
        <v>15701</v>
      </c>
      <c r="G832" t="s">
        <v>74</v>
      </c>
      <c r="H832" t="s">
        <v>74</v>
      </c>
      <c r="I832" t="s">
        <v>15702</v>
      </c>
      <c r="J832" t="s">
        <v>15703</v>
      </c>
      <c r="K832" t="s">
        <v>74</v>
      </c>
      <c r="L832" t="s">
        <v>74</v>
      </c>
      <c r="M832" t="s">
        <v>78</v>
      </c>
      <c r="N832" t="s">
        <v>99</v>
      </c>
      <c r="O832" t="s">
        <v>74</v>
      </c>
      <c r="P832" t="s">
        <v>74</v>
      </c>
      <c r="Q832" t="s">
        <v>74</v>
      </c>
      <c r="R832" t="s">
        <v>74</v>
      </c>
      <c r="S832" t="s">
        <v>74</v>
      </c>
      <c r="T832" t="s">
        <v>74</v>
      </c>
      <c r="U832" t="s">
        <v>15704</v>
      </c>
      <c r="V832" t="s">
        <v>15705</v>
      </c>
      <c r="W832" t="s">
        <v>15706</v>
      </c>
      <c r="X832" t="s">
        <v>15707</v>
      </c>
      <c r="Y832" t="s">
        <v>15708</v>
      </c>
      <c r="Z832" t="s">
        <v>15709</v>
      </c>
      <c r="AA832" t="s">
        <v>15710</v>
      </c>
      <c r="AB832" t="s">
        <v>15711</v>
      </c>
      <c r="AC832" t="s">
        <v>15712</v>
      </c>
      <c r="AD832" t="s">
        <v>15713</v>
      </c>
      <c r="AE832" t="s">
        <v>15714</v>
      </c>
      <c r="AF832" t="s">
        <v>74</v>
      </c>
      <c r="AG832">
        <v>91</v>
      </c>
      <c r="AH832">
        <v>26</v>
      </c>
      <c r="AI832">
        <v>26</v>
      </c>
      <c r="AJ832">
        <v>0</v>
      </c>
      <c r="AK832">
        <v>17</v>
      </c>
      <c r="AL832" t="s">
        <v>15715</v>
      </c>
      <c r="AM832" t="s">
        <v>928</v>
      </c>
      <c r="AN832" t="s">
        <v>15716</v>
      </c>
      <c r="AO832" t="s">
        <v>15717</v>
      </c>
      <c r="AP832" t="s">
        <v>15718</v>
      </c>
      <c r="AQ832" t="s">
        <v>74</v>
      </c>
      <c r="AR832" t="s">
        <v>15719</v>
      </c>
      <c r="AS832" t="s">
        <v>15720</v>
      </c>
      <c r="AT832" t="s">
        <v>13619</v>
      </c>
      <c r="AU832">
        <v>2014</v>
      </c>
      <c r="AV832">
        <v>171</v>
      </c>
      <c r="AW832">
        <v>6</v>
      </c>
      <c r="AX832" t="s">
        <v>74</v>
      </c>
      <c r="AY832" t="s">
        <v>74</v>
      </c>
      <c r="AZ832" t="s">
        <v>74</v>
      </c>
      <c r="BA832" t="s">
        <v>74</v>
      </c>
      <c r="BB832">
        <v>765</v>
      </c>
      <c r="BC832">
        <v>778</v>
      </c>
      <c r="BD832" t="s">
        <v>74</v>
      </c>
      <c r="BE832" t="s">
        <v>15721</v>
      </c>
      <c r="BF832" t="str">
        <f>HYPERLINK("http://dx.doi.org/10.1144/jgs2014-015","http://dx.doi.org/10.1144/jgs2014-015")</f>
        <v>http://dx.doi.org/10.1144/jgs2014-015</v>
      </c>
      <c r="BG832" t="s">
        <v>74</v>
      </c>
      <c r="BH832" t="s">
        <v>74</v>
      </c>
      <c r="BI832">
        <v>14</v>
      </c>
      <c r="BJ832" t="s">
        <v>1953</v>
      </c>
      <c r="BK832" t="s">
        <v>91</v>
      </c>
      <c r="BL832" t="s">
        <v>1954</v>
      </c>
      <c r="BM832" t="s">
        <v>15722</v>
      </c>
      <c r="BN832" t="s">
        <v>74</v>
      </c>
      <c r="BO832" t="s">
        <v>74</v>
      </c>
      <c r="BP832" t="s">
        <v>74</v>
      </c>
      <c r="BQ832" t="s">
        <v>74</v>
      </c>
      <c r="BR832" t="s">
        <v>93</v>
      </c>
      <c r="BS832" t="s">
        <v>15723</v>
      </c>
      <c r="BT832" t="str">
        <f>HYPERLINK("https%3A%2F%2Fwww.webofscience.com%2Fwos%2Fwoscc%2Ffull-record%2FWOS:000345012800003","View Full Record in Web of Science")</f>
        <v>View Full Record in Web of Science</v>
      </c>
    </row>
    <row r="833" spans="1:72" x14ac:dyDescent="0.15">
      <c r="A833" t="s">
        <v>72</v>
      </c>
      <c r="B833" t="s">
        <v>15724</v>
      </c>
      <c r="C833" t="s">
        <v>74</v>
      </c>
      <c r="D833" t="s">
        <v>74</v>
      </c>
      <c r="E833" t="s">
        <v>74</v>
      </c>
      <c r="F833" t="s">
        <v>15725</v>
      </c>
      <c r="G833" t="s">
        <v>74</v>
      </c>
      <c r="H833" t="s">
        <v>74</v>
      </c>
      <c r="I833" t="s">
        <v>15726</v>
      </c>
      <c r="J833" t="s">
        <v>15727</v>
      </c>
      <c r="K833" t="s">
        <v>74</v>
      </c>
      <c r="L833" t="s">
        <v>74</v>
      </c>
      <c r="M833" t="s">
        <v>78</v>
      </c>
      <c r="N833" t="s">
        <v>5947</v>
      </c>
      <c r="O833" t="s">
        <v>74</v>
      </c>
      <c r="P833" t="s">
        <v>74</v>
      </c>
      <c r="Q833" t="s">
        <v>74</v>
      </c>
      <c r="R833" t="s">
        <v>74</v>
      </c>
      <c r="S833" t="s">
        <v>74</v>
      </c>
      <c r="T833" t="s">
        <v>74</v>
      </c>
      <c r="U833" t="s">
        <v>74</v>
      </c>
      <c r="V833" t="s">
        <v>74</v>
      </c>
      <c r="W833" t="s">
        <v>15728</v>
      </c>
      <c r="X833" t="s">
        <v>15729</v>
      </c>
      <c r="Y833" t="s">
        <v>15730</v>
      </c>
      <c r="Z833" t="s">
        <v>74</v>
      </c>
      <c r="AA833" t="s">
        <v>15731</v>
      </c>
      <c r="AB833" t="s">
        <v>15732</v>
      </c>
      <c r="AC833" t="s">
        <v>74</v>
      </c>
      <c r="AD833" t="s">
        <v>74</v>
      </c>
      <c r="AE833" t="s">
        <v>74</v>
      </c>
      <c r="AF833" t="s">
        <v>74</v>
      </c>
      <c r="AG833">
        <v>0</v>
      </c>
      <c r="AH833">
        <v>0</v>
      </c>
      <c r="AI833">
        <v>0</v>
      </c>
      <c r="AJ833">
        <v>0</v>
      </c>
      <c r="AK833">
        <v>1</v>
      </c>
      <c r="AL833" t="s">
        <v>15733</v>
      </c>
      <c r="AM833" t="s">
        <v>15541</v>
      </c>
      <c r="AN833" t="s">
        <v>15734</v>
      </c>
      <c r="AO833" t="s">
        <v>15735</v>
      </c>
      <c r="AP833" t="s">
        <v>15736</v>
      </c>
      <c r="AQ833" t="s">
        <v>74</v>
      </c>
      <c r="AR833" t="s">
        <v>15737</v>
      </c>
      <c r="AS833" t="s">
        <v>15738</v>
      </c>
      <c r="AT833" t="s">
        <v>13619</v>
      </c>
      <c r="AU833">
        <v>2014</v>
      </c>
      <c r="AV833">
        <v>84</v>
      </c>
      <c r="AW833">
        <v>5</v>
      </c>
      <c r="AX833" t="s">
        <v>74</v>
      </c>
      <c r="AY833" t="s">
        <v>74</v>
      </c>
      <c r="AZ833" t="s">
        <v>74</v>
      </c>
      <c r="BA833" t="s">
        <v>74</v>
      </c>
      <c r="BB833">
        <v>620</v>
      </c>
      <c r="BC833">
        <v>620</v>
      </c>
      <c r="BD833" t="s">
        <v>74</v>
      </c>
      <c r="BE833" t="s">
        <v>74</v>
      </c>
      <c r="BF833" t="s">
        <v>74</v>
      </c>
      <c r="BG833" t="s">
        <v>74</v>
      </c>
      <c r="BH833" t="s">
        <v>74</v>
      </c>
      <c r="BI833">
        <v>1</v>
      </c>
      <c r="BJ833" t="s">
        <v>1953</v>
      </c>
      <c r="BK833" t="s">
        <v>91</v>
      </c>
      <c r="BL833" t="s">
        <v>1954</v>
      </c>
      <c r="BM833" t="s">
        <v>15739</v>
      </c>
      <c r="BN833" t="s">
        <v>74</v>
      </c>
      <c r="BO833" t="s">
        <v>74</v>
      </c>
      <c r="BP833" t="s">
        <v>74</v>
      </c>
      <c r="BQ833" t="s">
        <v>74</v>
      </c>
      <c r="BR833" t="s">
        <v>93</v>
      </c>
      <c r="BS833" t="s">
        <v>15740</v>
      </c>
      <c r="BT833" t="str">
        <f>HYPERLINK("https%3A%2F%2Fwww.webofscience.com%2Fwos%2Fwoscc%2Ffull-record%2FWOS:000345287200014","View Full Record in Web of Science")</f>
        <v>View Full Record in Web of Science</v>
      </c>
    </row>
    <row r="834" spans="1:72" x14ac:dyDescent="0.15">
      <c r="A834" t="s">
        <v>72</v>
      </c>
      <c r="B834" t="s">
        <v>15741</v>
      </c>
      <c r="C834" t="s">
        <v>74</v>
      </c>
      <c r="D834" t="s">
        <v>74</v>
      </c>
      <c r="E834" t="s">
        <v>74</v>
      </c>
      <c r="F834" t="s">
        <v>15742</v>
      </c>
      <c r="G834" t="s">
        <v>74</v>
      </c>
      <c r="H834" t="s">
        <v>74</v>
      </c>
      <c r="I834" t="s">
        <v>15743</v>
      </c>
      <c r="J834" t="s">
        <v>15744</v>
      </c>
      <c r="K834" t="s">
        <v>74</v>
      </c>
      <c r="L834" t="s">
        <v>74</v>
      </c>
      <c r="M834" t="s">
        <v>78</v>
      </c>
      <c r="N834" t="s">
        <v>99</v>
      </c>
      <c r="O834" t="s">
        <v>74</v>
      </c>
      <c r="P834" t="s">
        <v>74</v>
      </c>
      <c r="Q834" t="s">
        <v>74</v>
      </c>
      <c r="R834" t="s">
        <v>74</v>
      </c>
      <c r="S834" t="s">
        <v>74</v>
      </c>
      <c r="T834" t="s">
        <v>15745</v>
      </c>
      <c r="U834" t="s">
        <v>15746</v>
      </c>
      <c r="V834" t="s">
        <v>15747</v>
      </c>
      <c r="W834" t="s">
        <v>15748</v>
      </c>
      <c r="X834" t="s">
        <v>15749</v>
      </c>
      <c r="Y834" t="s">
        <v>15750</v>
      </c>
      <c r="Z834" t="s">
        <v>15751</v>
      </c>
      <c r="AA834" t="s">
        <v>74</v>
      </c>
      <c r="AB834" t="s">
        <v>15752</v>
      </c>
      <c r="AC834" t="s">
        <v>15753</v>
      </c>
      <c r="AD834" t="s">
        <v>15754</v>
      </c>
      <c r="AE834" t="s">
        <v>15755</v>
      </c>
      <c r="AF834" t="s">
        <v>74</v>
      </c>
      <c r="AG834">
        <v>42</v>
      </c>
      <c r="AH834">
        <v>8</v>
      </c>
      <c r="AI834">
        <v>8</v>
      </c>
      <c r="AJ834">
        <v>0</v>
      </c>
      <c r="AK834">
        <v>7</v>
      </c>
      <c r="AL834" t="s">
        <v>2640</v>
      </c>
      <c r="AM834" t="s">
        <v>1176</v>
      </c>
      <c r="AN834" t="s">
        <v>2641</v>
      </c>
      <c r="AO834" t="s">
        <v>15756</v>
      </c>
      <c r="AP834" t="s">
        <v>15757</v>
      </c>
      <c r="AQ834" t="s">
        <v>74</v>
      </c>
      <c r="AR834" t="s">
        <v>15758</v>
      </c>
      <c r="AS834" t="s">
        <v>15759</v>
      </c>
      <c r="AT834" t="s">
        <v>14185</v>
      </c>
      <c r="AU834">
        <v>2014</v>
      </c>
      <c r="AV834">
        <v>288</v>
      </c>
      <c r="AW834" t="s">
        <v>74</v>
      </c>
      <c r="AX834" t="s">
        <v>74</v>
      </c>
      <c r="AY834" t="s">
        <v>74</v>
      </c>
      <c r="AZ834" t="s">
        <v>74</v>
      </c>
      <c r="BA834" t="s">
        <v>74</v>
      </c>
      <c r="BB834">
        <v>46</v>
      </c>
      <c r="BC834">
        <v>61</v>
      </c>
      <c r="BD834" t="s">
        <v>74</v>
      </c>
      <c r="BE834" t="s">
        <v>15760</v>
      </c>
      <c r="BF834" t="str">
        <f>HYPERLINK("http://dx.doi.org/10.1016/j.jvolgeores.2014.10.001","http://dx.doi.org/10.1016/j.jvolgeores.2014.10.001")</f>
        <v>http://dx.doi.org/10.1016/j.jvolgeores.2014.10.001</v>
      </c>
      <c r="BG834" t="s">
        <v>74</v>
      </c>
      <c r="BH834" t="s">
        <v>74</v>
      </c>
      <c r="BI834">
        <v>16</v>
      </c>
      <c r="BJ834" t="s">
        <v>1953</v>
      </c>
      <c r="BK834" t="s">
        <v>91</v>
      </c>
      <c r="BL834" t="s">
        <v>1954</v>
      </c>
      <c r="BM834" t="s">
        <v>15761</v>
      </c>
      <c r="BN834" t="s">
        <v>74</v>
      </c>
      <c r="BO834" t="s">
        <v>574</v>
      </c>
      <c r="BP834" t="s">
        <v>74</v>
      </c>
      <c r="BQ834" t="s">
        <v>74</v>
      </c>
      <c r="BR834" t="s">
        <v>93</v>
      </c>
      <c r="BS834" t="s">
        <v>15762</v>
      </c>
      <c r="BT834" t="str">
        <f>HYPERLINK("https%3A%2F%2Fwww.webofscience.com%2Fwos%2Fwoscc%2Ffull-record%2FWOS:000347134400005","View Full Record in Web of Science")</f>
        <v>View Full Record in Web of Science</v>
      </c>
    </row>
    <row r="835" spans="1:72" x14ac:dyDescent="0.15">
      <c r="A835" t="s">
        <v>72</v>
      </c>
      <c r="B835" t="s">
        <v>15763</v>
      </c>
      <c r="C835" t="s">
        <v>74</v>
      </c>
      <c r="D835" t="s">
        <v>74</v>
      </c>
      <c r="E835" t="s">
        <v>74</v>
      </c>
      <c r="F835" t="s">
        <v>15764</v>
      </c>
      <c r="G835" t="s">
        <v>74</v>
      </c>
      <c r="H835" t="s">
        <v>74</v>
      </c>
      <c r="I835" t="s">
        <v>15765</v>
      </c>
      <c r="J835" t="s">
        <v>15766</v>
      </c>
      <c r="K835" t="s">
        <v>74</v>
      </c>
      <c r="L835" t="s">
        <v>74</v>
      </c>
      <c r="M835" t="s">
        <v>78</v>
      </c>
      <c r="N835" t="s">
        <v>99</v>
      </c>
      <c r="O835" t="s">
        <v>74</v>
      </c>
      <c r="P835" t="s">
        <v>74</v>
      </c>
      <c r="Q835" t="s">
        <v>74</v>
      </c>
      <c r="R835" t="s">
        <v>74</v>
      </c>
      <c r="S835" t="s">
        <v>74</v>
      </c>
      <c r="T835" t="s">
        <v>15767</v>
      </c>
      <c r="U835" t="s">
        <v>15768</v>
      </c>
      <c r="V835" t="s">
        <v>15769</v>
      </c>
      <c r="W835" t="s">
        <v>15770</v>
      </c>
      <c r="X835" t="s">
        <v>15771</v>
      </c>
      <c r="Y835" t="s">
        <v>15772</v>
      </c>
      <c r="Z835" t="s">
        <v>15773</v>
      </c>
      <c r="AA835" t="s">
        <v>15774</v>
      </c>
      <c r="AB835" t="s">
        <v>15775</v>
      </c>
      <c r="AC835" t="s">
        <v>1508</v>
      </c>
      <c r="AD835" t="s">
        <v>1509</v>
      </c>
      <c r="AE835" t="s">
        <v>15776</v>
      </c>
      <c r="AF835" t="s">
        <v>74</v>
      </c>
      <c r="AG835">
        <v>114</v>
      </c>
      <c r="AH835">
        <v>55</v>
      </c>
      <c r="AI835">
        <v>61</v>
      </c>
      <c r="AJ835">
        <v>2</v>
      </c>
      <c r="AK835">
        <v>36</v>
      </c>
      <c r="AL835" t="s">
        <v>2640</v>
      </c>
      <c r="AM835" t="s">
        <v>1176</v>
      </c>
      <c r="AN835" t="s">
        <v>2641</v>
      </c>
      <c r="AO835" t="s">
        <v>15777</v>
      </c>
      <c r="AP835" t="s">
        <v>15778</v>
      </c>
      <c r="AQ835" t="s">
        <v>74</v>
      </c>
      <c r="AR835" t="s">
        <v>15779</v>
      </c>
      <c r="AS835" t="s">
        <v>15780</v>
      </c>
      <c r="AT835" t="s">
        <v>14185</v>
      </c>
      <c r="AU835">
        <v>2014</v>
      </c>
      <c r="AV835">
        <v>357</v>
      </c>
      <c r="AW835" t="s">
        <v>74</v>
      </c>
      <c r="AX835" t="s">
        <v>74</v>
      </c>
      <c r="AY835" t="s">
        <v>74</v>
      </c>
      <c r="AZ835" t="s">
        <v>74</v>
      </c>
      <c r="BA835" t="s">
        <v>74</v>
      </c>
      <c r="BB835">
        <v>362</v>
      </c>
      <c r="BC835">
        <v>383</v>
      </c>
      <c r="BD835" t="s">
        <v>74</v>
      </c>
      <c r="BE835" t="s">
        <v>15781</v>
      </c>
      <c r="BF835" t="str">
        <f>HYPERLINK("http://dx.doi.org/10.1016/j.margeo.2014.07.007","http://dx.doi.org/10.1016/j.margeo.2014.07.007")</f>
        <v>http://dx.doi.org/10.1016/j.margeo.2014.07.007</v>
      </c>
      <c r="BG835" t="s">
        <v>74</v>
      </c>
      <c r="BH835" t="s">
        <v>74</v>
      </c>
      <c r="BI835">
        <v>22</v>
      </c>
      <c r="BJ835" t="s">
        <v>15782</v>
      </c>
      <c r="BK835" t="s">
        <v>91</v>
      </c>
      <c r="BL835" t="s">
        <v>15783</v>
      </c>
      <c r="BM835" t="s">
        <v>15784</v>
      </c>
      <c r="BN835" t="s">
        <v>74</v>
      </c>
      <c r="BO835" t="s">
        <v>134</v>
      </c>
      <c r="BP835" t="s">
        <v>74</v>
      </c>
      <c r="BQ835" t="s">
        <v>74</v>
      </c>
      <c r="BR835" t="s">
        <v>93</v>
      </c>
      <c r="BS835" t="s">
        <v>15785</v>
      </c>
      <c r="BT835" t="str">
        <f>HYPERLINK("https%3A%2F%2Fwww.webofscience.com%2Fwos%2Fwoscc%2Ffull-record%2FWOS:000346542700027","View Full Record in Web of Science")</f>
        <v>View Full Record in Web of Science</v>
      </c>
    </row>
    <row r="836" spans="1:72" x14ac:dyDescent="0.15">
      <c r="A836" t="s">
        <v>72</v>
      </c>
      <c r="B836" t="s">
        <v>15786</v>
      </c>
      <c r="C836" t="s">
        <v>74</v>
      </c>
      <c r="D836" t="s">
        <v>74</v>
      </c>
      <c r="E836" t="s">
        <v>74</v>
      </c>
      <c r="F836" t="s">
        <v>15787</v>
      </c>
      <c r="G836" t="s">
        <v>74</v>
      </c>
      <c r="H836" t="s">
        <v>74</v>
      </c>
      <c r="I836" t="s">
        <v>15788</v>
      </c>
      <c r="J836" t="s">
        <v>2704</v>
      </c>
      <c r="K836" t="s">
        <v>74</v>
      </c>
      <c r="L836" t="s">
        <v>74</v>
      </c>
      <c r="M836" t="s">
        <v>78</v>
      </c>
      <c r="N836" t="s">
        <v>99</v>
      </c>
      <c r="O836" t="s">
        <v>74</v>
      </c>
      <c r="P836" t="s">
        <v>74</v>
      </c>
      <c r="Q836" t="s">
        <v>74</v>
      </c>
      <c r="R836" t="s">
        <v>74</v>
      </c>
      <c r="S836" t="s">
        <v>74</v>
      </c>
      <c r="T836" t="s">
        <v>15789</v>
      </c>
      <c r="U836" t="s">
        <v>15790</v>
      </c>
      <c r="V836" t="s">
        <v>15791</v>
      </c>
      <c r="W836" t="s">
        <v>15792</v>
      </c>
      <c r="X836" t="s">
        <v>15793</v>
      </c>
      <c r="Y836" t="s">
        <v>15794</v>
      </c>
      <c r="Z836" t="s">
        <v>15795</v>
      </c>
      <c r="AA836" t="s">
        <v>15796</v>
      </c>
      <c r="AB836" t="s">
        <v>15797</v>
      </c>
      <c r="AC836" t="s">
        <v>74</v>
      </c>
      <c r="AD836" t="s">
        <v>74</v>
      </c>
      <c r="AE836" t="s">
        <v>74</v>
      </c>
      <c r="AF836" t="s">
        <v>74</v>
      </c>
      <c r="AG836">
        <v>27</v>
      </c>
      <c r="AH836">
        <v>113</v>
      </c>
      <c r="AI836">
        <v>123</v>
      </c>
      <c r="AJ836">
        <v>2</v>
      </c>
      <c r="AK836">
        <v>88</v>
      </c>
      <c r="AL836" t="s">
        <v>2458</v>
      </c>
      <c r="AM836" t="s">
        <v>1411</v>
      </c>
      <c r="AN836" t="s">
        <v>2459</v>
      </c>
      <c r="AO836" t="s">
        <v>2713</v>
      </c>
      <c r="AP836" t="s">
        <v>2714</v>
      </c>
      <c r="AQ836" t="s">
        <v>74</v>
      </c>
      <c r="AR836" t="s">
        <v>2715</v>
      </c>
      <c r="AS836" t="s">
        <v>2716</v>
      </c>
      <c r="AT836" t="s">
        <v>13619</v>
      </c>
      <c r="AU836">
        <v>2014</v>
      </c>
      <c r="AV836">
        <v>49</v>
      </c>
      <c r="AW836" t="s">
        <v>74</v>
      </c>
      <c r="AX836" t="s">
        <v>74</v>
      </c>
      <c r="AY836" t="s">
        <v>74</v>
      </c>
      <c r="AZ836" t="s">
        <v>74</v>
      </c>
      <c r="BA836" t="s">
        <v>74</v>
      </c>
      <c r="BB836">
        <v>137</v>
      </c>
      <c r="BC836">
        <v>145</v>
      </c>
      <c r="BD836" t="s">
        <v>74</v>
      </c>
      <c r="BE836" t="s">
        <v>15798</v>
      </c>
      <c r="BF836" t="str">
        <f>HYPERLINK("http://dx.doi.org/10.1016/j.marpol.2013.12.002","http://dx.doi.org/10.1016/j.marpol.2013.12.002")</f>
        <v>http://dx.doi.org/10.1016/j.marpol.2013.12.002</v>
      </c>
      <c r="BG836" t="s">
        <v>74</v>
      </c>
      <c r="BH836" t="s">
        <v>74</v>
      </c>
      <c r="BI836">
        <v>9</v>
      </c>
      <c r="BJ836" t="s">
        <v>2718</v>
      </c>
      <c r="BK836" t="s">
        <v>891</v>
      </c>
      <c r="BL836" t="s">
        <v>2719</v>
      </c>
      <c r="BM836" t="s">
        <v>15799</v>
      </c>
      <c r="BN836" t="s">
        <v>74</v>
      </c>
      <c r="BO836" t="s">
        <v>74</v>
      </c>
      <c r="BP836" t="s">
        <v>74</v>
      </c>
      <c r="BQ836" t="s">
        <v>74</v>
      </c>
      <c r="BR836" t="s">
        <v>93</v>
      </c>
      <c r="BS836" t="s">
        <v>15800</v>
      </c>
      <c r="BT836" t="str">
        <f>HYPERLINK("https%3A%2F%2Fwww.webofscience.com%2Fwos%2Fwoscc%2Ffull-record%2FWOS:000338607800018","View Full Record in Web of Science")</f>
        <v>View Full Record in Web of Science</v>
      </c>
    </row>
    <row r="837" spans="1:72" x14ac:dyDescent="0.15">
      <c r="A837" t="s">
        <v>72</v>
      </c>
      <c r="B837" t="s">
        <v>15801</v>
      </c>
      <c r="C837" t="s">
        <v>74</v>
      </c>
      <c r="D837" t="s">
        <v>74</v>
      </c>
      <c r="E837" t="s">
        <v>74</v>
      </c>
      <c r="F837" t="s">
        <v>15802</v>
      </c>
      <c r="G837" t="s">
        <v>74</v>
      </c>
      <c r="H837" t="s">
        <v>74</v>
      </c>
      <c r="I837" t="s">
        <v>15803</v>
      </c>
      <c r="J837" t="s">
        <v>15804</v>
      </c>
      <c r="K837" t="s">
        <v>74</v>
      </c>
      <c r="L837" t="s">
        <v>74</v>
      </c>
      <c r="M837" t="s">
        <v>78</v>
      </c>
      <c r="N837" t="s">
        <v>5947</v>
      </c>
      <c r="O837" t="s">
        <v>74</v>
      </c>
      <c r="P837" t="s">
        <v>74</v>
      </c>
      <c r="Q837" t="s">
        <v>74</v>
      </c>
      <c r="R837" t="s">
        <v>74</v>
      </c>
      <c r="S837" t="s">
        <v>74</v>
      </c>
      <c r="T837" t="s">
        <v>74</v>
      </c>
      <c r="U837" t="s">
        <v>74</v>
      </c>
      <c r="V837" t="s">
        <v>74</v>
      </c>
      <c r="W837" t="s">
        <v>74</v>
      </c>
      <c r="X837" t="s">
        <v>74</v>
      </c>
      <c r="Y837" t="s">
        <v>74</v>
      </c>
      <c r="Z837" t="s">
        <v>74</v>
      </c>
      <c r="AA837" t="s">
        <v>74</v>
      </c>
      <c r="AB837" t="s">
        <v>74</v>
      </c>
      <c r="AC837" t="s">
        <v>74</v>
      </c>
      <c r="AD837" t="s">
        <v>74</v>
      </c>
      <c r="AE837" t="s">
        <v>74</v>
      </c>
      <c r="AF837" t="s">
        <v>74</v>
      </c>
      <c r="AG837">
        <v>0</v>
      </c>
      <c r="AH837">
        <v>0</v>
      </c>
      <c r="AI837">
        <v>0</v>
      </c>
      <c r="AJ837">
        <v>0</v>
      </c>
      <c r="AK837">
        <v>2</v>
      </c>
      <c r="AL837" t="s">
        <v>15805</v>
      </c>
      <c r="AM837" t="s">
        <v>219</v>
      </c>
      <c r="AN837" t="s">
        <v>15806</v>
      </c>
      <c r="AO837" t="s">
        <v>15807</v>
      </c>
      <c r="AP837" t="s">
        <v>74</v>
      </c>
      <c r="AQ837" t="s">
        <v>74</v>
      </c>
      <c r="AR837" t="s">
        <v>15804</v>
      </c>
      <c r="AS837" t="s">
        <v>15808</v>
      </c>
      <c r="AT837" t="s">
        <v>13619</v>
      </c>
      <c r="AU837">
        <v>2014</v>
      </c>
      <c r="AV837">
        <v>100</v>
      </c>
      <c r="AW837">
        <v>4</v>
      </c>
      <c r="AX837" t="s">
        <v>74</v>
      </c>
      <c r="AY837" t="s">
        <v>74</v>
      </c>
      <c r="AZ837" t="s">
        <v>74</v>
      </c>
      <c r="BA837" t="s">
        <v>74</v>
      </c>
      <c r="BB837">
        <v>457</v>
      </c>
      <c r="BC837">
        <v>457</v>
      </c>
      <c r="BD837" t="s">
        <v>74</v>
      </c>
      <c r="BE837" t="s">
        <v>15809</v>
      </c>
      <c r="BF837" t="str">
        <f>HYPERLINK("http://dx.doi.org/10.1080/00253359.2014.962242","http://dx.doi.org/10.1080/00253359.2014.962242")</f>
        <v>http://dx.doi.org/10.1080/00253359.2014.962242</v>
      </c>
      <c r="BG837" t="s">
        <v>74</v>
      </c>
      <c r="BH837" t="s">
        <v>74</v>
      </c>
      <c r="BI837">
        <v>1</v>
      </c>
      <c r="BJ837" t="s">
        <v>15583</v>
      </c>
      <c r="BK837" t="s">
        <v>15810</v>
      </c>
      <c r="BL837" t="s">
        <v>15583</v>
      </c>
      <c r="BM837" t="s">
        <v>15811</v>
      </c>
      <c r="BN837" t="s">
        <v>74</v>
      </c>
      <c r="BO837" t="s">
        <v>74</v>
      </c>
      <c r="BP837" t="s">
        <v>74</v>
      </c>
      <c r="BQ837" t="s">
        <v>74</v>
      </c>
      <c r="BR837" t="s">
        <v>93</v>
      </c>
      <c r="BS837" t="s">
        <v>15812</v>
      </c>
      <c r="BT837" t="str">
        <f>HYPERLINK("https%3A%2F%2Fwww.webofscience.com%2Fwos%2Fwoscc%2Ffull-record%2FWOS:000344857500008","View Full Record in Web of Science")</f>
        <v>View Full Record in Web of Science</v>
      </c>
    </row>
    <row r="838" spans="1:72" x14ac:dyDescent="0.15">
      <c r="A838" t="s">
        <v>72</v>
      </c>
      <c r="B838" t="s">
        <v>15813</v>
      </c>
      <c r="C838" t="s">
        <v>74</v>
      </c>
      <c r="D838" t="s">
        <v>74</v>
      </c>
      <c r="E838" t="s">
        <v>74</v>
      </c>
      <c r="F838" t="s">
        <v>15814</v>
      </c>
      <c r="G838" t="s">
        <v>74</v>
      </c>
      <c r="H838" t="s">
        <v>74</v>
      </c>
      <c r="I838" t="s">
        <v>15815</v>
      </c>
      <c r="J838" t="s">
        <v>15816</v>
      </c>
      <c r="K838" t="s">
        <v>74</v>
      </c>
      <c r="L838" t="s">
        <v>74</v>
      </c>
      <c r="M838" t="s">
        <v>78</v>
      </c>
      <c r="N838" t="s">
        <v>99</v>
      </c>
      <c r="O838" t="s">
        <v>74</v>
      </c>
      <c r="P838" t="s">
        <v>74</v>
      </c>
      <c r="Q838" t="s">
        <v>74</v>
      </c>
      <c r="R838" t="s">
        <v>74</v>
      </c>
      <c r="S838" t="s">
        <v>74</v>
      </c>
      <c r="T838" t="s">
        <v>15817</v>
      </c>
      <c r="U838" t="s">
        <v>15818</v>
      </c>
      <c r="V838" t="s">
        <v>15819</v>
      </c>
      <c r="W838" t="s">
        <v>15820</v>
      </c>
      <c r="X838" t="s">
        <v>6367</v>
      </c>
      <c r="Y838" t="s">
        <v>6368</v>
      </c>
      <c r="Z838" t="s">
        <v>6369</v>
      </c>
      <c r="AA838" t="s">
        <v>15821</v>
      </c>
      <c r="AB838" t="s">
        <v>15822</v>
      </c>
      <c r="AC838" t="s">
        <v>15823</v>
      </c>
      <c r="AD838" t="s">
        <v>15824</v>
      </c>
      <c r="AE838" t="s">
        <v>15825</v>
      </c>
      <c r="AF838" t="s">
        <v>74</v>
      </c>
      <c r="AG838">
        <v>73</v>
      </c>
      <c r="AH838">
        <v>43</v>
      </c>
      <c r="AI838">
        <v>52</v>
      </c>
      <c r="AJ838">
        <v>7</v>
      </c>
      <c r="AK838">
        <v>243</v>
      </c>
      <c r="AL838" t="s">
        <v>4624</v>
      </c>
      <c r="AM838" t="s">
        <v>2007</v>
      </c>
      <c r="AN838" t="s">
        <v>2008</v>
      </c>
      <c r="AO838" t="s">
        <v>15826</v>
      </c>
      <c r="AP838" t="s">
        <v>15827</v>
      </c>
      <c r="AQ838" t="s">
        <v>74</v>
      </c>
      <c r="AR838" t="s">
        <v>15828</v>
      </c>
      <c r="AS838" t="s">
        <v>15829</v>
      </c>
      <c r="AT838" t="s">
        <v>13619</v>
      </c>
      <c r="AU838">
        <v>2014</v>
      </c>
      <c r="AV838">
        <v>23</v>
      </c>
      <c r="AW838">
        <v>21</v>
      </c>
      <c r="AX838" t="s">
        <v>74</v>
      </c>
      <c r="AY838" t="s">
        <v>74</v>
      </c>
      <c r="AZ838" t="s">
        <v>74</v>
      </c>
      <c r="BA838" t="s">
        <v>74</v>
      </c>
      <c r="BB838">
        <v>5179</v>
      </c>
      <c r="BC838">
        <v>5192</v>
      </c>
      <c r="BD838" t="s">
        <v>74</v>
      </c>
      <c r="BE838" t="s">
        <v>15830</v>
      </c>
      <c r="BF838" t="str">
        <f>HYPERLINK("http://dx.doi.org/10.1111/mec.12929","http://dx.doi.org/10.1111/mec.12929")</f>
        <v>http://dx.doi.org/10.1111/mec.12929</v>
      </c>
      <c r="BG838" t="s">
        <v>74</v>
      </c>
      <c r="BH838" t="s">
        <v>74</v>
      </c>
      <c r="BI838">
        <v>14</v>
      </c>
      <c r="BJ838" t="s">
        <v>15831</v>
      </c>
      <c r="BK838" t="s">
        <v>91</v>
      </c>
      <c r="BL838" t="s">
        <v>15832</v>
      </c>
      <c r="BM838" t="s">
        <v>15833</v>
      </c>
      <c r="BN838">
        <v>25244680</v>
      </c>
      <c r="BO838" t="s">
        <v>10998</v>
      </c>
      <c r="BP838" t="s">
        <v>74</v>
      </c>
      <c r="BQ838" t="s">
        <v>74</v>
      </c>
      <c r="BR838" t="s">
        <v>93</v>
      </c>
      <c r="BS838" t="s">
        <v>15834</v>
      </c>
      <c r="BT838" t="str">
        <f>HYPERLINK("https%3A%2F%2Fwww.webofscience.com%2Fwos%2Fwoscc%2Ffull-record%2FWOS:000344374000006","View Full Record in Web of Science")</f>
        <v>View Full Record in Web of Science</v>
      </c>
    </row>
    <row r="839" spans="1:72" x14ac:dyDescent="0.15">
      <c r="A839" t="s">
        <v>72</v>
      </c>
      <c r="B839" t="s">
        <v>15835</v>
      </c>
      <c r="C839" t="s">
        <v>74</v>
      </c>
      <c r="D839" t="s">
        <v>74</v>
      </c>
      <c r="E839" t="s">
        <v>74</v>
      </c>
      <c r="F839" t="s">
        <v>15836</v>
      </c>
      <c r="G839" t="s">
        <v>74</v>
      </c>
      <c r="H839" t="s">
        <v>74</v>
      </c>
      <c r="I839" t="s">
        <v>15837</v>
      </c>
      <c r="J839" t="s">
        <v>10605</v>
      </c>
      <c r="K839" t="s">
        <v>74</v>
      </c>
      <c r="L839" t="s">
        <v>74</v>
      </c>
      <c r="M839" t="s">
        <v>78</v>
      </c>
      <c r="N839" t="s">
        <v>99</v>
      </c>
      <c r="O839" t="s">
        <v>74</v>
      </c>
      <c r="P839" t="s">
        <v>74</v>
      </c>
      <c r="Q839" t="s">
        <v>74</v>
      </c>
      <c r="R839" t="s">
        <v>74</v>
      </c>
      <c r="S839" t="s">
        <v>74</v>
      </c>
      <c r="T839" t="s">
        <v>74</v>
      </c>
      <c r="U839" t="s">
        <v>15838</v>
      </c>
      <c r="V839" t="s">
        <v>15839</v>
      </c>
      <c r="W839" t="s">
        <v>15840</v>
      </c>
      <c r="X839" t="s">
        <v>15841</v>
      </c>
      <c r="Y839" t="s">
        <v>15842</v>
      </c>
      <c r="Z839" t="s">
        <v>15843</v>
      </c>
      <c r="AA839" t="s">
        <v>15844</v>
      </c>
      <c r="AB839" t="s">
        <v>15845</v>
      </c>
      <c r="AC839" t="s">
        <v>15846</v>
      </c>
      <c r="AD839" t="s">
        <v>15847</v>
      </c>
      <c r="AE839" t="s">
        <v>15848</v>
      </c>
      <c r="AF839" t="s">
        <v>74</v>
      </c>
      <c r="AG839">
        <v>79</v>
      </c>
      <c r="AH839">
        <v>20</v>
      </c>
      <c r="AI839">
        <v>21</v>
      </c>
      <c r="AJ839">
        <v>0</v>
      </c>
      <c r="AK839">
        <v>8</v>
      </c>
      <c r="AL839" t="s">
        <v>1563</v>
      </c>
      <c r="AM839" t="s">
        <v>1564</v>
      </c>
      <c r="AN839" t="s">
        <v>10343</v>
      </c>
      <c r="AO839" t="s">
        <v>10616</v>
      </c>
      <c r="AP839" t="s">
        <v>10617</v>
      </c>
      <c r="AQ839" t="s">
        <v>74</v>
      </c>
      <c r="AR839" t="s">
        <v>10618</v>
      </c>
      <c r="AS839" t="s">
        <v>10619</v>
      </c>
      <c r="AT839" t="s">
        <v>13619</v>
      </c>
      <c r="AU839">
        <v>2014</v>
      </c>
      <c r="AV839">
        <v>142</v>
      </c>
      <c r="AW839">
        <v>11</v>
      </c>
      <c r="AX839" t="s">
        <v>74</v>
      </c>
      <c r="AY839" t="s">
        <v>74</v>
      </c>
      <c r="AZ839" t="s">
        <v>74</v>
      </c>
      <c r="BA839" t="s">
        <v>74</v>
      </c>
      <c r="BB839">
        <v>4187</v>
      </c>
      <c r="BC839">
        <v>4206</v>
      </c>
      <c r="BD839" t="s">
        <v>74</v>
      </c>
      <c r="BE839" t="s">
        <v>15849</v>
      </c>
      <c r="BF839" t="str">
        <f>HYPERLINK("http://dx.doi.org/10.1175/MWR-D-14-00024.1","http://dx.doi.org/10.1175/MWR-D-14-00024.1")</f>
        <v>http://dx.doi.org/10.1175/MWR-D-14-00024.1</v>
      </c>
      <c r="BG839" t="s">
        <v>74</v>
      </c>
      <c r="BH839" t="s">
        <v>74</v>
      </c>
      <c r="BI839">
        <v>20</v>
      </c>
      <c r="BJ839" t="s">
        <v>226</v>
      </c>
      <c r="BK839" t="s">
        <v>91</v>
      </c>
      <c r="BL839" t="s">
        <v>226</v>
      </c>
      <c r="BM839" t="s">
        <v>15850</v>
      </c>
      <c r="BN839" t="s">
        <v>74</v>
      </c>
      <c r="BO839" t="s">
        <v>74</v>
      </c>
      <c r="BP839" t="s">
        <v>74</v>
      </c>
      <c r="BQ839" t="s">
        <v>74</v>
      </c>
      <c r="BR839" t="s">
        <v>93</v>
      </c>
      <c r="BS839" t="s">
        <v>15851</v>
      </c>
      <c r="BT839" t="str">
        <f>HYPERLINK("https%3A%2F%2Fwww.webofscience.com%2Fwos%2Fwoscc%2Ffull-record%2FWOS:000344219400014","View Full Record in Web of Science")</f>
        <v>View Full Record in Web of Science</v>
      </c>
    </row>
    <row r="840" spans="1:72" x14ac:dyDescent="0.15">
      <c r="A840" t="s">
        <v>72</v>
      </c>
      <c r="B840" t="s">
        <v>15852</v>
      </c>
      <c r="C840" t="s">
        <v>74</v>
      </c>
      <c r="D840" t="s">
        <v>74</v>
      </c>
      <c r="E840" t="s">
        <v>74</v>
      </c>
      <c r="F840" t="s">
        <v>15853</v>
      </c>
      <c r="G840" t="s">
        <v>74</v>
      </c>
      <c r="H840" t="s">
        <v>74</v>
      </c>
      <c r="I840" t="s">
        <v>15854</v>
      </c>
      <c r="J840" t="s">
        <v>7468</v>
      </c>
      <c r="K840" t="s">
        <v>74</v>
      </c>
      <c r="L840" t="s">
        <v>74</v>
      </c>
      <c r="M840" t="s">
        <v>78</v>
      </c>
      <c r="N840" t="s">
        <v>99</v>
      </c>
      <c r="O840" t="s">
        <v>74</v>
      </c>
      <c r="P840" t="s">
        <v>74</v>
      </c>
      <c r="Q840" t="s">
        <v>74</v>
      </c>
      <c r="R840" t="s">
        <v>74</v>
      </c>
      <c r="S840" t="s">
        <v>74</v>
      </c>
      <c r="T840" t="s">
        <v>74</v>
      </c>
      <c r="U840" t="s">
        <v>15855</v>
      </c>
      <c r="V840" t="s">
        <v>15856</v>
      </c>
      <c r="W840" t="s">
        <v>15857</v>
      </c>
      <c r="X840" t="s">
        <v>15858</v>
      </c>
      <c r="Y840" t="s">
        <v>15859</v>
      </c>
      <c r="Z840" t="s">
        <v>15860</v>
      </c>
      <c r="AA840" t="s">
        <v>4012</v>
      </c>
      <c r="AB840" t="s">
        <v>15861</v>
      </c>
      <c r="AC840" t="s">
        <v>15862</v>
      </c>
      <c r="AD840" t="s">
        <v>15863</v>
      </c>
      <c r="AE840" t="s">
        <v>15864</v>
      </c>
      <c r="AF840" t="s">
        <v>74</v>
      </c>
      <c r="AG840">
        <v>29</v>
      </c>
      <c r="AH840">
        <v>44</v>
      </c>
      <c r="AI840">
        <v>49</v>
      </c>
      <c r="AJ840">
        <v>1</v>
      </c>
      <c r="AK840">
        <v>57</v>
      </c>
      <c r="AL840" t="s">
        <v>7503</v>
      </c>
      <c r="AM840" t="s">
        <v>219</v>
      </c>
      <c r="AN840" t="s">
        <v>7504</v>
      </c>
      <c r="AO840" t="s">
        <v>7481</v>
      </c>
      <c r="AP840" t="s">
        <v>7482</v>
      </c>
      <c r="AQ840" t="s">
        <v>74</v>
      </c>
      <c r="AR840" t="s">
        <v>7483</v>
      </c>
      <c r="AS840" t="s">
        <v>7484</v>
      </c>
      <c r="AT840" t="s">
        <v>13619</v>
      </c>
      <c r="AU840">
        <v>2014</v>
      </c>
      <c r="AV840">
        <v>4</v>
      </c>
      <c r="AW840">
        <v>11</v>
      </c>
      <c r="AX840" t="s">
        <v>74</v>
      </c>
      <c r="AY840" t="s">
        <v>74</v>
      </c>
      <c r="AZ840" t="s">
        <v>74</v>
      </c>
      <c r="BA840" t="s">
        <v>74</v>
      </c>
      <c r="BB840">
        <v>993</v>
      </c>
      <c r="BC840">
        <v>998</v>
      </c>
      <c r="BD840" t="s">
        <v>74</v>
      </c>
      <c r="BE840" t="s">
        <v>15865</v>
      </c>
      <c r="BF840" t="str">
        <f>HYPERLINK("http://dx.doi.org/10.1038/NCLIMATE2369","http://dx.doi.org/10.1038/NCLIMATE2369")</f>
        <v>http://dx.doi.org/10.1038/NCLIMATE2369</v>
      </c>
      <c r="BG840" t="s">
        <v>74</v>
      </c>
      <c r="BH840" t="s">
        <v>74</v>
      </c>
      <c r="BI840">
        <v>6</v>
      </c>
      <c r="BJ840" t="s">
        <v>5051</v>
      </c>
      <c r="BK840" t="s">
        <v>157</v>
      </c>
      <c r="BL840" t="s">
        <v>498</v>
      </c>
      <c r="BM840" t="s">
        <v>15866</v>
      </c>
      <c r="BN840" t="s">
        <v>74</v>
      </c>
      <c r="BO840" t="s">
        <v>15867</v>
      </c>
      <c r="BP840" t="s">
        <v>74</v>
      </c>
      <c r="BQ840" t="s">
        <v>74</v>
      </c>
      <c r="BR840" t="s">
        <v>93</v>
      </c>
      <c r="BS840" t="s">
        <v>15868</v>
      </c>
      <c r="BT840" t="str">
        <f>HYPERLINK("https%3A%2F%2Fwww.webofscience.com%2Fwos%2Fwoscc%2Ffull-record%2FWOS:000344598400023","View Full Record in Web of Science")</f>
        <v>View Full Record in Web of Science</v>
      </c>
    </row>
    <row r="841" spans="1:72" x14ac:dyDescent="0.15">
      <c r="A841" t="s">
        <v>72</v>
      </c>
      <c r="B841" t="s">
        <v>15869</v>
      </c>
      <c r="C841" t="s">
        <v>74</v>
      </c>
      <c r="D841" t="s">
        <v>74</v>
      </c>
      <c r="E841" t="s">
        <v>74</v>
      </c>
      <c r="F841" t="s">
        <v>15870</v>
      </c>
      <c r="G841" t="s">
        <v>74</v>
      </c>
      <c r="H841" t="s">
        <v>74</v>
      </c>
      <c r="I841" t="s">
        <v>15871</v>
      </c>
      <c r="J841" t="s">
        <v>7468</v>
      </c>
      <c r="K841" t="s">
        <v>74</v>
      </c>
      <c r="L841" t="s">
        <v>74</v>
      </c>
      <c r="M841" t="s">
        <v>78</v>
      </c>
      <c r="N841" t="s">
        <v>99</v>
      </c>
      <c r="O841" t="s">
        <v>74</v>
      </c>
      <c r="P841" t="s">
        <v>74</v>
      </c>
      <c r="Q841" t="s">
        <v>74</v>
      </c>
      <c r="R841" t="s">
        <v>74</v>
      </c>
      <c r="S841" t="s">
        <v>74</v>
      </c>
      <c r="T841" t="s">
        <v>74</v>
      </c>
      <c r="U841" t="s">
        <v>15872</v>
      </c>
      <c r="V841" t="s">
        <v>15873</v>
      </c>
      <c r="W841" t="s">
        <v>15874</v>
      </c>
      <c r="X841" t="s">
        <v>15875</v>
      </c>
      <c r="Y841" t="s">
        <v>15876</v>
      </c>
      <c r="Z841" t="s">
        <v>15877</v>
      </c>
      <c r="AA841" t="s">
        <v>15878</v>
      </c>
      <c r="AB841" t="s">
        <v>15879</v>
      </c>
      <c r="AC841" t="s">
        <v>15880</v>
      </c>
      <c r="AD841" t="s">
        <v>15881</v>
      </c>
      <c r="AE841" t="s">
        <v>15882</v>
      </c>
      <c r="AF841" t="s">
        <v>74</v>
      </c>
      <c r="AG841">
        <v>30</v>
      </c>
      <c r="AH841">
        <v>116</v>
      </c>
      <c r="AI841">
        <v>124</v>
      </c>
      <c r="AJ841">
        <v>2</v>
      </c>
      <c r="AK841">
        <v>56</v>
      </c>
      <c r="AL841" t="s">
        <v>7479</v>
      </c>
      <c r="AM841" t="s">
        <v>7177</v>
      </c>
      <c r="AN841" t="s">
        <v>7480</v>
      </c>
      <c r="AO841" t="s">
        <v>7481</v>
      </c>
      <c r="AP841" t="s">
        <v>7482</v>
      </c>
      <c r="AQ841" t="s">
        <v>74</v>
      </c>
      <c r="AR841" t="s">
        <v>7483</v>
      </c>
      <c r="AS841" t="s">
        <v>7484</v>
      </c>
      <c r="AT841" t="s">
        <v>13619</v>
      </c>
      <c r="AU841">
        <v>2014</v>
      </c>
      <c r="AV841">
        <v>4</v>
      </c>
      <c r="AW841">
        <v>11</v>
      </c>
      <c r="AX841" t="s">
        <v>74</v>
      </c>
      <c r="AY841" t="s">
        <v>74</v>
      </c>
      <c r="AZ841" t="s">
        <v>74</v>
      </c>
      <c r="BA841" t="s">
        <v>74</v>
      </c>
      <c r="BB841">
        <v>999</v>
      </c>
      <c r="BC841">
        <v>1005</v>
      </c>
      <c r="BD841" t="s">
        <v>74</v>
      </c>
      <c r="BE841" t="s">
        <v>15883</v>
      </c>
      <c r="BF841" t="str">
        <f>HYPERLINK("http://dx.doi.org/10.1038/NCLIMATE2389","http://dx.doi.org/10.1038/NCLIMATE2389")</f>
        <v>http://dx.doi.org/10.1038/NCLIMATE2389</v>
      </c>
      <c r="BG841" t="s">
        <v>74</v>
      </c>
      <c r="BH841" t="s">
        <v>74</v>
      </c>
      <c r="BI841">
        <v>7</v>
      </c>
      <c r="BJ841" t="s">
        <v>5051</v>
      </c>
      <c r="BK841" t="s">
        <v>157</v>
      </c>
      <c r="BL841" t="s">
        <v>498</v>
      </c>
      <c r="BM841" t="s">
        <v>15866</v>
      </c>
      <c r="BN841" t="s">
        <v>74</v>
      </c>
      <c r="BO841" t="s">
        <v>574</v>
      </c>
      <c r="BP841" t="s">
        <v>74</v>
      </c>
      <c r="BQ841" t="s">
        <v>74</v>
      </c>
      <c r="BR841" t="s">
        <v>93</v>
      </c>
      <c r="BS841" t="s">
        <v>15884</v>
      </c>
      <c r="BT841" t="str">
        <f>HYPERLINK("https%3A%2F%2Fwww.webofscience.com%2Fwos%2Fwoscc%2Ffull-record%2FWOS:000344598400024","View Full Record in Web of Science")</f>
        <v>View Full Record in Web of Science</v>
      </c>
    </row>
    <row r="842" spans="1:72" x14ac:dyDescent="0.15">
      <c r="A842" t="s">
        <v>72</v>
      </c>
      <c r="B842" t="s">
        <v>15885</v>
      </c>
      <c r="C842" t="s">
        <v>74</v>
      </c>
      <c r="D842" t="s">
        <v>74</v>
      </c>
      <c r="E842" t="s">
        <v>74</v>
      </c>
      <c r="F842" t="s">
        <v>15886</v>
      </c>
      <c r="G842" t="s">
        <v>74</v>
      </c>
      <c r="H842" t="s">
        <v>15887</v>
      </c>
      <c r="I842" t="s">
        <v>15888</v>
      </c>
      <c r="J842" t="s">
        <v>7514</v>
      </c>
      <c r="K842" t="s">
        <v>74</v>
      </c>
      <c r="L842" t="s">
        <v>74</v>
      </c>
      <c r="M842" t="s">
        <v>78</v>
      </c>
      <c r="N842" t="s">
        <v>99</v>
      </c>
      <c r="O842" t="s">
        <v>74</v>
      </c>
      <c r="P842" t="s">
        <v>74</v>
      </c>
      <c r="Q842" t="s">
        <v>74</v>
      </c>
      <c r="R842" t="s">
        <v>74</v>
      </c>
      <c r="S842" t="s">
        <v>74</v>
      </c>
      <c r="T842" t="s">
        <v>74</v>
      </c>
      <c r="U842" t="s">
        <v>15889</v>
      </c>
      <c r="V842" t="s">
        <v>15890</v>
      </c>
      <c r="W842" t="s">
        <v>15891</v>
      </c>
      <c r="X842" t="s">
        <v>15892</v>
      </c>
      <c r="Y842" t="s">
        <v>15893</v>
      </c>
      <c r="Z842" t="s">
        <v>13404</v>
      </c>
      <c r="AA842" t="s">
        <v>15894</v>
      </c>
      <c r="AB842" t="s">
        <v>15895</v>
      </c>
      <c r="AC842" t="s">
        <v>15896</v>
      </c>
      <c r="AD842" t="s">
        <v>15897</v>
      </c>
      <c r="AE842" t="s">
        <v>15898</v>
      </c>
      <c r="AF842" t="s">
        <v>74</v>
      </c>
      <c r="AG842">
        <v>46</v>
      </c>
      <c r="AH842">
        <v>112</v>
      </c>
      <c r="AI842">
        <v>133</v>
      </c>
      <c r="AJ842">
        <v>4</v>
      </c>
      <c r="AK842">
        <v>73</v>
      </c>
      <c r="AL842" t="s">
        <v>7503</v>
      </c>
      <c r="AM842" t="s">
        <v>342</v>
      </c>
      <c r="AN842" t="s">
        <v>7524</v>
      </c>
      <c r="AO842" t="s">
        <v>7525</v>
      </c>
      <c r="AP842" t="s">
        <v>7526</v>
      </c>
      <c r="AQ842" t="s">
        <v>74</v>
      </c>
      <c r="AR842" t="s">
        <v>7527</v>
      </c>
      <c r="AS842" t="s">
        <v>7528</v>
      </c>
      <c r="AT842" t="s">
        <v>13619</v>
      </c>
      <c r="AU842">
        <v>2014</v>
      </c>
      <c r="AV842">
        <v>7</v>
      </c>
      <c r="AW842">
        <v>11</v>
      </c>
      <c r="AX842" t="s">
        <v>74</v>
      </c>
      <c r="AY842" t="s">
        <v>74</v>
      </c>
      <c r="AZ842" t="s">
        <v>74</v>
      </c>
      <c r="BA842" t="s">
        <v>74</v>
      </c>
      <c r="BB842">
        <v>841</v>
      </c>
      <c r="BC842">
        <v>847</v>
      </c>
      <c r="BD842" t="s">
        <v>74</v>
      </c>
      <c r="BE842" t="s">
        <v>15899</v>
      </c>
      <c r="BF842" t="str">
        <f>HYPERLINK("http://dx.doi.org/10.1038/NGEO2273","http://dx.doi.org/10.1038/NGEO2273")</f>
        <v>http://dx.doi.org/10.1038/NGEO2273</v>
      </c>
      <c r="BG842" t="s">
        <v>74</v>
      </c>
      <c r="BH842" t="s">
        <v>74</v>
      </c>
      <c r="BI842">
        <v>7</v>
      </c>
      <c r="BJ842" t="s">
        <v>1953</v>
      </c>
      <c r="BK842" t="s">
        <v>91</v>
      </c>
      <c r="BL842" t="s">
        <v>1954</v>
      </c>
      <c r="BM842" t="s">
        <v>15900</v>
      </c>
      <c r="BN842" t="s">
        <v>74</v>
      </c>
      <c r="BO842" t="s">
        <v>574</v>
      </c>
      <c r="BP842" t="s">
        <v>74</v>
      </c>
      <c r="BQ842" t="s">
        <v>74</v>
      </c>
      <c r="BR842" t="s">
        <v>93</v>
      </c>
      <c r="BS842" t="s">
        <v>15901</v>
      </c>
      <c r="BT842" t="str">
        <f>HYPERLINK("https%3A%2F%2Fwww.webofscience.com%2Fwos%2Fwoscc%2Ffull-record%2FWOS:000344812100019","View Full Record in Web of Science")</f>
        <v>View Full Record in Web of Science</v>
      </c>
    </row>
    <row r="843" spans="1:72" x14ac:dyDescent="0.15">
      <c r="A843" t="s">
        <v>72</v>
      </c>
      <c r="B843" t="s">
        <v>15902</v>
      </c>
      <c r="C843" t="s">
        <v>74</v>
      </c>
      <c r="D843" t="s">
        <v>74</v>
      </c>
      <c r="E843" t="s">
        <v>74</v>
      </c>
      <c r="F843" t="s">
        <v>15903</v>
      </c>
      <c r="G843" t="s">
        <v>74</v>
      </c>
      <c r="H843" t="s">
        <v>74</v>
      </c>
      <c r="I843" t="s">
        <v>15904</v>
      </c>
      <c r="J843" t="s">
        <v>11121</v>
      </c>
      <c r="K843" t="s">
        <v>74</v>
      </c>
      <c r="L843" t="s">
        <v>74</v>
      </c>
      <c r="M843" t="s">
        <v>78</v>
      </c>
      <c r="N843" t="s">
        <v>99</v>
      </c>
      <c r="O843" t="s">
        <v>74</v>
      </c>
      <c r="P843" t="s">
        <v>74</v>
      </c>
      <c r="Q843" t="s">
        <v>74</v>
      </c>
      <c r="R843" t="s">
        <v>74</v>
      </c>
      <c r="S843" t="s">
        <v>74</v>
      </c>
      <c r="T843" t="s">
        <v>15905</v>
      </c>
      <c r="U843" t="s">
        <v>15906</v>
      </c>
      <c r="V843" t="s">
        <v>15907</v>
      </c>
      <c r="W843" t="s">
        <v>15908</v>
      </c>
      <c r="X843" t="s">
        <v>15909</v>
      </c>
      <c r="Y843" t="s">
        <v>15910</v>
      </c>
      <c r="Z843" t="s">
        <v>15911</v>
      </c>
      <c r="AA843" t="s">
        <v>15912</v>
      </c>
      <c r="AB843" t="s">
        <v>15913</v>
      </c>
      <c r="AC843" t="s">
        <v>15914</v>
      </c>
      <c r="AD843" t="s">
        <v>15915</v>
      </c>
      <c r="AE843" t="s">
        <v>15916</v>
      </c>
      <c r="AF843" t="s">
        <v>74</v>
      </c>
      <c r="AG843">
        <v>81</v>
      </c>
      <c r="AH843">
        <v>9</v>
      </c>
      <c r="AI843">
        <v>9</v>
      </c>
      <c r="AJ843">
        <v>1</v>
      </c>
      <c r="AK843">
        <v>31</v>
      </c>
      <c r="AL843" t="s">
        <v>2666</v>
      </c>
      <c r="AM843" t="s">
        <v>342</v>
      </c>
      <c r="AN843" t="s">
        <v>2761</v>
      </c>
      <c r="AO843" t="s">
        <v>11134</v>
      </c>
      <c r="AP843" t="s">
        <v>11135</v>
      </c>
      <c r="AQ843" t="s">
        <v>74</v>
      </c>
      <c r="AR843" t="s">
        <v>11136</v>
      </c>
      <c r="AS843" t="s">
        <v>11137</v>
      </c>
      <c r="AT843" t="s">
        <v>13619</v>
      </c>
      <c r="AU843">
        <v>2014</v>
      </c>
      <c r="AV843">
        <v>37</v>
      </c>
      <c r="AW843">
        <v>11</v>
      </c>
      <c r="AX843" t="s">
        <v>74</v>
      </c>
      <c r="AY843" t="s">
        <v>74</v>
      </c>
      <c r="AZ843" t="s">
        <v>74</v>
      </c>
      <c r="BA843" t="s">
        <v>74</v>
      </c>
      <c r="BB843">
        <v>1563</v>
      </c>
      <c r="BC843">
        <v>1578</v>
      </c>
      <c r="BD843" t="s">
        <v>74</v>
      </c>
      <c r="BE843" t="s">
        <v>15917</v>
      </c>
      <c r="BF843" t="str">
        <f>HYPERLINK("http://dx.doi.org/10.1007/s00300-014-1542-6","http://dx.doi.org/10.1007/s00300-014-1542-6")</f>
        <v>http://dx.doi.org/10.1007/s00300-014-1542-6</v>
      </c>
      <c r="BG843" t="s">
        <v>74</v>
      </c>
      <c r="BH843" t="s">
        <v>74</v>
      </c>
      <c r="BI843">
        <v>16</v>
      </c>
      <c r="BJ843" t="s">
        <v>3475</v>
      </c>
      <c r="BK843" t="s">
        <v>91</v>
      </c>
      <c r="BL843" t="s">
        <v>3476</v>
      </c>
      <c r="BM843" t="s">
        <v>14955</v>
      </c>
      <c r="BN843" t="s">
        <v>74</v>
      </c>
      <c r="BO843" t="s">
        <v>574</v>
      </c>
      <c r="BP843" t="s">
        <v>74</v>
      </c>
      <c r="BQ843" t="s">
        <v>74</v>
      </c>
      <c r="BR843" t="s">
        <v>93</v>
      </c>
      <c r="BS843" t="s">
        <v>15918</v>
      </c>
      <c r="BT843" t="str">
        <f>HYPERLINK("https%3A%2F%2Fwww.webofscience.com%2Fwos%2Fwoscc%2Ffull-record%2FWOS:000343141300002","View Full Record in Web of Science")</f>
        <v>View Full Record in Web of Science</v>
      </c>
    </row>
    <row r="844" spans="1:72" x14ac:dyDescent="0.15">
      <c r="A844" t="s">
        <v>72</v>
      </c>
      <c r="B844" t="s">
        <v>15919</v>
      </c>
      <c r="C844" t="s">
        <v>74</v>
      </c>
      <c r="D844" t="s">
        <v>74</v>
      </c>
      <c r="E844" t="s">
        <v>74</v>
      </c>
      <c r="F844" t="s">
        <v>15920</v>
      </c>
      <c r="G844" t="s">
        <v>74</v>
      </c>
      <c r="H844" t="s">
        <v>74</v>
      </c>
      <c r="I844" t="s">
        <v>15921</v>
      </c>
      <c r="J844" t="s">
        <v>11121</v>
      </c>
      <c r="K844" t="s">
        <v>74</v>
      </c>
      <c r="L844" t="s">
        <v>74</v>
      </c>
      <c r="M844" t="s">
        <v>78</v>
      </c>
      <c r="N844" t="s">
        <v>99</v>
      </c>
      <c r="O844" t="s">
        <v>74</v>
      </c>
      <c r="P844" t="s">
        <v>74</v>
      </c>
      <c r="Q844" t="s">
        <v>74</v>
      </c>
      <c r="R844" t="s">
        <v>74</v>
      </c>
      <c r="S844" t="s">
        <v>74</v>
      </c>
      <c r="T844" t="s">
        <v>15922</v>
      </c>
      <c r="U844" t="s">
        <v>15923</v>
      </c>
      <c r="V844" t="s">
        <v>15924</v>
      </c>
      <c r="W844" t="s">
        <v>15925</v>
      </c>
      <c r="X844" t="s">
        <v>15926</v>
      </c>
      <c r="Y844" t="s">
        <v>15927</v>
      </c>
      <c r="Z844" t="s">
        <v>74</v>
      </c>
      <c r="AA844" t="s">
        <v>15928</v>
      </c>
      <c r="AB844" t="s">
        <v>15929</v>
      </c>
      <c r="AC844" t="s">
        <v>15930</v>
      </c>
      <c r="AD844" t="s">
        <v>15931</v>
      </c>
      <c r="AE844" t="s">
        <v>15932</v>
      </c>
      <c r="AF844" t="s">
        <v>74</v>
      </c>
      <c r="AG844">
        <v>63</v>
      </c>
      <c r="AH844">
        <v>30</v>
      </c>
      <c r="AI844">
        <v>31</v>
      </c>
      <c r="AJ844">
        <v>2</v>
      </c>
      <c r="AK844">
        <v>40</v>
      </c>
      <c r="AL844" t="s">
        <v>2666</v>
      </c>
      <c r="AM844" t="s">
        <v>342</v>
      </c>
      <c r="AN844" t="s">
        <v>2667</v>
      </c>
      <c r="AO844" t="s">
        <v>11134</v>
      </c>
      <c r="AP844" t="s">
        <v>11135</v>
      </c>
      <c r="AQ844" t="s">
        <v>74</v>
      </c>
      <c r="AR844" t="s">
        <v>11136</v>
      </c>
      <c r="AS844" t="s">
        <v>11137</v>
      </c>
      <c r="AT844" t="s">
        <v>13619</v>
      </c>
      <c r="AU844">
        <v>2014</v>
      </c>
      <c r="AV844">
        <v>37</v>
      </c>
      <c r="AW844">
        <v>11</v>
      </c>
      <c r="AX844" t="s">
        <v>74</v>
      </c>
      <c r="AY844" t="s">
        <v>74</v>
      </c>
      <c r="AZ844" t="s">
        <v>74</v>
      </c>
      <c r="BA844" t="s">
        <v>74</v>
      </c>
      <c r="BB844">
        <v>1607</v>
      </c>
      <c r="BC844">
        <v>1619</v>
      </c>
      <c r="BD844" t="s">
        <v>74</v>
      </c>
      <c r="BE844" t="s">
        <v>15933</v>
      </c>
      <c r="BF844" t="str">
        <f>HYPERLINK("http://dx.doi.org/10.1007/s00300-014-1547-1","http://dx.doi.org/10.1007/s00300-014-1547-1")</f>
        <v>http://dx.doi.org/10.1007/s00300-014-1547-1</v>
      </c>
      <c r="BG844" t="s">
        <v>74</v>
      </c>
      <c r="BH844" t="s">
        <v>74</v>
      </c>
      <c r="BI844">
        <v>13</v>
      </c>
      <c r="BJ844" t="s">
        <v>3475</v>
      </c>
      <c r="BK844" t="s">
        <v>91</v>
      </c>
      <c r="BL844" t="s">
        <v>3476</v>
      </c>
      <c r="BM844" t="s">
        <v>14955</v>
      </c>
      <c r="BN844" t="s">
        <v>74</v>
      </c>
      <c r="BO844" t="s">
        <v>4631</v>
      </c>
      <c r="BP844" t="s">
        <v>74</v>
      </c>
      <c r="BQ844" t="s">
        <v>74</v>
      </c>
      <c r="BR844" t="s">
        <v>93</v>
      </c>
      <c r="BS844" t="s">
        <v>15934</v>
      </c>
      <c r="BT844" t="str">
        <f>HYPERLINK("https%3A%2F%2Fwww.webofscience.com%2Fwos%2Fwoscc%2Ffull-record%2FWOS:000343141300005","View Full Record in Web of Science")</f>
        <v>View Full Record in Web of Science</v>
      </c>
    </row>
    <row r="845" spans="1:72" x14ac:dyDescent="0.15">
      <c r="A845" t="s">
        <v>72</v>
      </c>
      <c r="B845" t="s">
        <v>15935</v>
      </c>
      <c r="C845" t="s">
        <v>74</v>
      </c>
      <c r="D845" t="s">
        <v>74</v>
      </c>
      <c r="E845" t="s">
        <v>74</v>
      </c>
      <c r="F845" t="s">
        <v>15936</v>
      </c>
      <c r="G845" t="s">
        <v>74</v>
      </c>
      <c r="H845" t="s">
        <v>74</v>
      </c>
      <c r="I845" t="s">
        <v>15937</v>
      </c>
      <c r="J845" t="s">
        <v>15938</v>
      </c>
      <c r="K845" t="s">
        <v>74</v>
      </c>
      <c r="L845" t="s">
        <v>74</v>
      </c>
      <c r="M845" t="s">
        <v>78</v>
      </c>
      <c r="N845" t="s">
        <v>99</v>
      </c>
      <c r="O845" t="s">
        <v>74</v>
      </c>
      <c r="P845" t="s">
        <v>74</v>
      </c>
      <c r="Q845" t="s">
        <v>74</v>
      </c>
      <c r="R845" t="s">
        <v>74</v>
      </c>
      <c r="S845" t="s">
        <v>74</v>
      </c>
      <c r="T845" t="s">
        <v>15939</v>
      </c>
      <c r="U845" t="s">
        <v>15940</v>
      </c>
      <c r="V845" t="s">
        <v>15941</v>
      </c>
      <c r="W845" t="s">
        <v>15942</v>
      </c>
      <c r="X845" t="s">
        <v>15943</v>
      </c>
      <c r="Y845" t="s">
        <v>15944</v>
      </c>
      <c r="Z845" t="s">
        <v>15945</v>
      </c>
      <c r="AA845" t="s">
        <v>74</v>
      </c>
      <c r="AB845" t="s">
        <v>15946</v>
      </c>
      <c r="AC845" t="s">
        <v>74</v>
      </c>
      <c r="AD845" t="s">
        <v>74</v>
      </c>
      <c r="AE845" t="s">
        <v>74</v>
      </c>
      <c r="AF845" t="s">
        <v>74</v>
      </c>
      <c r="AG845">
        <v>42</v>
      </c>
      <c r="AH845">
        <v>45</v>
      </c>
      <c r="AI845">
        <v>51</v>
      </c>
      <c r="AJ845">
        <v>5</v>
      </c>
      <c r="AK845">
        <v>70</v>
      </c>
      <c r="AL845" t="s">
        <v>15947</v>
      </c>
      <c r="AM845" t="s">
        <v>15948</v>
      </c>
      <c r="AN845" t="s">
        <v>15949</v>
      </c>
      <c r="AO845" t="s">
        <v>15950</v>
      </c>
      <c r="AP845" t="s">
        <v>15951</v>
      </c>
      <c r="AQ845" t="s">
        <v>74</v>
      </c>
      <c r="AR845" t="s">
        <v>15952</v>
      </c>
      <c r="AS845" t="s">
        <v>15953</v>
      </c>
      <c r="AT845" t="s">
        <v>13619</v>
      </c>
      <c r="AU845">
        <v>2014</v>
      </c>
      <c r="AV845">
        <v>13</v>
      </c>
      <c r="AW845">
        <v>4</v>
      </c>
      <c r="AX845" t="s">
        <v>74</v>
      </c>
      <c r="AY845" t="s">
        <v>74</v>
      </c>
      <c r="AZ845" t="s">
        <v>74</v>
      </c>
      <c r="BA845" t="s">
        <v>74</v>
      </c>
      <c r="BB845">
        <v>343</v>
      </c>
      <c r="BC845">
        <v>368</v>
      </c>
      <c r="BD845" t="s">
        <v>74</v>
      </c>
      <c r="BE845" t="s">
        <v>15954</v>
      </c>
      <c r="BF845" t="str">
        <f>HYPERLINK("http://dx.doi.org/10.1177/1470594X14538570","http://dx.doi.org/10.1177/1470594X14538570")</f>
        <v>http://dx.doi.org/10.1177/1470594X14538570</v>
      </c>
      <c r="BG845" t="s">
        <v>74</v>
      </c>
      <c r="BH845" t="s">
        <v>74</v>
      </c>
      <c r="BI845">
        <v>26</v>
      </c>
      <c r="BJ845" t="s">
        <v>15955</v>
      </c>
      <c r="BK845" t="s">
        <v>891</v>
      </c>
      <c r="BL845" t="s">
        <v>15956</v>
      </c>
      <c r="BM845" t="s">
        <v>15957</v>
      </c>
      <c r="BN845" t="s">
        <v>74</v>
      </c>
      <c r="BO845" t="s">
        <v>134</v>
      </c>
      <c r="BP845" t="s">
        <v>74</v>
      </c>
      <c r="BQ845" t="s">
        <v>74</v>
      </c>
      <c r="BR845" t="s">
        <v>93</v>
      </c>
      <c r="BS845" t="s">
        <v>15958</v>
      </c>
      <c r="BT845" t="str">
        <f>HYPERLINK("https%3A%2F%2Fwww.webofscience.com%2Fwos%2Fwoscc%2Ffull-record%2FWOS:000343835900003","View Full Record in Web of Science")</f>
        <v>View Full Record in Web of Science</v>
      </c>
    </row>
    <row r="846" spans="1:72" x14ac:dyDescent="0.15">
      <c r="A846" t="s">
        <v>72</v>
      </c>
      <c r="B846" t="s">
        <v>15959</v>
      </c>
      <c r="C846" t="s">
        <v>74</v>
      </c>
      <c r="D846" t="s">
        <v>74</v>
      </c>
      <c r="E846" t="s">
        <v>74</v>
      </c>
      <c r="F846" t="s">
        <v>15960</v>
      </c>
      <c r="G846" t="s">
        <v>74</v>
      </c>
      <c r="H846" t="s">
        <v>74</v>
      </c>
      <c r="I846" t="s">
        <v>15961</v>
      </c>
      <c r="J846" t="s">
        <v>2428</v>
      </c>
      <c r="K846" t="s">
        <v>74</v>
      </c>
      <c r="L846" t="s">
        <v>74</v>
      </c>
      <c r="M846" t="s">
        <v>78</v>
      </c>
      <c r="N846" t="s">
        <v>454</v>
      </c>
      <c r="O846" t="s">
        <v>74</v>
      </c>
      <c r="P846" t="s">
        <v>74</v>
      </c>
      <c r="Q846" t="s">
        <v>74</v>
      </c>
      <c r="R846" t="s">
        <v>74</v>
      </c>
      <c r="S846" t="s">
        <v>74</v>
      </c>
      <c r="T846" t="s">
        <v>74</v>
      </c>
      <c r="U846" t="s">
        <v>15962</v>
      </c>
      <c r="V846" t="s">
        <v>15963</v>
      </c>
      <c r="W846" t="s">
        <v>15964</v>
      </c>
      <c r="X846" t="s">
        <v>15965</v>
      </c>
      <c r="Y846" t="s">
        <v>15966</v>
      </c>
      <c r="Z846" t="s">
        <v>15967</v>
      </c>
      <c r="AA846" t="s">
        <v>15968</v>
      </c>
      <c r="AB846" t="s">
        <v>15969</v>
      </c>
      <c r="AC846" t="s">
        <v>15970</v>
      </c>
      <c r="AD846" t="s">
        <v>15971</v>
      </c>
      <c r="AE846" t="s">
        <v>15972</v>
      </c>
      <c r="AF846" t="s">
        <v>74</v>
      </c>
      <c r="AG846">
        <v>83</v>
      </c>
      <c r="AH846">
        <v>31</v>
      </c>
      <c r="AI846">
        <v>31</v>
      </c>
      <c r="AJ846">
        <v>1</v>
      </c>
      <c r="AK846">
        <v>17</v>
      </c>
      <c r="AL846" t="s">
        <v>2439</v>
      </c>
      <c r="AM846" t="s">
        <v>1411</v>
      </c>
      <c r="AN846" t="s">
        <v>2440</v>
      </c>
      <c r="AO846" t="s">
        <v>2441</v>
      </c>
      <c r="AP846" t="s">
        <v>74</v>
      </c>
      <c r="AQ846" t="s">
        <v>74</v>
      </c>
      <c r="AR846" t="s">
        <v>2442</v>
      </c>
      <c r="AS846" t="s">
        <v>2443</v>
      </c>
      <c r="AT846" t="s">
        <v>13619</v>
      </c>
      <c r="AU846">
        <v>2014</v>
      </c>
      <c r="AV846">
        <v>128</v>
      </c>
      <c r="AW846" t="s">
        <v>74</v>
      </c>
      <c r="AX846" t="s">
        <v>74</v>
      </c>
      <c r="AY846" t="s">
        <v>74</v>
      </c>
      <c r="AZ846" t="s">
        <v>74</v>
      </c>
      <c r="BA846" t="s">
        <v>74</v>
      </c>
      <c r="BB846">
        <v>98</v>
      </c>
      <c r="BC846">
        <v>114</v>
      </c>
      <c r="BD846" t="s">
        <v>74</v>
      </c>
      <c r="BE846" t="s">
        <v>15973</v>
      </c>
      <c r="BF846" t="str">
        <f>HYPERLINK("http://dx.doi.org/10.1016/j.pocean.2014.08.016","http://dx.doi.org/10.1016/j.pocean.2014.08.016")</f>
        <v>http://dx.doi.org/10.1016/j.pocean.2014.08.016</v>
      </c>
      <c r="BG846" t="s">
        <v>74</v>
      </c>
      <c r="BH846" t="s">
        <v>74</v>
      </c>
      <c r="BI846">
        <v>17</v>
      </c>
      <c r="BJ846" t="s">
        <v>2054</v>
      </c>
      <c r="BK846" t="s">
        <v>91</v>
      </c>
      <c r="BL846" t="s">
        <v>2054</v>
      </c>
      <c r="BM846" t="s">
        <v>14840</v>
      </c>
      <c r="BN846" t="s">
        <v>74</v>
      </c>
      <c r="BO846" t="s">
        <v>74</v>
      </c>
      <c r="BP846" t="s">
        <v>74</v>
      </c>
      <c r="BQ846" t="s">
        <v>74</v>
      </c>
      <c r="BR846" t="s">
        <v>93</v>
      </c>
      <c r="BS846" t="s">
        <v>15974</v>
      </c>
      <c r="BT846" t="str">
        <f>HYPERLINK("https%3A%2F%2Fwww.webofscience.com%2Fwos%2Fwoscc%2Ffull-record%2FWOS:000343795800008","View Full Record in Web of Science")</f>
        <v>View Full Record in Web of Science</v>
      </c>
    </row>
    <row r="847" spans="1:72" x14ac:dyDescent="0.15">
      <c r="A847" t="s">
        <v>72</v>
      </c>
      <c r="B847" t="s">
        <v>15975</v>
      </c>
      <c r="C847" t="s">
        <v>74</v>
      </c>
      <c r="D847" t="s">
        <v>74</v>
      </c>
      <c r="E847" t="s">
        <v>74</v>
      </c>
      <c r="F847" t="s">
        <v>15976</v>
      </c>
      <c r="G847" t="s">
        <v>74</v>
      </c>
      <c r="H847" t="s">
        <v>74</v>
      </c>
      <c r="I847" t="s">
        <v>15977</v>
      </c>
      <c r="J847" t="s">
        <v>3005</v>
      </c>
      <c r="K847" t="s">
        <v>74</v>
      </c>
      <c r="L847" t="s">
        <v>74</v>
      </c>
      <c r="M847" t="s">
        <v>78</v>
      </c>
      <c r="N847" t="s">
        <v>99</v>
      </c>
      <c r="O847" t="s">
        <v>74</v>
      </c>
      <c r="P847" t="s">
        <v>74</v>
      </c>
      <c r="Q847" t="s">
        <v>74</v>
      </c>
      <c r="R847" t="s">
        <v>74</v>
      </c>
      <c r="S847" t="s">
        <v>74</v>
      </c>
      <c r="T847" t="s">
        <v>15978</v>
      </c>
      <c r="U847" t="s">
        <v>15979</v>
      </c>
      <c r="V847" t="s">
        <v>15980</v>
      </c>
      <c r="W847" t="s">
        <v>15981</v>
      </c>
      <c r="X847" t="s">
        <v>15982</v>
      </c>
      <c r="Y847" t="s">
        <v>15983</v>
      </c>
      <c r="Z847" t="s">
        <v>15984</v>
      </c>
      <c r="AA847" t="s">
        <v>15985</v>
      </c>
      <c r="AB847" t="s">
        <v>15986</v>
      </c>
      <c r="AC847" t="s">
        <v>15987</v>
      </c>
      <c r="AD847" t="s">
        <v>15988</v>
      </c>
      <c r="AE847" t="s">
        <v>15989</v>
      </c>
      <c r="AF847" t="s">
        <v>74</v>
      </c>
      <c r="AG847">
        <v>100</v>
      </c>
      <c r="AH847">
        <v>121</v>
      </c>
      <c r="AI847">
        <v>130</v>
      </c>
      <c r="AJ847">
        <v>0</v>
      </c>
      <c r="AK847">
        <v>73</v>
      </c>
      <c r="AL847" t="s">
        <v>2439</v>
      </c>
      <c r="AM847" t="s">
        <v>1411</v>
      </c>
      <c r="AN847" t="s">
        <v>2440</v>
      </c>
      <c r="AO847" t="s">
        <v>3014</v>
      </c>
      <c r="AP847" t="s">
        <v>3015</v>
      </c>
      <c r="AQ847" t="s">
        <v>74</v>
      </c>
      <c r="AR847" t="s">
        <v>3016</v>
      </c>
      <c r="AS847" t="s">
        <v>3017</v>
      </c>
      <c r="AT847" t="s">
        <v>14185</v>
      </c>
      <c r="AU847">
        <v>2014</v>
      </c>
      <c r="AV847">
        <v>103</v>
      </c>
      <c r="AW847" t="s">
        <v>74</v>
      </c>
      <c r="AX847" t="s">
        <v>74</v>
      </c>
      <c r="AY847" t="s">
        <v>74</v>
      </c>
      <c r="AZ847" t="s">
        <v>74</v>
      </c>
      <c r="BA847" t="s">
        <v>74</v>
      </c>
      <c r="BB847">
        <v>116</v>
      </c>
      <c r="BC847">
        <v>133</v>
      </c>
      <c r="BD847" t="s">
        <v>74</v>
      </c>
      <c r="BE847" t="s">
        <v>15990</v>
      </c>
      <c r="BF847" t="str">
        <f>HYPERLINK("http://dx.doi.org/10.1016/j.quascirev.2014.08.018","http://dx.doi.org/10.1016/j.quascirev.2014.08.018")</f>
        <v>http://dx.doi.org/10.1016/j.quascirev.2014.08.018</v>
      </c>
      <c r="BG847" t="s">
        <v>74</v>
      </c>
      <c r="BH847" t="s">
        <v>74</v>
      </c>
      <c r="BI847">
        <v>18</v>
      </c>
      <c r="BJ847" t="s">
        <v>372</v>
      </c>
      <c r="BK847" t="s">
        <v>91</v>
      </c>
      <c r="BL847" t="s">
        <v>373</v>
      </c>
      <c r="BM847" t="s">
        <v>14681</v>
      </c>
      <c r="BN847" t="s">
        <v>74</v>
      </c>
      <c r="BO847" t="s">
        <v>15991</v>
      </c>
      <c r="BP847" t="s">
        <v>74</v>
      </c>
      <c r="BQ847" t="s">
        <v>74</v>
      </c>
      <c r="BR847" t="s">
        <v>93</v>
      </c>
      <c r="BS847" t="s">
        <v>15992</v>
      </c>
      <c r="BT847" t="str">
        <f>HYPERLINK("https%3A%2F%2Fwww.webofscience.com%2Fwos%2Fwoscc%2Ffull-record%2FWOS:000344211000009","View Full Record in Web of Science")</f>
        <v>View Full Record in Web of Science</v>
      </c>
    </row>
    <row r="848" spans="1:72" x14ac:dyDescent="0.15">
      <c r="A848" t="s">
        <v>72</v>
      </c>
      <c r="B848" t="s">
        <v>15993</v>
      </c>
      <c r="C848" t="s">
        <v>74</v>
      </c>
      <c r="D848" t="s">
        <v>74</v>
      </c>
      <c r="E848" t="s">
        <v>74</v>
      </c>
      <c r="F848" t="s">
        <v>15994</v>
      </c>
      <c r="G848" t="s">
        <v>74</v>
      </c>
      <c r="H848" t="s">
        <v>74</v>
      </c>
      <c r="I848" t="s">
        <v>15995</v>
      </c>
      <c r="J848" t="s">
        <v>15996</v>
      </c>
      <c r="K848" t="s">
        <v>74</v>
      </c>
      <c r="L848" t="s">
        <v>74</v>
      </c>
      <c r="M848" t="s">
        <v>3714</v>
      </c>
      <c r="N848" t="s">
        <v>1354</v>
      </c>
      <c r="O848" t="s">
        <v>74</v>
      </c>
      <c r="P848" t="s">
        <v>74</v>
      </c>
      <c r="Q848" t="s">
        <v>74</v>
      </c>
      <c r="R848" t="s">
        <v>74</v>
      </c>
      <c r="S848" t="s">
        <v>74</v>
      </c>
      <c r="T848" t="s">
        <v>74</v>
      </c>
      <c r="U848" t="s">
        <v>74</v>
      </c>
      <c r="V848" t="s">
        <v>74</v>
      </c>
      <c r="W848" t="s">
        <v>15997</v>
      </c>
      <c r="X848" t="s">
        <v>3213</v>
      </c>
      <c r="Y848" t="s">
        <v>15998</v>
      </c>
      <c r="Z848" t="s">
        <v>15999</v>
      </c>
      <c r="AA848" t="s">
        <v>74</v>
      </c>
      <c r="AB848" t="s">
        <v>74</v>
      </c>
      <c r="AC848" t="s">
        <v>74</v>
      </c>
      <c r="AD848" t="s">
        <v>74</v>
      </c>
      <c r="AE848" t="s">
        <v>74</v>
      </c>
      <c r="AF848" t="s">
        <v>74</v>
      </c>
      <c r="AG848">
        <v>1</v>
      </c>
      <c r="AH848">
        <v>0</v>
      </c>
      <c r="AI848">
        <v>0</v>
      </c>
      <c r="AJ848">
        <v>0</v>
      </c>
      <c r="AK848">
        <v>0</v>
      </c>
      <c r="AL848" t="s">
        <v>16000</v>
      </c>
      <c r="AM848" t="s">
        <v>16001</v>
      </c>
      <c r="AN848" t="s">
        <v>16002</v>
      </c>
      <c r="AO848" t="s">
        <v>16003</v>
      </c>
      <c r="AP848" t="s">
        <v>74</v>
      </c>
      <c r="AQ848" t="s">
        <v>74</v>
      </c>
      <c r="AR848" t="s">
        <v>16004</v>
      </c>
      <c r="AS848" t="s">
        <v>16005</v>
      </c>
      <c r="AT848" t="s">
        <v>13619</v>
      </c>
      <c r="AU848">
        <v>2014</v>
      </c>
      <c r="AV848">
        <v>7</v>
      </c>
      <c r="AW848">
        <v>21</v>
      </c>
      <c r="AX848" t="s">
        <v>74</v>
      </c>
      <c r="AY848" t="s">
        <v>74</v>
      </c>
      <c r="AZ848" t="s">
        <v>74</v>
      </c>
      <c r="BA848" t="s">
        <v>74</v>
      </c>
      <c r="BB848">
        <v>95</v>
      </c>
      <c r="BC848">
        <v>98</v>
      </c>
      <c r="BD848" t="s">
        <v>74</v>
      </c>
      <c r="BE848" t="s">
        <v>74</v>
      </c>
      <c r="BF848" t="s">
        <v>74</v>
      </c>
      <c r="BG848" t="s">
        <v>74</v>
      </c>
      <c r="BH848" t="s">
        <v>74</v>
      </c>
      <c r="BI848">
        <v>4</v>
      </c>
      <c r="BJ848" t="s">
        <v>16006</v>
      </c>
      <c r="BK848" t="s">
        <v>202</v>
      </c>
      <c r="BL848" t="s">
        <v>14939</v>
      </c>
      <c r="BM848" t="s">
        <v>16007</v>
      </c>
      <c r="BN848" t="s">
        <v>74</v>
      </c>
      <c r="BO848" t="s">
        <v>74</v>
      </c>
      <c r="BP848" t="s">
        <v>74</v>
      </c>
      <c r="BQ848" t="s">
        <v>74</v>
      </c>
      <c r="BR848" t="s">
        <v>93</v>
      </c>
      <c r="BS848" t="s">
        <v>16008</v>
      </c>
      <c r="BT848" t="str">
        <f>HYPERLINK("https%3A%2F%2Fwww.webofscience.com%2Fwos%2Fwoscc%2Ffull-record%2FWOS:000420180700010","View Full Record in Web of Science")</f>
        <v>View Full Record in Web of Science</v>
      </c>
    </row>
    <row r="849" spans="1:72" x14ac:dyDescent="0.15">
      <c r="A849" t="s">
        <v>72</v>
      </c>
      <c r="B849" t="s">
        <v>12583</v>
      </c>
      <c r="C849" t="s">
        <v>74</v>
      </c>
      <c r="D849" t="s">
        <v>74</v>
      </c>
      <c r="E849" t="s">
        <v>74</v>
      </c>
      <c r="F849" t="s">
        <v>12584</v>
      </c>
      <c r="G849" t="s">
        <v>74</v>
      </c>
      <c r="H849" t="s">
        <v>74</v>
      </c>
      <c r="I849" t="s">
        <v>16009</v>
      </c>
      <c r="J849" t="s">
        <v>12586</v>
      </c>
      <c r="K849" t="s">
        <v>74</v>
      </c>
      <c r="L849" t="s">
        <v>74</v>
      </c>
      <c r="M849" t="s">
        <v>78</v>
      </c>
      <c r="N849" t="s">
        <v>99</v>
      </c>
      <c r="O849" t="s">
        <v>74</v>
      </c>
      <c r="P849" t="s">
        <v>74</v>
      </c>
      <c r="Q849" t="s">
        <v>74</v>
      </c>
      <c r="R849" t="s">
        <v>74</v>
      </c>
      <c r="S849" t="s">
        <v>74</v>
      </c>
      <c r="T849" t="s">
        <v>16010</v>
      </c>
      <c r="U849" t="s">
        <v>16011</v>
      </c>
      <c r="V849" t="s">
        <v>16012</v>
      </c>
      <c r="W849" t="s">
        <v>16013</v>
      </c>
      <c r="X849" t="s">
        <v>16014</v>
      </c>
      <c r="Y849" t="s">
        <v>16015</v>
      </c>
      <c r="Z849" t="s">
        <v>16016</v>
      </c>
      <c r="AA849" t="s">
        <v>16017</v>
      </c>
      <c r="AB849" t="s">
        <v>16018</v>
      </c>
      <c r="AC849" t="s">
        <v>16019</v>
      </c>
      <c r="AD849" t="s">
        <v>16020</v>
      </c>
      <c r="AE849" t="s">
        <v>16021</v>
      </c>
      <c r="AF849" t="s">
        <v>74</v>
      </c>
      <c r="AG849">
        <v>56</v>
      </c>
      <c r="AH849">
        <v>10</v>
      </c>
      <c r="AI849">
        <v>12</v>
      </c>
      <c r="AJ849">
        <v>1</v>
      </c>
      <c r="AK849">
        <v>7</v>
      </c>
      <c r="AL849" t="s">
        <v>8896</v>
      </c>
      <c r="AM849" t="s">
        <v>219</v>
      </c>
      <c r="AN849" t="s">
        <v>8897</v>
      </c>
      <c r="AO849" t="s">
        <v>12589</v>
      </c>
      <c r="AP849" t="s">
        <v>74</v>
      </c>
      <c r="AQ849" t="s">
        <v>74</v>
      </c>
      <c r="AR849" t="s">
        <v>12590</v>
      </c>
      <c r="AS849" t="s">
        <v>12591</v>
      </c>
      <c r="AT849" t="s">
        <v>13619</v>
      </c>
      <c r="AU849">
        <v>2014</v>
      </c>
      <c r="AV849">
        <v>1</v>
      </c>
      <c r="AW849">
        <v>3</v>
      </c>
      <c r="AX849" t="s">
        <v>74</v>
      </c>
      <c r="AY849" t="s">
        <v>74</v>
      </c>
      <c r="AZ849" t="s">
        <v>74</v>
      </c>
      <c r="BA849" t="s">
        <v>74</v>
      </c>
      <c r="BB849" t="s">
        <v>74</v>
      </c>
      <c r="BC849" t="s">
        <v>74</v>
      </c>
      <c r="BD849">
        <v>140294</v>
      </c>
      <c r="BE849" t="s">
        <v>16022</v>
      </c>
      <c r="BF849" t="str">
        <f>HYPERLINK("http://dx.doi.org/10.1098/rsos.140294","http://dx.doi.org/10.1098/rsos.140294")</f>
        <v>http://dx.doi.org/10.1098/rsos.140294</v>
      </c>
      <c r="BG849" t="s">
        <v>74</v>
      </c>
      <c r="BH849" t="s">
        <v>74</v>
      </c>
      <c r="BI849">
        <v>12</v>
      </c>
      <c r="BJ849" t="s">
        <v>201</v>
      </c>
      <c r="BK849" t="s">
        <v>91</v>
      </c>
      <c r="BL849" t="s">
        <v>203</v>
      </c>
      <c r="BM849" t="s">
        <v>16023</v>
      </c>
      <c r="BN849">
        <v>26064564</v>
      </c>
      <c r="BO849" t="s">
        <v>159</v>
      </c>
      <c r="BP849" t="s">
        <v>74</v>
      </c>
      <c r="BQ849" t="s">
        <v>74</v>
      </c>
      <c r="BR849" t="s">
        <v>93</v>
      </c>
      <c r="BS849" t="s">
        <v>16024</v>
      </c>
      <c r="BT849" t="str">
        <f>HYPERLINK("https%3A%2F%2Fwww.webofscience.com%2Fwos%2Fwoscc%2Ffull-record%2FWOS:000209732000014","View Full Record in Web of Science")</f>
        <v>View Full Record in Web of Science</v>
      </c>
    </row>
    <row r="850" spans="1:72" x14ac:dyDescent="0.15">
      <c r="A850" t="s">
        <v>72</v>
      </c>
      <c r="B850" t="s">
        <v>16025</v>
      </c>
      <c r="C850" t="s">
        <v>74</v>
      </c>
      <c r="D850" t="s">
        <v>74</v>
      </c>
      <c r="E850" t="s">
        <v>74</v>
      </c>
      <c r="F850" t="s">
        <v>16026</v>
      </c>
      <c r="G850" t="s">
        <v>74</v>
      </c>
      <c r="H850" t="s">
        <v>74</v>
      </c>
      <c r="I850" t="s">
        <v>16027</v>
      </c>
      <c r="J850" t="s">
        <v>8584</v>
      </c>
      <c r="K850" t="s">
        <v>74</v>
      </c>
      <c r="L850" t="s">
        <v>74</v>
      </c>
      <c r="M850" t="s">
        <v>78</v>
      </c>
      <c r="N850" t="s">
        <v>99</v>
      </c>
      <c r="O850" t="s">
        <v>74</v>
      </c>
      <c r="P850" t="s">
        <v>74</v>
      </c>
      <c r="Q850" t="s">
        <v>74</v>
      </c>
      <c r="R850" t="s">
        <v>74</v>
      </c>
      <c r="S850" t="s">
        <v>74</v>
      </c>
      <c r="T850" t="s">
        <v>16028</v>
      </c>
      <c r="U850" t="s">
        <v>16029</v>
      </c>
      <c r="V850" t="s">
        <v>16030</v>
      </c>
      <c r="W850" t="s">
        <v>16031</v>
      </c>
      <c r="X850" t="s">
        <v>16032</v>
      </c>
      <c r="Y850" t="s">
        <v>16033</v>
      </c>
      <c r="Z850" t="s">
        <v>16034</v>
      </c>
      <c r="AA850" t="s">
        <v>16035</v>
      </c>
      <c r="AB850" t="s">
        <v>16036</v>
      </c>
      <c r="AC850" t="s">
        <v>74</v>
      </c>
      <c r="AD850" t="s">
        <v>74</v>
      </c>
      <c r="AE850" t="s">
        <v>74</v>
      </c>
      <c r="AF850" t="s">
        <v>74</v>
      </c>
      <c r="AG850">
        <v>53</v>
      </c>
      <c r="AH850">
        <v>24</v>
      </c>
      <c r="AI850">
        <v>27</v>
      </c>
      <c r="AJ850">
        <v>2</v>
      </c>
      <c r="AK850">
        <v>76</v>
      </c>
      <c r="AL850" t="s">
        <v>2640</v>
      </c>
      <c r="AM850" t="s">
        <v>1176</v>
      </c>
      <c r="AN850" t="s">
        <v>2641</v>
      </c>
      <c r="AO850" t="s">
        <v>8597</v>
      </c>
      <c r="AP850" t="s">
        <v>8598</v>
      </c>
      <c r="AQ850" t="s">
        <v>74</v>
      </c>
      <c r="AR850" t="s">
        <v>8599</v>
      </c>
      <c r="AS850" t="s">
        <v>8600</v>
      </c>
      <c r="AT850" t="s">
        <v>14185</v>
      </c>
      <c r="AU850">
        <v>2014</v>
      </c>
      <c r="AV850">
        <v>497</v>
      </c>
      <c r="AW850" t="s">
        <v>74</v>
      </c>
      <c r="AX850" t="s">
        <v>74</v>
      </c>
      <c r="AY850" t="s">
        <v>74</v>
      </c>
      <c r="AZ850" t="s">
        <v>74</v>
      </c>
      <c r="BA850" t="s">
        <v>74</v>
      </c>
      <c r="BB850">
        <v>353</v>
      </c>
      <c r="BC850">
        <v>359</v>
      </c>
      <c r="BD850" t="s">
        <v>74</v>
      </c>
      <c r="BE850" t="s">
        <v>16037</v>
      </c>
      <c r="BF850" t="str">
        <f>HYPERLINK("http://dx.doi.org/10.1016/j.scitotenv.2014.07.109","http://dx.doi.org/10.1016/j.scitotenv.2014.07.109")</f>
        <v>http://dx.doi.org/10.1016/j.scitotenv.2014.07.109</v>
      </c>
      <c r="BG850" t="s">
        <v>74</v>
      </c>
      <c r="BH850" t="s">
        <v>74</v>
      </c>
      <c r="BI850">
        <v>7</v>
      </c>
      <c r="BJ850" t="s">
        <v>1611</v>
      </c>
      <c r="BK850" t="s">
        <v>91</v>
      </c>
      <c r="BL850" t="s">
        <v>395</v>
      </c>
      <c r="BM850" t="s">
        <v>14917</v>
      </c>
      <c r="BN850">
        <v>25137383</v>
      </c>
      <c r="BO850" t="s">
        <v>74</v>
      </c>
      <c r="BP850" t="s">
        <v>74</v>
      </c>
      <c r="BQ850" t="s">
        <v>74</v>
      </c>
      <c r="BR850" t="s">
        <v>93</v>
      </c>
      <c r="BS850" t="s">
        <v>16038</v>
      </c>
      <c r="BT850" t="str">
        <f>HYPERLINK("https%3A%2F%2Fwww.webofscience.com%2Fwos%2Fwoscc%2Ffull-record%2FWOS:000343613100037","View Full Record in Web of Science")</f>
        <v>View Full Record in Web of Science</v>
      </c>
    </row>
    <row r="851" spans="1:72" x14ac:dyDescent="0.15">
      <c r="A851" t="s">
        <v>72</v>
      </c>
      <c r="B851" t="s">
        <v>16039</v>
      </c>
      <c r="C851" t="s">
        <v>74</v>
      </c>
      <c r="D851" t="s">
        <v>74</v>
      </c>
      <c r="E851" t="s">
        <v>74</v>
      </c>
      <c r="F851" t="s">
        <v>16040</v>
      </c>
      <c r="G851" t="s">
        <v>74</v>
      </c>
      <c r="H851" t="s">
        <v>74</v>
      </c>
      <c r="I851" t="s">
        <v>16041</v>
      </c>
      <c r="J851" t="s">
        <v>16042</v>
      </c>
      <c r="K851" t="s">
        <v>74</v>
      </c>
      <c r="L851" t="s">
        <v>74</v>
      </c>
      <c r="M851" t="s">
        <v>78</v>
      </c>
      <c r="N851" t="s">
        <v>99</v>
      </c>
      <c r="O851" t="s">
        <v>74</v>
      </c>
      <c r="P851" t="s">
        <v>74</v>
      </c>
      <c r="Q851" t="s">
        <v>74</v>
      </c>
      <c r="R851" t="s">
        <v>74</v>
      </c>
      <c r="S851" t="s">
        <v>74</v>
      </c>
      <c r="T851" t="s">
        <v>16043</v>
      </c>
      <c r="U851" t="s">
        <v>16044</v>
      </c>
      <c r="V851" t="s">
        <v>16045</v>
      </c>
      <c r="W851" t="s">
        <v>16046</v>
      </c>
      <c r="X851" t="s">
        <v>16047</v>
      </c>
      <c r="Y851" t="s">
        <v>16048</v>
      </c>
      <c r="Z851" t="s">
        <v>16049</v>
      </c>
      <c r="AA851" t="s">
        <v>16050</v>
      </c>
      <c r="AB851" t="s">
        <v>16051</v>
      </c>
      <c r="AC851" t="s">
        <v>16052</v>
      </c>
      <c r="AD851" t="s">
        <v>16053</v>
      </c>
      <c r="AE851" t="s">
        <v>16054</v>
      </c>
      <c r="AF851" t="s">
        <v>74</v>
      </c>
      <c r="AG851">
        <v>60</v>
      </c>
      <c r="AH851">
        <v>216</v>
      </c>
      <c r="AI851">
        <v>246</v>
      </c>
      <c r="AJ851">
        <v>26</v>
      </c>
      <c r="AK851">
        <v>376</v>
      </c>
      <c r="AL851" t="s">
        <v>2439</v>
      </c>
      <c r="AM851" t="s">
        <v>1411</v>
      </c>
      <c r="AN851" t="s">
        <v>2440</v>
      </c>
      <c r="AO851" t="s">
        <v>16055</v>
      </c>
      <c r="AP851" t="s">
        <v>74</v>
      </c>
      <c r="AQ851" t="s">
        <v>74</v>
      </c>
      <c r="AR851" t="s">
        <v>16056</v>
      </c>
      <c r="AS851" t="s">
        <v>16057</v>
      </c>
      <c r="AT851" t="s">
        <v>13619</v>
      </c>
      <c r="AU851">
        <v>2014</v>
      </c>
      <c r="AV851">
        <v>78</v>
      </c>
      <c r="AW851" t="s">
        <v>74</v>
      </c>
      <c r="AX851" t="s">
        <v>74</v>
      </c>
      <c r="AY851" t="s">
        <v>74</v>
      </c>
      <c r="AZ851" t="s">
        <v>74</v>
      </c>
      <c r="BA851" t="s">
        <v>74</v>
      </c>
      <c r="BB851">
        <v>10</v>
      </c>
      <c r="BC851">
        <v>20</v>
      </c>
      <c r="BD851" t="s">
        <v>74</v>
      </c>
      <c r="BE851" t="s">
        <v>16058</v>
      </c>
      <c r="BF851" t="str">
        <f>HYPERLINK("http://dx.doi.org/10.1016/j.soilbio.2014.07.005","http://dx.doi.org/10.1016/j.soilbio.2014.07.005")</f>
        <v>http://dx.doi.org/10.1016/j.soilbio.2014.07.005</v>
      </c>
      <c r="BG851" t="s">
        <v>74</v>
      </c>
      <c r="BH851" t="s">
        <v>74</v>
      </c>
      <c r="BI851">
        <v>11</v>
      </c>
      <c r="BJ851" t="s">
        <v>5149</v>
      </c>
      <c r="BK851" t="s">
        <v>91</v>
      </c>
      <c r="BL851" t="s">
        <v>5150</v>
      </c>
      <c r="BM851" t="s">
        <v>16059</v>
      </c>
      <c r="BN851" t="s">
        <v>74</v>
      </c>
      <c r="BO851" t="s">
        <v>74</v>
      </c>
      <c r="BP851" t="s">
        <v>5654</v>
      </c>
      <c r="BQ851" t="s">
        <v>5655</v>
      </c>
      <c r="BR851" t="s">
        <v>93</v>
      </c>
      <c r="BS851" t="s">
        <v>16060</v>
      </c>
      <c r="BT851" t="str">
        <f>HYPERLINK("https%3A%2F%2Fwww.webofscience.com%2Fwos%2Fwoscc%2Ffull-record%2FWOS:000343950600002","View Full Record in Web of Science")</f>
        <v>View Full Record in Web of Science</v>
      </c>
    </row>
    <row r="852" spans="1:72" x14ac:dyDescent="0.15">
      <c r="A852" t="s">
        <v>72</v>
      </c>
      <c r="B852" t="s">
        <v>7116</v>
      </c>
      <c r="C852" t="s">
        <v>74</v>
      </c>
      <c r="D852" t="s">
        <v>74</v>
      </c>
      <c r="E852" t="s">
        <v>74</v>
      </c>
      <c r="F852" t="s">
        <v>7117</v>
      </c>
      <c r="G852" t="s">
        <v>74</v>
      </c>
      <c r="H852" t="s">
        <v>74</v>
      </c>
      <c r="I852" t="s">
        <v>16061</v>
      </c>
      <c r="J852" t="s">
        <v>16062</v>
      </c>
      <c r="K852" t="s">
        <v>74</v>
      </c>
      <c r="L852" t="s">
        <v>74</v>
      </c>
      <c r="M852" t="s">
        <v>78</v>
      </c>
      <c r="N852" t="s">
        <v>99</v>
      </c>
      <c r="O852" t="s">
        <v>74</v>
      </c>
      <c r="P852" t="s">
        <v>74</v>
      </c>
      <c r="Q852" t="s">
        <v>74</v>
      </c>
      <c r="R852" t="s">
        <v>74</v>
      </c>
      <c r="S852" t="s">
        <v>74</v>
      </c>
      <c r="T852" t="s">
        <v>74</v>
      </c>
      <c r="U852" t="s">
        <v>16063</v>
      </c>
      <c r="V852" t="s">
        <v>16064</v>
      </c>
      <c r="W852" t="s">
        <v>16065</v>
      </c>
      <c r="X852" t="s">
        <v>16066</v>
      </c>
      <c r="Y852" t="s">
        <v>7125</v>
      </c>
      <c r="Z852" t="s">
        <v>7126</v>
      </c>
      <c r="AA852" t="s">
        <v>74</v>
      </c>
      <c r="AB852" t="s">
        <v>7127</v>
      </c>
      <c r="AC852" t="s">
        <v>16067</v>
      </c>
      <c r="AD852" t="s">
        <v>16068</v>
      </c>
      <c r="AE852" t="s">
        <v>16069</v>
      </c>
      <c r="AF852" t="s">
        <v>74</v>
      </c>
      <c r="AG852">
        <v>47</v>
      </c>
      <c r="AH852">
        <v>10</v>
      </c>
      <c r="AI852">
        <v>10</v>
      </c>
      <c r="AJ852">
        <v>4</v>
      </c>
      <c r="AK852">
        <v>63</v>
      </c>
      <c r="AL852" t="s">
        <v>16070</v>
      </c>
      <c r="AM852" t="s">
        <v>16071</v>
      </c>
      <c r="AN852" t="s">
        <v>16072</v>
      </c>
      <c r="AO852" t="s">
        <v>16073</v>
      </c>
      <c r="AP852" t="s">
        <v>16074</v>
      </c>
      <c r="AQ852" t="s">
        <v>74</v>
      </c>
      <c r="AR852" t="s">
        <v>16075</v>
      </c>
      <c r="AS852" t="s">
        <v>16076</v>
      </c>
      <c r="AT852" t="s">
        <v>13619</v>
      </c>
      <c r="AU852">
        <v>2014</v>
      </c>
      <c r="AV852">
        <v>118</v>
      </c>
      <c r="AW852">
        <v>3</v>
      </c>
      <c r="AX852" t="s">
        <v>74</v>
      </c>
      <c r="AY852" t="s">
        <v>74</v>
      </c>
      <c r="AZ852" t="s">
        <v>74</v>
      </c>
      <c r="BA852" t="s">
        <v>74</v>
      </c>
      <c r="BB852">
        <v>511</v>
      </c>
      <c r="BC852">
        <v>521</v>
      </c>
      <c r="BD852" t="s">
        <v>74</v>
      </c>
      <c r="BE852" t="s">
        <v>16077</v>
      </c>
      <c r="BF852" t="str">
        <f>HYPERLINK("http://dx.doi.org/10.1007/s00704-013-1085-8","http://dx.doi.org/10.1007/s00704-013-1085-8")</f>
        <v>http://dx.doi.org/10.1007/s00704-013-1085-8</v>
      </c>
      <c r="BG852" t="s">
        <v>74</v>
      </c>
      <c r="BH852" t="s">
        <v>74</v>
      </c>
      <c r="BI852">
        <v>11</v>
      </c>
      <c r="BJ852" t="s">
        <v>226</v>
      </c>
      <c r="BK852" t="s">
        <v>91</v>
      </c>
      <c r="BL852" t="s">
        <v>226</v>
      </c>
      <c r="BM852" t="s">
        <v>16078</v>
      </c>
      <c r="BN852" t="s">
        <v>74</v>
      </c>
      <c r="BO852" t="s">
        <v>74</v>
      </c>
      <c r="BP852" t="s">
        <v>74</v>
      </c>
      <c r="BQ852" t="s">
        <v>74</v>
      </c>
      <c r="BR852" t="s">
        <v>93</v>
      </c>
      <c r="BS852" t="s">
        <v>16079</v>
      </c>
      <c r="BT852" t="str">
        <f>HYPERLINK("https%3A%2F%2Fwww.webofscience.com%2Fwos%2Fwoscc%2Ffull-record%2FWOS:000344813300012","View Full Record in Web of Science")</f>
        <v>View Full Record in Web of Science</v>
      </c>
    </row>
    <row r="853" spans="1:72" x14ac:dyDescent="0.15">
      <c r="A853" t="s">
        <v>72</v>
      </c>
      <c r="B853" t="s">
        <v>16080</v>
      </c>
      <c r="C853" t="s">
        <v>74</v>
      </c>
      <c r="D853" t="s">
        <v>74</v>
      </c>
      <c r="E853" t="s">
        <v>74</v>
      </c>
      <c r="F853" t="s">
        <v>16081</v>
      </c>
      <c r="G853" t="s">
        <v>74</v>
      </c>
      <c r="H853" t="s">
        <v>74</v>
      </c>
      <c r="I853" t="s">
        <v>16082</v>
      </c>
      <c r="J853" t="s">
        <v>16062</v>
      </c>
      <c r="K853" t="s">
        <v>74</v>
      </c>
      <c r="L853" t="s">
        <v>74</v>
      </c>
      <c r="M853" t="s">
        <v>78</v>
      </c>
      <c r="N853" t="s">
        <v>99</v>
      </c>
      <c r="O853" t="s">
        <v>74</v>
      </c>
      <c r="P853" t="s">
        <v>74</v>
      </c>
      <c r="Q853" t="s">
        <v>74</v>
      </c>
      <c r="R853" t="s">
        <v>74</v>
      </c>
      <c r="S853" t="s">
        <v>74</v>
      </c>
      <c r="T853" t="s">
        <v>74</v>
      </c>
      <c r="U853" t="s">
        <v>16083</v>
      </c>
      <c r="V853" t="s">
        <v>16084</v>
      </c>
      <c r="W853" t="s">
        <v>16085</v>
      </c>
      <c r="X853" t="s">
        <v>16086</v>
      </c>
      <c r="Y853" t="s">
        <v>16087</v>
      </c>
      <c r="Z853" t="s">
        <v>16088</v>
      </c>
      <c r="AA853" t="s">
        <v>16089</v>
      </c>
      <c r="AB853" t="s">
        <v>16090</v>
      </c>
      <c r="AC853" t="s">
        <v>16091</v>
      </c>
      <c r="AD853" t="s">
        <v>16092</v>
      </c>
      <c r="AE853" t="s">
        <v>16093</v>
      </c>
      <c r="AF853" t="s">
        <v>74</v>
      </c>
      <c r="AG853">
        <v>13</v>
      </c>
      <c r="AH853">
        <v>1</v>
      </c>
      <c r="AI853">
        <v>1</v>
      </c>
      <c r="AJ853">
        <v>0</v>
      </c>
      <c r="AK853">
        <v>6</v>
      </c>
      <c r="AL853" t="s">
        <v>16070</v>
      </c>
      <c r="AM853" t="s">
        <v>16071</v>
      </c>
      <c r="AN853" t="s">
        <v>16072</v>
      </c>
      <c r="AO853" t="s">
        <v>16073</v>
      </c>
      <c r="AP853" t="s">
        <v>16074</v>
      </c>
      <c r="AQ853" t="s">
        <v>74</v>
      </c>
      <c r="AR853" t="s">
        <v>16075</v>
      </c>
      <c r="AS853" t="s">
        <v>16076</v>
      </c>
      <c r="AT853" t="s">
        <v>13619</v>
      </c>
      <c r="AU853">
        <v>2014</v>
      </c>
      <c r="AV853">
        <v>118</v>
      </c>
      <c r="AW853">
        <v>4</v>
      </c>
      <c r="AX853" t="s">
        <v>74</v>
      </c>
      <c r="AY853" t="s">
        <v>74</v>
      </c>
      <c r="AZ853" t="s">
        <v>74</v>
      </c>
      <c r="BA853" t="s">
        <v>74</v>
      </c>
      <c r="BB853">
        <v>641</v>
      </c>
      <c r="BC853">
        <v>653</v>
      </c>
      <c r="BD853" t="s">
        <v>74</v>
      </c>
      <c r="BE853" t="s">
        <v>16094</v>
      </c>
      <c r="BF853" t="str">
        <f>HYPERLINK("http://dx.doi.org/10.1007/s00704-009-0177-y","http://dx.doi.org/10.1007/s00704-009-0177-y")</f>
        <v>http://dx.doi.org/10.1007/s00704-009-0177-y</v>
      </c>
      <c r="BG853" t="s">
        <v>74</v>
      </c>
      <c r="BH853" t="s">
        <v>74</v>
      </c>
      <c r="BI853">
        <v>13</v>
      </c>
      <c r="BJ853" t="s">
        <v>226</v>
      </c>
      <c r="BK853" t="s">
        <v>91</v>
      </c>
      <c r="BL853" t="s">
        <v>226</v>
      </c>
      <c r="BM853" t="s">
        <v>16095</v>
      </c>
      <c r="BN853" t="s">
        <v>74</v>
      </c>
      <c r="BO853" t="s">
        <v>4631</v>
      </c>
      <c r="BP853" t="s">
        <v>74</v>
      </c>
      <c r="BQ853" t="s">
        <v>74</v>
      </c>
      <c r="BR853" t="s">
        <v>93</v>
      </c>
      <c r="BS853" t="s">
        <v>16096</v>
      </c>
      <c r="BT853" t="str">
        <f>HYPERLINK("https%3A%2F%2Fwww.webofscience.com%2Fwos%2Fwoscc%2Ffull-record%2FWOS:000345102900005","View Full Record in Web of Science")</f>
        <v>View Full Record in Web of Science</v>
      </c>
    </row>
    <row r="854" spans="1:72" x14ac:dyDescent="0.15">
      <c r="A854" t="s">
        <v>72</v>
      </c>
      <c r="B854" t="s">
        <v>16097</v>
      </c>
      <c r="C854" t="s">
        <v>74</v>
      </c>
      <c r="D854" t="s">
        <v>74</v>
      </c>
      <c r="E854" t="s">
        <v>74</v>
      </c>
      <c r="F854" t="s">
        <v>16098</v>
      </c>
      <c r="G854" t="s">
        <v>74</v>
      </c>
      <c r="H854" t="s">
        <v>74</v>
      </c>
      <c r="I854" t="s">
        <v>16099</v>
      </c>
      <c r="J854" t="s">
        <v>16100</v>
      </c>
      <c r="K854" t="s">
        <v>74</v>
      </c>
      <c r="L854" t="s">
        <v>74</v>
      </c>
      <c r="M854" t="s">
        <v>78</v>
      </c>
      <c r="N854" t="s">
        <v>99</v>
      </c>
      <c r="O854" t="s">
        <v>74</v>
      </c>
      <c r="P854" t="s">
        <v>74</v>
      </c>
      <c r="Q854" t="s">
        <v>74</v>
      </c>
      <c r="R854" t="s">
        <v>74</v>
      </c>
      <c r="S854" t="s">
        <v>74</v>
      </c>
      <c r="T854" t="s">
        <v>16101</v>
      </c>
      <c r="U854" t="s">
        <v>16102</v>
      </c>
      <c r="V854" t="s">
        <v>16103</v>
      </c>
      <c r="W854" t="s">
        <v>16104</v>
      </c>
      <c r="X854" t="s">
        <v>16105</v>
      </c>
      <c r="Y854" t="s">
        <v>16106</v>
      </c>
      <c r="Z854" t="s">
        <v>16107</v>
      </c>
      <c r="AA854" t="s">
        <v>74</v>
      </c>
      <c r="AB854" t="s">
        <v>16108</v>
      </c>
      <c r="AC854" t="s">
        <v>16109</v>
      </c>
      <c r="AD854" t="s">
        <v>16110</v>
      </c>
      <c r="AE854" t="s">
        <v>16111</v>
      </c>
      <c r="AF854" t="s">
        <v>74</v>
      </c>
      <c r="AG854">
        <v>62</v>
      </c>
      <c r="AH854">
        <v>14</v>
      </c>
      <c r="AI854">
        <v>15</v>
      </c>
      <c r="AJ854">
        <v>0</v>
      </c>
      <c r="AK854">
        <v>3</v>
      </c>
      <c r="AL854" t="s">
        <v>2439</v>
      </c>
      <c r="AM854" t="s">
        <v>1411</v>
      </c>
      <c r="AN854" t="s">
        <v>2440</v>
      </c>
      <c r="AO854" t="s">
        <v>16112</v>
      </c>
      <c r="AP854" t="s">
        <v>74</v>
      </c>
      <c r="AQ854" t="s">
        <v>74</v>
      </c>
      <c r="AR854" t="s">
        <v>16113</v>
      </c>
      <c r="AS854" t="s">
        <v>16114</v>
      </c>
      <c r="AT854" t="s">
        <v>13619</v>
      </c>
      <c r="AU854">
        <v>2014</v>
      </c>
      <c r="AV854">
        <v>55</v>
      </c>
      <c r="AW854" t="s">
        <v>74</v>
      </c>
      <c r="AX854" t="s">
        <v>74</v>
      </c>
      <c r="AY854" t="s">
        <v>74</v>
      </c>
      <c r="AZ854" t="s">
        <v>74</v>
      </c>
      <c r="BA854" t="s">
        <v>74</v>
      </c>
      <c r="BB854">
        <v>133</v>
      </c>
      <c r="BC854">
        <v>140</v>
      </c>
      <c r="BD854" t="s">
        <v>74</v>
      </c>
      <c r="BE854" t="s">
        <v>16115</v>
      </c>
      <c r="BF854" t="str">
        <f>HYPERLINK("http://dx.doi.org/10.1016/j.jsames.2014.06.010","http://dx.doi.org/10.1016/j.jsames.2014.06.010")</f>
        <v>http://dx.doi.org/10.1016/j.jsames.2014.06.010</v>
      </c>
      <c r="BG854" t="s">
        <v>74</v>
      </c>
      <c r="BH854" t="s">
        <v>74</v>
      </c>
      <c r="BI854">
        <v>8</v>
      </c>
      <c r="BJ854" t="s">
        <v>1953</v>
      </c>
      <c r="BK854" t="s">
        <v>91</v>
      </c>
      <c r="BL854" t="s">
        <v>1954</v>
      </c>
      <c r="BM854" t="s">
        <v>16116</v>
      </c>
      <c r="BN854" t="s">
        <v>74</v>
      </c>
      <c r="BO854" t="s">
        <v>74</v>
      </c>
      <c r="BP854" t="s">
        <v>74</v>
      </c>
      <c r="BQ854" t="s">
        <v>74</v>
      </c>
      <c r="BR854" t="s">
        <v>93</v>
      </c>
      <c r="BS854" t="s">
        <v>16117</v>
      </c>
      <c r="BT854" t="str">
        <f>HYPERLINK("https%3A%2F%2Fwww.webofscience.com%2Fwos%2Fwoscc%2Ffull-record%2FWOS:000342479600009","View Full Record in Web of Science")</f>
        <v>View Full Record in Web of Science</v>
      </c>
    </row>
    <row r="855" spans="1:72" x14ac:dyDescent="0.15">
      <c r="A855" t="s">
        <v>72</v>
      </c>
      <c r="B855" t="s">
        <v>16118</v>
      </c>
      <c r="C855" t="s">
        <v>74</v>
      </c>
      <c r="D855" t="s">
        <v>74</v>
      </c>
      <c r="E855" t="s">
        <v>74</v>
      </c>
      <c r="F855" t="s">
        <v>16119</v>
      </c>
      <c r="G855" t="s">
        <v>74</v>
      </c>
      <c r="H855" t="s">
        <v>74</v>
      </c>
      <c r="I855" t="s">
        <v>16120</v>
      </c>
      <c r="J855" t="s">
        <v>11097</v>
      </c>
      <c r="K855" t="s">
        <v>74</v>
      </c>
      <c r="L855" t="s">
        <v>74</v>
      </c>
      <c r="M855" t="s">
        <v>78</v>
      </c>
      <c r="N855" t="s">
        <v>99</v>
      </c>
      <c r="O855" t="s">
        <v>74</v>
      </c>
      <c r="P855" t="s">
        <v>74</v>
      </c>
      <c r="Q855" t="s">
        <v>74</v>
      </c>
      <c r="R855" t="s">
        <v>74</v>
      </c>
      <c r="S855" t="s">
        <v>74</v>
      </c>
      <c r="T855" t="s">
        <v>16121</v>
      </c>
      <c r="U855" t="s">
        <v>74</v>
      </c>
      <c r="V855" t="s">
        <v>16122</v>
      </c>
      <c r="W855" t="s">
        <v>16123</v>
      </c>
      <c r="X855" t="s">
        <v>16124</v>
      </c>
      <c r="Y855" t="s">
        <v>16125</v>
      </c>
      <c r="Z855" t="s">
        <v>16126</v>
      </c>
      <c r="AA855" t="s">
        <v>16127</v>
      </c>
      <c r="AB855" t="s">
        <v>74</v>
      </c>
      <c r="AC855" t="s">
        <v>16128</v>
      </c>
      <c r="AD855" t="s">
        <v>16129</v>
      </c>
      <c r="AE855" t="s">
        <v>16130</v>
      </c>
      <c r="AF855" t="s">
        <v>74</v>
      </c>
      <c r="AG855">
        <v>9</v>
      </c>
      <c r="AH855">
        <v>1</v>
      </c>
      <c r="AI855">
        <v>1</v>
      </c>
      <c r="AJ855">
        <v>0</v>
      </c>
      <c r="AK855">
        <v>4</v>
      </c>
      <c r="AL855" t="s">
        <v>2640</v>
      </c>
      <c r="AM855" t="s">
        <v>1176</v>
      </c>
      <c r="AN855" t="s">
        <v>2641</v>
      </c>
      <c r="AO855" t="s">
        <v>11109</v>
      </c>
      <c r="AP855" t="s">
        <v>11110</v>
      </c>
      <c r="AQ855" t="s">
        <v>74</v>
      </c>
      <c r="AR855" t="s">
        <v>11111</v>
      </c>
      <c r="AS855" t="s">
        <v>11112</v>
      </c>
      <c r="AT855" t="s">
        <v>14185</v>
      </c>
      <c r="AU855">
        <v>2014</v>
      </c>
      <c r="AV855">
        <v>763</v>
      </c>
      <c r="AW855" t="s">
        <v>74</v>
      </c>
      <c r="AX855" t="s">
        <v>74</v>
      </c>
      <c r="AY855" t="s">
        <v>74</v>
      </c>
      <c r="AZ855" t="s">
        <v>74</v>
      </c>
      <c r="BA855" t="s">
        <v>74</v>
      </c>
      <c r="BB855">
        <v>521</v>
      </c>
      <c r="BC855">
        <v>532</v>
      </c>
      <c r="BD855" t="s">
        <v>74</v>
      </c>
      <c r="BE855" t="s">
        <v>16131</v>
      </c>
      <c r="BF855" t="str">
        <f>HYPERLINK("http://dx.doi.org/10.1016/j.nima.2014.06.005","http://dx.doi.org/10.1016/j.nima.2014.06.005")</f>
        <v>http://dx.doi.org/10.1016/j.nima.2014.06.005</v>
      </c>
      <c r="BG855" t="s">
        <v>74</v>
      </c>
      <c r="BH855" t="s">
        <v>74</v>
      </c>
      <c r="BI855">
        <v>12</v>
      </c>
      <c r="BJ855" t="s">
        <v>11114</v>
      </c>
      <c r="BK855" t="s">
        <v>91</v>
      </c>
      <c r="BL855" t="s">
        <v>11115</v>
      </c>
      <c r="BM855" t="s">
        <v>16132</v>
      </c>
      <c r="BN855" t="s">
        <v>74</v>
      </c>
      <c r="BO855" t="s">
        <v>574</v>
      </c>
      <c r="BP855" t="s">
        <v>74</v>
      </c>
      <c r="BQ855" t="s">
        <v>74</v>
      </c>
      <c r="BR855" t="s">
        <v>93</v>
      </c>
      <c r="BS855" t="s">
        <v>16133</v>
      </c>
      <c r="BT855" t="str">
        <f>HYPERLINK("https%3A%2F%2Fwww.webofscience.com%2Fwos%2Fwoscc%2Ffull-record%2FWOS:000341986200067","View Full Record in Web of Science")</f>
        <v>View Full Record in Web of Science</v>
      </c>
    </row>
    <row r="856" spans="1:72" x14ac:dyDescent="0.15">
      <c r="A856" t="s">
        <v>72</v>
      </c>
      <c r="B856" t="s">
        <v>16134</v>
      </c>
      <c r="C856" t="s">
        <v>74</v>
      </c>
      <c r="D856" t="s">
        <v>74</v>
      </c>
      <c r="E856" t="s">
        <v>74</v>
      </c>
      <c r="F856" t="s">
        <v>16135</v>
      </c>
      <c r="G856" t="s">
        <v>74</v>
      </c>
      <c r="H856" t="s">
        <v>74</v>
      </c>
      <c r="I856" t="s">
        <v>16136</v>
      </c>
      <c r="J856" t="s">
        <v>16137</v>
      </c>
      <c r="K856" t="s">
        <v>74</v>
      </c>
      <c r="L856" t="s">
        <v>74</v>
      </c>
      <c r="M856" t="s">
        <v>78</v>
      </c>
      <c r="N856" t="s">
        <v>99</v>
      </c>
      <c r="O856" t="s">
        <v>74</v>
      </c>
      <c r="P856" t="s">
        <v>74</v>
      </c>
      <c r="Q856" t="s">
        <v>74</v>
      </c>
      <c r="R856" t="s">
        <v>74</v>
      </c>
      <c r="S856" t="s">
        <v>74</v>
      </c>
      <c r="T856" t="s">
        <v>16138</v>
      </c>
      <c r="U856" t="s">
        <v>16139</v>
      </c>
      <c r="V856" t="s">
        <v>16140</v>
      </c>
      <c r="W856" t="s">
        <v>16141</v>
      </c>
      <c r="X856" t="s">
        <v>16142</v>
      </c>
      <c r="Y856" t="s">
        <v>16143</v>
      </c>
      <c r="Z856" t="s">
        <v>16144</v>
      </c>
      <c r="AA856" t="s">
        <v>16145</v>
      </c>
      <c r="AB856" t="s">
        <v>16146</v>
      </c>
      <c r="AC856" t="s">
        <v>16147</v>
      </c>
      <c r="AD856" t="s">
        <v>16148</v>
      </c>
      <c r="AE856" t="s">
        <v>16149</v>
      </c>
      <c r="AF856" t="s">
        <v>74</v>
      </c>
      <c r="AG856">
        <v>67</v>
      </c>
      <c r="AH856">
        <v>9</v>
      </c>
      <c r="AI856">
        <v>9</v>
      </c>
      <c r="AJ856">
        <v>2</v>
      </c>
      <c r="AK856">
        <v>14</v>
      </c>
      <c r="AL856" t="s">
        <v>2640</v>
      </c>
      <c r="AM856" t="s">
        <v>1176</v>
      </c>
      <c r="AN856" t="s">
        <v>2641</v>
      </c>
      <c r="AO856" t="s">
        <v>16150</v>
      </c>
      <c r="AP856" t="s">
        <v>16151</v>
      </c>
      <c r="AQ856" t="s">
        <v>74</v>
      </c>
      <c r="AR856" t="s">
        <v>16152</v>
      </c>
      <c r="AS856" t="s">
        <v>16153</v>
      </c>
      <c r="AT856" t="s">
        <v>13619</v>
      </c>
      <c r="AU856">
        <v>2014</v>
      </c>
      <c r="AV856">
        <v>1838</v>
      </c>
      <c r="AW856">
        <v>11</v>
      </c>
      <c r="AX856" t="s">
        <v>74</v>
      </c>
      <c r="AY856" t="s">
        <v>74</v>
      </c>
      <c r="AZ856" t="s">
        <v>74</v>
      </c>
      <c r="BA856" t="s">
        <v>74</v>
      </c>
      <c r="BB856">
        <v>2899</v>
      </c>
      <c r="BC856">
        <v>2909</v>
      </c>
      <c r="BD856" t="s">
        <v>74</v>
      </c>
      <c r="BE856" t="s">
        <v>16154</v>
      </c>
      <c r="BF856" t="str">
        <f>HYPERLINK("http://dx.doi.org/10.1016/j.bbamem.2014.08.002","http://dx.doi.org/10.1016/j.bbamem.2014.08.002")</f>
        <v>http://dx.doi.org/10.1016/j.bbamem.2014.08.002</v>
      </c>
      <c r="BG856" t="s">
        <v>74</v>
      </c>
      <c r="BH856" t="s">
        <v>74</v>
      </c>
      <c r="BI856">
        <v>11</v>
      </c>
      <c r="BJ856" t="s">
        <v>10835</v>
      </c>
      <c r="BK856" t="s">
        <v>91</v>
      </c>
      <c r="BL856" t="s">
        <v>10835</v>
      </c>
      <c r="BM856" t="s">
        <v>16155</v>
      </c>
      <c r="BN856">
        <v>25109938</v>
      </c>
      <c r="BO856" t="s">
        <v>134</v>
      </c>
      <c r="BP856" t="s">
        <v>74</v>
      </c>
      <c r="BQ856" t="s">
        <v>74</v>
      </c>
      <c r="BR856" t="s">
        <v>93</v>
      </c>
      <c r="BS856" t="s">
        <v>16156</v>
      </c>
      <c r="BT856" t="str">
        <f>HYPERLINK("https%3A%2F%2Fwww.webofscience.com%2Fwos%2Fwoscc%2Ffull-record%2FWOS:000342477400015","View Full Record in Web of Science")</f>
        <v>View Full Record in Web of Science</v>
      </c>
    </row>
    <row r="857" spans="1:72" x14ac:dyDescent="0.15">
      <c r="A857" t="s">
        <v>72</v>
      </c>
      <c r="B857" t="s">
        <v>16157</v>
      </c>
      <c r="C857" t="s">
        <v>74</v>
      </c>
      <c r="D857" t="s">
        <v>74</v>
      </c>
      <c r="E857" t="s">
        <v>74</v>
      </c>
      <c r="F857" t="s">
        <v>16158</v>
      </c>
      <c r="G857" t="s">
        <v>74</v>
      </c>
      <c r="H857" t="s">
        <v>74</v>
      </c>
      <c r="I857" t="s">
        <v>16159</v>
      </c>
      <c r="J857" t="s">
        <v>16160</v>
      </c>
      <c r="K857" t="s">
        <v>74</v>
      </c>
      <c r="L857" t="s">
        <v>74</v>
      </c>
      <c r="M857" t="s">
        <v>78</v>
      </c>
      <c r="N857" t="s">
        <v>99</v>
      </c>
      <c r="O857" t="s">
        <v>74</v>
      </c>
      <c r="P857" t="s">
        <v>74</v>
      </c>
      <c r="Q857" t="s">
        <v>74</v>
      </c>
      <c r="R857" t="s">
        <v>74</v>
      </c>
      <c r="S857" t="s">
        <v>74</v>
      </c>
      <c r="T857" t="s">
        <v>16161</v>
      </c>
      <c r="U857" t="s">
        <v>16162</v>
      </c>
      <c r="V857" t="s">
        <v>16163</v>
      </c>
      <c r="W857" t="s">
        <v>16164</v>
      </c>
      <c r="X857" t="s">
        <v>16165</v>
      </c>
      <c r="Y857" t="s">
        <v>16166</v>
      </c>
      <c r="Z857" t="s">
        <v>16167</v>
      </c>
      <c r="AA857" t="s">
        <v>16168</v>
      </c>
      <c r="AB857" t="s">
        <v>16169</v>
      </c>
      <c r="AC857" t="s">
        <v>16170</v>
      </c>
      <c r="AD857" t="s">
        <v>16171</v>
      </c>
      <c r="AE857" t="s">
        <v>16172</v>
      </c>
      <c r="AF857" t="s">
        <v>74</v>
      </c>
      <c r="AG857">
        <v>76</v>
      </c>
      <c r="AH857">
        <v>12</v>
      </c>
      <c r="AI857">
        <v>16</v>
      </c>
      <c r="AJ857">
        <v>0</v>
      </c>
      <c r="AK857">
        <v>60</v>
      </c>
      <c r="AL857" t="s">
        <v>2114</v>
      </c>
      <c r="AM857" t="s">
        <v>2115</v>
      </c>
      <c r="AN857" t="s">
        <v>2116</v>
      </c>
      <c r="AO857" t="s">
        <v>16173</v>
      </c>
      <c r="AP857" t="s">
        <v>16174</v>
      </c>
      <c r="AQ857" t="s">
        <v>74</v>
      </c>
      <c r="AR857" t="s">
        <v>16175</v>
      </c>
      <c r="AS857" t="s">
        <v>16176</v>
      </c>
      <c r="AT857" t="s">
        <v>13619</v>
      </c>
      <c r="AU857">
        <v>2014</v>
      </c>
      <c r="AV857">
        <v>31</v>
      </c>
      <c r="AW857">
        <v>6</v>
      </c>
      <c r="AX857" t="s">
        <v>74</v>
      </c>
      <c r="AY857" t="s">
        <v>74</v>
      </c>
      <c r="AZ857" t="s">
        <v>74</v>
      </c>
      <c r="BA857" t="s">
        <v>74</v>
      </c>
      <c r="BB857">
        <v>1316</v>
      </c>
      <c r="BC857">
        <v>1330</v>
      </c>
      <c r="BD857" t="s">
        <v>74</v>
      </c>
      <c r="BE857" t="s">
        <v>16177</v>
      </c>
      <c r="BF857" t="str">
        <f>HYPERLINK("http://dx.doi.org/10.1007/s00376-014-3265-6","http://dx.doi.org/10.1007/s00376-014-3265-6")</f>
        <v>http://dx.doi.org/10.1007/s00376-014-3265-6</v>
      </c>
      <c r="BG857" t="s">
        <v>74</v>
      </c>
      <c r="BH857" t="s">
        <v>74</v>
      </c>
      <c r="BI857">
        <v>15</v>
      </c>
      <c r="BJ857" t="s">
        <v>226</v>
      </c>
      <c r="BK857" t="s">
        <v>91</v>
      </c>
      <c r="BL857" t="s">
        <v>226</v>
      </c>
      <c r="BM857" t="s">
        <v>16178</v>
      </c>
      <c r="BN857" t="s">
        <v>74</v>
      </c>
      <c r="BO857" t="s">
        <v>74</v>
      </c>
      <c r="BP857" t="s">
        <v>74</v>
      </c>
      <c r="BQ857" t="s">
        <v>74</v>
      </c>
      <c r="BR857" t="s">
        <v>93</v>
      </c>
      <c r="BS857" t="s">
        <v>16179</v>
      </c>
      <c r="BT857" t="str">
        <f>HYPERLINK("https%3A%2F%2Fwww.webofscience.com%2Fwos%2Fwoscc%2Ffull-record%2FWOS:000341907500007","View Full Record in Web of Science")</f>
        <v>View Full Record in Web of Science</v>
      </c>
    </row>
    <row r="858" spans="1:72" x14ac:dyDescent="0.15">
      <c r="A858" t="s">
        <v>72</v>
      </c>
      <c r="B858" t="s">
        <v>16180</v>
      </c>
      <c r="C858" t="s">
        <v>74</v>
      </c>
      <c r="D858" t="s">
        <v>74</v>
      </c>
      <c r="E858" t="s">
        <v>74</v>
      </c>
      <c r="F858" t="s">
        <v>16181</v>
      </c>
      <c r="G858" t="s">
        <v>74</v>
      </c>
      <c r="H858" t="s">
        <v>74</v>
      </c>
      <c r="I858" t="s">
        <v>16182</v>
      </c>
      <c r="J858" t="s">
        <v>12705</v>
      </c>
      <c r="K858" t="s">
        <v>74</v>
      </c>
      <c r="L858" t="s">
        <v>74</v>
      </c>
      <c r="M858" t="s">
        <v>78</v>
      </c>
      <c r="N858" t="s">
        <v>99</v>
      </c>
      <c r="O858" t="s">
        <v>74</v>
      </c>
      <c r="P858" t="s">
        <v>74</v>
      </c>
      <c r="Q858" t="s">
        <v>74</v>
      </c>
      <c r="R858" t="s">
        <v>74</v>
      </c>
      <c r="S858" t="s">
        <v>74</v>
      </c>
      <c r="T858" t="s">
        <v>16183</v>
      </c>
      <c r="U858" t="s">
        <v>16184</v>
      </c>
      <c r="V858" t="s">
        <v>16185</v>
      </c>
      <c r="W858" t="s">
        <v>16186</v>
      </c>
      <c r="X858" t="s">
        <v>16187</v>
      </c>
      <c r="Y858" t="s">
        <v>16188</v>
      </c>
      <c r="Z858" t="s">
        <v>16189</v>
      </c>
      <c r="AA858" t="s">
        <v>16190</v>
      </c>
      <c r="AB858" t="s">
        <v>16191</v>
      </c>
      <c r="AC858" t="s">
        <v>16192</v>
      </c>
      <c r="AD858" t="s">
        <v>16193</v>
      </c>
      <c r="AE858" t="s">
        <v>16194</v>
      </c>
      <c r="AF858" t="s">
        <v>74</v>
      </c>
      <c r="AG858">
        <v>64</v>
      </c>
      <c r="AH858">
        <v>26</v>
      </c>
      <c r="AI858">
        <v>27</v>
      </c>
      <c r="AJ858">
        <v>1</v>
      </c>
      <c r="AK858">
        <v>53</v>
      </c>
      <c r="AL858" t="s">
        <v>2640</v>
      </c>
      <c r="AM858" t="s">
        <v>1176</v>
      </c>
      <c r="AN858" t="s">
        <v>2641</v>
      </c>
      <c r="AO858" t="s">
        <v>12713</v>
      </c>
      <c r="AP858" t="s">
        <v>12714</v>
      </c>
      <c r="AQ858" t="s">
        <v>74</v>
      </c>
      <c r="AR858" t="s">
        <v>12705</v>
      </c>
      <c r="AS858" t="s">
        <v>12715</v>
      </c>
      <c r="AT858" t="s">
        <v>13619</v>
      </c>
      <c r="AU858">
        <v>2014</v>
      </c>
      <c r="AV858">
        <v>232</v>
      </c>
      <c r="AW858" t="s">
        <v>74</v>
      </c>
      <c r="AX858" t="s">
        <v>74</v>
      </c>
      <c r="AY858" t="s">
        <v>74</v>
      </c>
      <c r="AZ858" t="s">
        <v>74</v>
      </c>
      <c r="BA858" t="s">
        <v>74</v>
      </c>
      <c r="BB858">
        <v>130</v>
      </c>
      <c r="BC858">
        <v>140</v>
      </c>
      <c r="BD858" t="s">
        <v>74</v>
      </c>
      <c r="BE858" t="s">
        <v>16195</v>
      </c>
      <c r="BF858" t="str">
        <f>HYPERLINK("http://dx.doi.org/10.1016/j.geoderma.2014.04.040","http://dx.doi.org/10.1016/j.geoderma.2014.04.040")</f>
        <v>http://dx.doi.org/10.1016/j.geoderma.2014.04.040</v>
      </c>
      <c r="BG858" t="s">
        <v>74</v>
      </c>
      <c r="BH858" t="s">
        <v>74</v>
      </c>
      <c r="BI858">
        <v>11</v>
      </c>
      <c r="BJ858" t="s">
        <v>5149</v>
      </c>
      <c r="BK858" t="s">
        <v>91</v>
      </c>
      <c r="BL858" t="s">
        <v>5150</v>
      </c>
      <c r="BM858" t="s">
        <v>16196</v>
      </c>
      <c r="BN858" t="s">
        <v>74</v>
      </c>
      <c r="BO858" t="s">
        <v>2056</v>
      </c>
      <c r="BP858" t="s">
        <v>74</v>
      </c>
      <c r="BQ858" t="s">
        <v>74</v>
      </c>
      <c r="BR858" t="s">
        <v>93</v>
      </c>
      <c r="BS858" t="s">
        <v>16197</v>
      </c>
      <c r="BT858" t="str">
        <f>HYPERLINK("https%3A%2F%2Fwww.webofscience.com%2Fwos%2Fwoscc%2Ffull-record%2FWOS:000340315700015","View Full Record in Web of Science")</f>
        <v>View Full Record in Web of Science</v>
      </c>
    </row>
    <row r="859" spans="1:72" x14ac:dyDescent="0.15">
      <c r="A859" t="s">
        <v>72</v>
      </c>
      <c r="B859" t="s">
        <v>16198</v>
      </c>
      <c r="C859" t="s">
        <v>74</v>
      </c>
      <c r="D859" t="s">
        <v>74</v>
      </c>
      <c r="E859" t="s">
        <v>74</v>
      </c>
      <c r="F859" t="s">
        <v>16199</v>
      </c>
      <c r="G859" t="s">
        <v>74</v>
      </c>
      <c r="H859" t="s">
        <v>74</v>
      </c>
      <c r="I859" t="s">
        <v>16200</v>
      </c>
      <c r="J859" t="s">
        <v>8624</v>
      </c>
      <c r="K859" t="s">
        <v>74</v>
      </c>
      <c r="L859" t="s">
        <v>74</v>
      </c>
      <c r="M859" t="s">
        <v>78</v>
      </c>
      <c r="N859" t="s">
        <v>99</v>
      </c>
      <c r="O859" t="s">
        <v>74</v>
      </c>
      <c r="P859" t="s">
        <v>74</v>
      </c>
      <c r="Q859" t="s">
        <v>74</v>
      </c>
      <c r="R859" t="s">
        <v>74</v>
      </c>
      <c r="S859" t="s">
        <v>74</v>
      </c>
      <c r="T859" t="s">
        <v>16201</v>
      </c>
      <c r="U859" t="s">
        <v>16202</v>
      </c>
      <c r="V859" t="s">
        <v>16203</v>
      </c>
      <c r="W859" t="s">
        <v>16204</v>
      </c>
      <c r="X859" t="s">
        <v>9275</v>
      </c>
      <c r="Y859" t="s">
        <v>16205</v>
      </c>
      <c r="Z859" t="s">
        <v>16206</v>
      </c>
      <c r="AA859" t="s">
        <v>74</v>
      </c>
      <c r="AB859" t="s">
        <v>16207</v>
      </c>
      <c r="AC859" t="s">
        <v>74</v>
      </c>
      <c r="AD859" t="s">
        <v>74</v>
      </c>
      <c r="AE859" t="s">
        <v>74</v>
      </c>
      <c r="AF859" t="s">
        <v>74</v>
      </c>
      <c r="AG859">
        <v>30</v>
      </c>
      <c r="AH859">
        <v>1</v>
      </c>
      <c r="AI859">
        <v>2</v>
      </c>
      <c r="AJ859">
        <v>0</v>
      </c>
      <c r="AK859">
        <v>24</v>
      </c>
      <c r="AL859" t="s">
        <v>2640</v>
      </c>
      <c r="AM859" t="s">
        <v>1176</v>
      </c>
      <c r="AN859" t="s">
        <v>2641</v>
      </c>
      <c r="AO859" t="s">
        <v>8636</v>
      </c>
      <c r="AP859" t="s">
        <v>8637</v>
      </c>
      <c r="AQ859" t="s">
        <v>74</v>
      </c>
      <c r="AR859" t="s">
        <v>8638</v>
      </c>
      <c r="AS859" t="s">
        <v>8639</v>
      </c>
      <c r="AT859" t="s">
        <v>13619</v>
      </c>
      <c r="AU859">
        <v>2014</v>
      </c>
      <c r="AV859">
        <v>159</v>
      </c>
      <c r="AW859" t="s">
        <v>74</v>
      </c>
      <c r="AX859" t="s">
        <v>74</v>
      </c>
      <c r="AY859" t="s">
        <v>74</v>
      </c>
      <c r="AZ859" t="s">
        <v>74</v>
      </c>
      <c r="BA859" t="s">
        <v>74</v>
      </c>
      <c r="BB859">
        <v>34</v>
      </c>
      <c r="BC859">
        <v>44</v>
      </c>
      <c r="BD859" t="s">
        <v>74</v>
      </c>
      <c r="BE859" t="s">
        <v>16208</v>
      </c>
      <c r="BF859" t="str">
        <f>HYPERLINK("http://dx.doi.org/10.1016/j.fishres.2014.05.002","http://dx.doi.org/10.1016/j.fishres.2014.05.002")</f>
        <v>http://dx.doi.org/10.1016/j.fishres.2014.05.002</v>
      </c>
      <c r="BG859" t="s">
        <v>74</v>
      </c>
      <c r="BH859" t="s">
        <v>74</v>
      </c>
      <c r="BI859">
        <v>11</v>
      </c>
      <c r="BJ859" t="s">
        <v>4895</v>
      </c>
      <c r="BK859" t="s">
        <v>91</v>
      </c>
      <c r="BL859" t="s">
        <v>4895</v>
      </c>
      <c r="BM859" t="s">
        <v>16209</v>
      </c>
      <c r="BN859" t="s">
        <v>74</v>
      </c>
      <c r="BO859" t="s">
        <v>74</v>
      </c>
      <c r="BP859" t="s">
        <v>74</v>
      </c>
      <c r="BQ859" t="s">
        <v>74</v>
      </c>
      <c r="BR859" t="s">
        <v>93</v>
      </c>
      <c r="BS859" t="s">
        <v>16210</v>
      </c>
      <c r="BT859" t="str">
        <f>HYPERLINK("https%3A%2F%2Fwww.webofscience.com%2Fwos%2Fwoscc%2Ffull-record%2FWOS:000340220800004","View Full Record in Web of Science")</f>
        <v>View Full Record in Web of Science</v>
      </c>
    </row>
    <row r="860" spans="1:72" x14ac:dyDescent="0.15">
      <c r="A860" t="s">
        <v>72</v>
      </c>
      <c r="B860" t="s">
        <v>16211</v>
      </c>
      <c r="C860" t="s">
        <v>74</v>
      </c>
      <c r="D860" t="s">
        <v>74</v>
      </c>
      <c r="E860" t="s">
        <v>74</v>
      </c>
      <c r="F860" t="s">
        <v>16212</v>
      </c>
      <c r="G860" t="s">
        <v>74</v>
      </c>
      <c r="H860" t="s">
        <v>74</v>
      </c>
      <c r="I860" t="s">
        <v>16213</v>
      </c>
      <c r="J860" t="s">
        <v>8725</v>
      </c>
      <c r="K860" t="s">
        <v>74</v>
      </c>
      <c r="L860" t="s">
        <v>74</v>
      </c>
      <c r="M860" t="s">
        <v>78</v>
      </c>
      <c r="N860" t="s">
        <v>99</v>
      </c>
      <c r="O860" t="s">
        <v>74</v>
      </c>
      <c r="P860" t="s">
        <v>74</v>
      </c>
      <c r="Q860" t="s">
        <v>74</v>
      </c>
      <c r="R860" t="s">
        <v>74</v>
      </c>
      <c r="S860" t="s">
        <v>74</v>
      </c>
      <c r="T860" t="s">
        <v>16214</v>
      </c>
      <c r="U860" t="s">
        <v>16215</v>
      </c>
      <c r="V860" t="s">
        <v>16216</v>
      </c>
      <c r="W860" t="s">
        <v>16217</v>
      </c>
      <c r="X860" t="s">
        <v>16218</v>
      </c>
      <c r="Y860" t="s">
        <v>16219</v>
      </c>
      <c r="Z860" t="s">
        <v>16220</v>
      </c>
      <c r="AA860" t="s">
        <v>16221</v>
      </c>
      <c r="AB860" t="s">
        <v>16222</v>
      </c>
      <c r="AC860" t="s">
        <v>74</v>
      </c>
      <c r="AD860" t="s">
        <v>74</v>
      </c>
      <c r="AE860" t="s">
        <v>74</v>
      </c>
      <c r="AF860" t="s">
        <v>74</v>
      </c>
      <c r="AG860">
        <v>44</v>
      </c>
      <c r="AH860">
        <v>23</v>
      </c>
      <c r="AI860">
        <v>23</v>
      </c>
      <c r="AJ860">
        <v>0</v>
      </c>
      <c r="AK860">
        <v>32</v>
      </c>
      <c r="AL860" t="s">
        <v>6470</v>
      </c>
      <c r="AM860" t="s">
        <v>6471</v>
      </c>
      <c r="AN860" t="s">
        <v>6472</v>
      </c>
      <c r="AO860" t="s">
        <v>8737</v>
      </c>
      <c r="AP860" t="s">
        <v>8738</v>
      </c>
      <c r="AQ860" t="s">
        <v>74</v>
      </c>
      <c r="AR860" t="s">
        <v>8739</v>
      </c>
      <c r="AS860" t="s">
        <v>8740</v>
      </c>
      <c r="AT860" t="s">
        <v>13619</v>
      </c>
      <c r="AU860">
        <v>2014</v>
      </c>
      <c r="AV860">
        <v>52</v>
      </c>
      <c r="AW860">
        <v>11</v>
      </c>
      <c r="AX860" t="s">
        <v>74</v>
      </c>
      <c r="AY860" t="s">
        <v>74</v>
      </c>
      <c r="AZ860" t="s">
        <v>74</v>
      </c>
      <c r="BA860" t="s">
        <v>74</v>
      </c>
      <c r="BB860">
        <v>7408</v>
      </c>
      <c r="BC860">
        <v>7417</v>
      </c>
      <c r="BD860" t="s">
        <v>74</v>
      </c>
      <c r="BE860" t="s">
        <v>16223</v>
      </c>
      <c r="BF860" t="str">
        <f>HYPERLINK("http://dx.doi.org/10.1109/TGRS.2014.2312102","http://dx.doi.org/10.1109/TGRS.2014.2312102")</f>
        <v>http://dx.doi.org/10.1109/TGRS.2014.2312102</v>
      </c>
      <c r="BG860" t="s">
        <v>74</v>
      </c>
      <c r="BH860" t="s">
        <v>74</v>
      </c>
      <c r="BI860">
        <v>10</v>
      </c>
      <c r="BJ860" t="s">
        <v>8742</v>
      </c>
      <c r="BK860" t="s">
        <v>91</v>
      </c>
      <c r="BL860" t="s">
        <v>8743</v>
      </c>
      <c r="BM860" t="s">
        <v>16224</v>
      </c>
      <c r="BN860" t="s">
        <v>74</v>
      </c>
      <c r="BO860" t="s">
        <v>74</v>
      </c>
      <c r="BP860" t="s">
        <v>74</v>
      </c>
      <c r="BQ860" t="s">
        <v>74</v>
      </c>
      <c r="BR860" t="s">
        <v>93</v>
      </c>
      <c r="BS860" t="s">
        <v>16225</v>
      </c>
      <c r="BT860" t="str">
        <f>HYPERLINK("https%3A%2F%2Fwww.webofscience.com%2Fwos%2Fwoscc%2Ffull-record%2FWOS:000340278800051","View Full Record in Web of Science")</f>
        <v>View Full Record in Web of Science</v>
      </c>
    </row>
    <row r="861" spans="1:72" x14ac:dyDescent="0.15">
      <c r="A861" t="s">
        <v>72</v>
      </c>
      <c r="B861" t="s">
        <v>16226</v>
      </c>
      <c r="C861" t="s">
        <v>74</v>
      </c>
      <c r="D861" t="s">
        <v>74</v>
      </c>
      <c r="E861" t="s">
        <v>74</v>
      </c>
      <c r="F861" t="s">
        <v>16227</v>
      </c>
      <c r="G861" t="s">
        <v>74</v>
      </c>
      <c r="H861" t="s">
        <v>74</v>
      </c>
      <c r="I861" t="s">
        <v>16228</v>
      </c>
      <c r="J861" t="s">
        <v>2704</v>
      </c>
      <c r="K861" t="s">
        <v>74</v>
      </c>
      <c r="L861" t="s">
        <v>74</v>
      </c>
      <c r="M861" t="s">
        <v>78</v>
      </c>
      <c r="N861" t="s">
        <v>99</v>
      </c>
      <c r="O861" t="s">
        <v>74</v>
      </c>
      <c r="P861" t="s">
        <v>74</v>
      </c>
      <c r="Q861" t="s">
        <v>74</v>
      </c>
      <c r="R861" t="s">
        <v>74</v>
      </c>
      <c r="S861" t="s">
        <v>74</v>
      </c>
      <c r="T861" t="s">
        <v>16229</v>
      </c>
      <c r="U861" t="s">
        <v>16230</v>
      </c>
      <c r="V861" t="s">
        <v>16231</v>
      </c>
      <c r="W861" t="s">
        <v>16232</v>
      </c>
      <c r="X861" t="s">
        <v>16233</v>
      </c>
      <c r="Y861" t="s">
        <v>16234</v>
      </c>
      <c r="Z861" t="s">
        <v>16235</v>
      </c>
      <c r="AA861" t="s">
        <v>16236</v>
      </c>
      <c r="AB861" t="s">
        <v>16237</v>
      </c>
      <c r="AC861" t="s">
        <v>74</v>
      </c>
      <c r="AD861" t="s">
        <v>74</v>
      </c>
      <c r="AE861" t="s">
        <v>74</v>
      </c>
      <c r="AF861" t="s">
        <v>74</v>
      </c>
      <c r="AG861">
        <v>122</v>
      </c>
      <c r="AH861">
        <v>50</v>
      </c>
      <c r="AI861">
        <v>54</v>
      </c>
      <c r="AJ861">
        <v>2</v>
      </c>
      <c r="AK861">
        <v>126</v>
      </c>
      <c r="AL861" t="s">
        <v>2458</v>
      </c>
      <c r="AM861" t="s">
        <v>1411</v>
      </c>
      <c r="AN861" t="s">
        <v>2459</v>
      </c>
      <c r="AO861" t="s">
        <v>2713</v>
      </c>
      <c r="AP861" t="s">
        <v>2714</v>
      </c>
      <c r="AQ861" t="s">
        <v>74</v>
      </c>
      <c r="AR861" t="s">
        <v>2715</v>
      </c>
      <c r="AS861" t="s">
        <v>2716</v>
      </c>
      <c r="AT861" t="s">
        <v>13619</v>
      </c>
      <c r="AU861">
        <v>2014</v>
      </c>
      <c r="AV861">
        <v>49</v>
      </c>
      <c r="AW861" t="s">
        <v>74</v>
      </c>
      <c r="AX861" t="s">
        <v>74</v>
      </c>
      <c r="AY861" t="s">
        <v>74</v>
      </c>
      <c r="AZ861" t="s">
        <v>74</v>
      </c>
      <c r="BA861" t="s">
        <v>74</v>
      </c>
      <c r="BB861">
        <v>127</v>
      </c>
      <c r="BC861">
        <v>136</v>
      </c>
      <c r="BD861" t="s">
        <v>74</v>
      </c>
      <c r="BE861" t="s">
        <v>16238</v>
      </c>
      <c r="BF861" t="str">
        <f>HYPERLINK("http://dx.doi.org/10.1016/j.marpol.2013.11.024","http://dx.doi.org/10.1016/j.marpol.2013.11.024")</f>
        <v>http://dx.doi.org/10.1016/j.marpol.2013.11.024</v>
      </c>
      <c r="BG861" t="s">
        <v>74</v>
      </c>
      <c r="BH861" t="s">
        <v>74</v>
      </c>
      <c r="BI861">
        <v>10</v>
      </c>
      <c r="BJ861" t="s">
        <v>2718</v>
      </c>
      <c r="BK861" t="s">
        <v>891</v>
      </c>
      <c r="BL861" t="s">
        <v>2719</v>
      </c>
      <c r="BM861" t="s">
        <v>15799</v>
      </c>
      <c r="BN861" t="s">
        <v>74</v>
      </c>
      <c r="BO861" t="s">
        <v>74</v>
      </c>
      <c r="BP861" t="s">
        <v>74</v>
      </c>
      <c r="BQ861" t="s">
        <v>74</v>
      </c>
      <c r="BR861" t="s">
        <v>93</v>
      </c>
      <c r="BS861" t="s">
        <v>16239</v>
      </c>
      <c r="BT861" t="str">
        <f>HYPERLINK("https%3A%2F%2Fwww.webofscience.com%2Fwos%2Fwoscc%2Ffull-record%2FWOS:000338607800017","View Full Record in Web of Science")</f>
        <v>View Full Record in Web of Science</v>
      </c>
    </row>
    <row r="862" spans="1:72" x14ac:dyDescent="0.15">
      <c r="A862" t="s">
        <v>72</v>
      </c>
      <c r="B862" t="s">
        <v>16240</v>
      </c>
      <c r="C862" t="s">
        <v>74</v>
      </c>
      <c r="D862" t="s">
        <v>74</v>
      </c>
      <c r="E862" t="s">
        <v>74</v>
      </c>
      <c r="F862" t="s">
        <v>16241</v>
      </c>
      <c r="G862" t="s">
        <v>74</v>
      </c>
      <c r="H862" t="s">
        <v>74</v>
      </c>
      <c r="I862" t="s">
        <v>16242</v>
      </c>
      <c r="J862" t="s">
        <v>16243</v>
      </c>
      <c r="K862" t="s">
        <v>74</v>
      </c>
      <c r="L862" t="s">
        <v>74</v>
      </c>
      <c r="M862" t="s">
        <v>78</v>
      </c>
      <c r="N862" t="s">
        <v>99</v>
      </c>
      <c r="O862" t="s">
        <v>74</v>
      </c>
      <c r="P862" t="s">
        <v>74</v>
      </c>
      <c r="Q862" t="s">
        <v>74</v>
      </c>
      <c r="R862" t="s">
        <v>74</v>
      </c>
      <c r="S862" t="s">
        <v>74</v>
      </c>
      <c r="T862" t="s">
        <v>16244</v>
      </c>
      <c r="U862" t="s">
        <v>16245</v>
      </c>
      <c r="V862" t="s">
        <v>16246</v>
      </c>
      <c r="W862" t="s">
        <v>16247</v>
      </c>
      <c r="X862" t="s">
        <v>16248</v>
      </c>
      <c r="Y862" t="s">
        <v>16249</v>
      </c>
      <c r="Z862" t="s">
        <v>16250</v>
      </c>
      <c r="AA862" t="s">
        <v>16251</v>
      </c>
      <c r="AB862" t="s">
        <v>16252</v>
      </c>
      <c r="AC862" t="s">
        <v>16253</v>
      </c>
      <c r="AD862" t="s">
        <v>16254</v>
      </c>
      <c r="AE862" t="s">
        <v>16255</v>
      </c>
      <c r="AF862" t="s">
        <v>74</v>
      </c>
      <c r="AG862">
        <v>24</v>
      </c>
      <c r="AH862">
        <v>4</v>
      </c>
      <c r="AI862">
        <v>5</v>
      </c>
      <c r="AJ862">
        <v>0</v>
      </c>
      <c r="AK862">
        <v>37</v>
      </c>
      <c r="AL862" t="s">
        <v>6470</v>
      </c>
      <c r="AM862" t="s">
        <v>6471</v>
      </c>
      <c r="AN862" t="s">
        <v>6472</v>
      </c>
      <c r="AO862" t="s">
        <v>16256</v>
      </c>
      <c r="AP862" t="s">
        <v>16257</v>
      </c>
      <c r="AQ862" t="s">
        <v>74</v>
      </c>
      <c r="AR862" t="s">
        <v>16258</v>
      </c>
      <c r="AS862" t="s">
        <v>16259</v>
      </c>
      <c r="AT862" t="s">
        <v>13619</v>
      </c>
      <c r="AU862">
        <v>2014</v>
      </c>
      <c r="AV862">
        <v>11</v>
      </c>
      <c r="AW862">
        <v>11</v>
      </c>
      <c r="AX862" t="s">
        <v>74</v>
      </c>
      <c r="AY862" t="s">
        <v>74</v>
      </c>
      <c r="AZ862" t="s">
        <v>74</v>
      </c>
      <c r="BA862" t="s">
        <v>74</v>
      </c>
      <c r="BB862">
        <v>2010</v>
      </c>
      <c r="BC862">
        <v>2014</v>
      </c>
      <c r="BD862" t="s">
        <v>74</v>
      </c>
      <c r="BE862" t="s">
        <v>16260</v>
      </c>
      <c r="BF862" t="str">
        <f>HYPERLINK("http://dx.doi.org/10.1109/LGRS.2014.2317414","http://dx.doi.org/10.1109/LGRS.2014.2317414")</f>
        <v>http://dx.doi.org/10.1109/LGRS.2014.2317414</v>
      </c>
      <c r="BG862" t="s">
        <v>74</v>
      </c>
      <c r="BH862" t="s">
        <v>74</v>
      </c>
      <c r="BI862">
        <v>5</v>
      </c>
      <c r="BJ862" t="s">
        <v>8742</v>
      </c>
      <c r="BK862" t="s">
        <v>91</v>
      </c>
      <c r="BL862" t="s">
        <v>8743</v>
      </c>
      <c r="BM862" t="s">
        <v>16261</v>
      </c>
      <c r="BN862" t="s">
        <v>74</v>
      </c>
      <c r="BO862" t="s">
        <v>74</v>
      </c>
      <c r="BP862" t="s">
        <v>74</v>
      </c>
      <c r="BQ862" t="s">
        <v>74</v>
      </c>
      <c r="BR862" t="s">
        <v>93</v>
      </c>
      <c r="BS862" t="s">
        <v>16262</v>
      </c>
      <c r="BT862" t="str">
        <f>HYPERLINK("https%3A%2F%2Fwww.webofscience.com%2Fwos%2Fwoscc%2Ffull-record%2FWOS:000337277500032","View Full Record in Web of Science")</f>
        <v>View Full Record in Web of Science</v>
      </c>
    </row>
    <row r="863" spans="1:72" x14ac:dyDescent="0.15">
      <c r="A863" t="s">
        <v>72</v>
      </c>
      <c r="B863" t="s">
        <v>16263</v>
      </c>
      <c r="C863" t="s">
        <v>74</v>
      </c>
      <c r="D863" t="s">
        <v>74</v>
      </c>
      <c r="E863" t="s">
        <v>74</v>
      </c>
      <c r="F863" t="s">
        <v>16264</v>
      </c>
      <c r="G863" t="s">
        <v>74</v>
      </c>
      <c r="H863" t="s">
        <v>74</v>
      </c>
      <c r="I863" t="s">
        <v>16265</v>
      </c>
      <c r="J863" t="s">
        <v>9084</v>
      </c>
      <c r="K863" t="s">
        <v>74</v>
      </c>
      <c r="L863" t="s">
        <v>74</v>
      </c>
      <c r="M863" t="s">
        <v>78</v>
      </c>
      <c r="N863" t="s">
        <v>99</v>
      </c>
      <c r="O863" t="s">
        <v>74</v>
      </c>
      <c r="P863" t="s">
        <v>74</v>
      </c>
      <c r="Q863" t="s">
        <v>74</v>
      </c>
      <c r="R863" t="s">
        <v>74</v>
      </c>
      <c r="S863" t="s">
        <v>74</v>
      </c>
      <c r="T863" t="s">
        <v>74</v>
      </c>
      <c r="U863" t="s">
        <v>16266</v>
      </c>
      <c r="V863" t="s">
        <v>16267</v>
      </c>
      <c r="W863" t="s">
        <v>16268</v>
      </c>
      <c r="X863" t="s">
        <v>16269</v>
      </c>
      <c r="Y863" t="s">
        <v>16270</v>
      </c>
      <c r="Z863" t="s">
        <v>16271</v>
      </c>
      <c r="AA863" t="s">
        <v>16272</v>
      </c>
      <c r="AB863" t="s">
        <v>16273</v>
      </c>
      <c r="AC863" t="s">
        <v>1508</v>
      </c>
      <c r="AD863" t="s">
        <v>1509</v>
      </c>
      <c r="AE863" t="s">
        <v>16274</v>
      </c>
      <c r="AF863" t="s">
        <v>74</v>
      </c>
      <c r="AG863">
        <v>51</v>
      </c>
      <c r="AH863">
        <v>21</v>
      </c>
      <c r="AI863">
        <v>21</v>
      </c>
      <c r="AJ863">
        <v>0</v>
      </c>
      <c r="AK863">
        <v>32</v>
      </c>
      <c r="AL863" t="s">
        <v>9093</v>
      </c>
      <c r="AM863" t="s">
        <v>9094</v>
      </c>
      <c r="AN863" t="s">
        <v>9095</v>
      </c>
      <c r="AO863" t="s">
        <v>9096</v>
      </c>
      <c r="AP863" t="s">
        <v>74</v>
      </c>
      <c r="AQ863" t="s">
        <v>74</v>
      </c>
      <c r="AR863" t="s">
        <v>9084</v>
      </c>
      <c r="AS863" t="s">
        <v>9097</v>
      </c>
      <c r="AT863" t="s">
        <v>16275</v>
      </c>
      <c r="AU863">
        <v>2014</v>
      </c>
      <c r="AV863">
        <v>9</v>
      </c>
      <c r="AW863">
        <v>10</v>
      </c>
      <c r="AX863" t="s">
        <v>74</v>
      </c>
      <c r="AY863" t="s">
        <v>74</v>
      </c>
      <c r="AZ863" t="s">
        <v>74</v>
      </c>
      <c r="BA863" t="s">
        <v>74</v>
      </c>
      <c r="BB863" t="s">
        <v>74</v>
      </c>
      <c r="BC863" t="s">
        <v>74</v>
      </c>
      <c r="BD863" t="s">
        <v>16276</v>
      </c>
      <c r="BE863" t="s">
        <v>16277</v>
      </c>
      <c r="BF863" t="str">
        <f>HYPERLINK("http://dx.doi.org/10.1371/journal.pone.0110831","http://dx.doi.org/10.1371/journal.pone.0110831")</f>
        <v>http://dx.doi.org/10.1371/journal.pone.0110831</v>
      </c>
      <c r="BG863" t="s">
        <v>74</v>
      </c>
      <c r="BH863" t="s">
        <v>74</v>
      </c>
      <c r="BI863">
        <v>13</v>
      </c>
      <c r="BJ863" t="s">
        <v>201</v>
      </c>
      <c r="BK863" t="s">
        <v>91</v>
      </c>
      <c r="BL863" t="s">
        <v>203</v>
      </c>
      <c r="BM863" t="s">
        <v>16278</v>
      </c>
      <c r="BN863">
        <v>25360763</v>
      </c>
      <c r="BO863" t="s">
        <v>4727</v>
      </c>
      <c r="BP863" t="s">
        <v>74</v>
      </c>
      <c r="BQ863" t="s">
        <v>74</v>
      </c>
      <c r="BR863" t="s">
        <v>93</v>
      </c>
      <c r="BS863" t="s">
        <v>16279</v>
      </c>
      <c r="BT863" t="str">
        <f>HYPERLINK("https%3A%2F%2Fwww.webofscience.com%2Fwos%2Fwoscc%2Ffull-record%2FWOS:000343943700048","View Full Record in Web of Science")</f>
        <v>View Full Record in Web of Science</v>
      </c>
    </row>
    <row r="864" spans="1:72" x14ac:dyDescent="0.15">
      <c r="A864" t="s">
        <v>72</v>
      </c>
      <c r="B864" t="s">
        <v>16280</v>
      </c>
      <c r="C864" t="s">
        <v>74</v>
      </c>
      <c r="D864" t="s">
        <v>74</v>
      </c>
      <c r="E864" t="s">
        <v>74</v>
      </c>
      <c r="F864" t="s">
        <v>16281</v>
      </c>
      <c r="G864" t="s">
        <v>74</v>
      </c>
      <c r="H864" t="s">
        <v>74</v>
      </c>
      <c r="I864" t="s">
        <v>16282</v>
      </c>
      <c r="J864" t="s">
        <v>16283</v>
      </c>
      <c r="K864" t="s">
        <v>74</v>
      </c>
      <c r="L864" t="s">
        <v>74</v>
      </c>
      <c r="M864" t="s">
        <v>78</v>
      </c>
      <c r="N864" t="s">
        <v>99</v>
      </c>
      <c r="O864" t="s">
        <v>74</v>
      </c>
      <c r="P864" t="s">
        <v>74</v>
      </c>
      <c r="Q864" t="s">
        <v>74</v>
      </c>
      <c r="R864" t="s">
        <v>74</v>
      </c>
      <c r="S864" t="s">
        <v>74</v>
      </c>
      <c r="T864" t="s">
        <v>74</v>
      </c>
      <c r="U864" t="s">
        <v>16284</v>
      </c>
      <c r="V864" t="s">
        <v>16285</v>
      </c>
      <c r="W864" t="s">
        <v>16286</v>
      </c>
      <c r="X864" t="s">
        <v>16287</v>
      </c>
      <c r="Y864" t="s">
        <v>16288</v>
      </c>
      <c r="Z864" t="s">
        <v>16289</v>
      </c>
      <c r="AA864" t="s">
        <v>16290</v>
      </c>
      <c r="AB864" t="s">
        <v>16291</v>
      </c>
      <c r="AC864" t="s">
        <v>16292</v>
      </c>
      <c r="AD864" t="s">
        <v>16293</v>
      </c>
      <c r="AE864" t="s">
        <v>16294</v>
      </c>
      <c r="AF864" t="s">
        <v>74</v>
      </c>
      <c r="AG864">
        <v>59</v>
      </c>
      <c r="AH864">
        <v>325</v>
      </c>
      <c r="AI864">
        <v>359</v>
      </c>
      <c r="AJ864">
        <v>15</v>
      </c>
      <c r="AK864">
        <v>312</v>
      </c>
      <c r="AL864" t="s">
        <v>7503</v>
      </c>
      <c r="AM864" t="s">
        <v>219</v>
      </c>
      <c r="AN864" t="s">
        <v>7504</v>
      </c>
      <c r="AO864" t="s">
        <v>16295</v>
      </c>
      <c r="AP864" t="s">
        <v>16296</v>
      </c>
      <c r="AQ864" t="s">
        <v>74</v>
      </c>
      <c r="AR864" t="s">
        <v>16283</v>
      </c>
      <c r="AS864" t="s">
        <v>16297</v>
      </c>
      <c r="AT864" t="s">
        <v>16298</v>
      </c>
      <c r="AU864">
        <v>2014</v>
      </c>
      <c r="AV864">
        <v>514</v>
      </c>
      <c r="AW864">
        <v>7524</v>
      </c>
      <c r="AX864" t="s">
        <v>74</v>
      </c>
      <c r="AY864" t="s">
        <v>74</v>
      </c>
      <c r="AZ864" t="s">
        <v>74</v>
      </c>
      <c r="BA864" t="s">
        <v>74</v>
      </c>
      <c r="BB864">
        <v>616</v>
      </c>
      <c r="BC864" t="s">
        <v>7272</v>
      </c>
      <c r="BD864" t="s">
        <v>74</v>
      </c>
      <c r="BE864" t="s">
        <v>16299</v>
      </c>
      <c r="BF864" t="str">
        <f>HYPERLINK("http://dx.doi.org/10.1038/nature13799","http://dx.doi.org/10.1038/nature13799")</f>
        <v>http://dx.doi.org/10.1038/nature13799</v>
      </c>
      <c r="BG864" t="s">
        <v>74</v>
      </c>
      <c r="BH864" t="s">
        <v>74</v>
      </c>
      <c r="BI864">
        <v>14</v>
      </c>
      <c r="BJ864" t="s">
        <v>201</v>
      </c>
      <c r="BK864" t="s">
        <v>91</v>
      </c>
      <c r="BL864" t="s">
        <v>203</v>
      </c>
      <c r="BM864" t="s">
        <v>16300</v>
      </c>
      <c r="BN864">
        <v>25355363</v>
      </c>
      <c r="BO864" t="s">
        <v>2056</v>
      </c>
      <c r="BP864" t="s">
        <v>5654</v>
      </c>
      <c r="BQ864" t="s">
        <v>5655</v>
      </c>
      <c r="BR864" t="s">
        <v>93</v>
      </c>
      <c r="BS864" t="s">
        <v>16301</v>
      </c>
      <c r="BT864" t="str">
        <f>HYPERLINK("https%3A%2F%2Fwww.webofscience.com%2Fwos%2Fwoscc%2Ffull-record%2FWOS:000343801500046","View Full Record in Web of Science")</f>
        <v>View Full Record in Web of Science</v>
      </c>
    </row>
    <row r="865" spans="1:72" x14ac:dyDescent="0.15">
      <c r="A865" t="s">
        <v>72</v>
      </c>
      <c r="B865" t="s">
        <v>16302</v>
      </c>
      <c r="C865" t="s">
        <v>74</v>
      </c>
      <c r="D865" t="s">
        <v>74</v>
      </c>
      <c r="E865" t="s">
        <v>74</v>
      </c>
      <c r="F865" t="s">
        <v>16303</v>
      </c>
      <c r="G865" t="s">
        <v>74</v>
      </c>
      <c r="H865" t="s">
        <v>74</v>
      </c>
      <c r="I865" t="s">
        <v>16304</v>
      </c>
      <c r="J865" t="s">
        <v>8813</v>
      </c>
      <c r="K865" t="s">
        <v>74</v>
      </c>
      <c r="L865" t="s">
        <v>74</v>
      </c>
      <c r="M865" t="s">
        <v>78</v>
      </c>
      <c r="N865" t="s">
        <v>99</v>
      </c>
      <c r="O865" t="s">
        <v>74</v>
      </c>
      <c r="P865" t="s">
        <v>74</v>
      </c>
      <c r="Q865" t="s">
        <v>74</v>
      </c>
      <c r="R865" t="s">
        <v>74</v>
      </c>
      <c r="S865" t="s">
        <v>74</v>
      </c>
      <c r="T865" t="s">
        <v>16305</v>
      </c>
      <c r="U865" t="s">
        <v>16306</v>
      </c>
      <c r="V865" t="s">
        <v>16307</v>
      </c>
      <c r="W865" t="s">
        <v>16308</v>
      </c>
      <c r="X865" t="s">
        <v>16309</v>
      </c>
      <c r="Y865" t="s">
        <v>16310</v>
      </c>
      <c r="Z865" t="s">
        <v>16311</v>
      </c>
      <c r="AA865" t="s">
        <v>16312</v>
      </c>
      <c r="AB865" t="s">
        <v>16313</v>
      </c>
      <c r="AC865" t="s">
        <v>16314</v>
      </c>
      <c r="AD865" t="s">
        <v>16315</v>
      </c>
      <c r="AE865" t="s">
        <v>16316</v>
      </c>
      <c r="AF865" t="s">
        <v>74</v>
      </c>
      <c r="AG865">
        <v>36</v>
      </c>
      <c r="AH865">
        <v>22</v>
      </c>
      <c r="AI865">
        <v>25</v>
      </c>
      <c r="AJ865">
        <v>1</v>
      </c>
      <c r="AK865">
        <v>19</v>
      </c>
      <c r="AL865" t="s">
        <v>1945</v>
      </c>
      <c r="AM865" t="s">
        <v>1946</v>
      </c>
      <c r="AN865" t="s">
        <v>1947</v>
      </c>
      <c r="AO865" t="s">
        <v>8826</v>
      </c>
      <c r="AP865" t="s">
        <v>8827</v>
      </c>
      <c r="AQ865" t="s">
        <v>74</v>
      </c>
      <c r="AR865" t="s">
        <v>8828</v>
      </c>
      <c r="AS865" t="s">
        <v>8829</v>
      </c>
      <c r="AT865" t="s">
        <v>16317</v>
      </c>
      <c r="AU865">
        <v>2014</v>
      </c>
      <c r="AV865">
        <v>41</v>
      </c>
      <c r="AW865">
        <v>20</v>
      </c>
      <c r="AX865" t="s">
        <v>74</v>
      </c>
      <c r="AY865" t="s">
        <v>74</v>
      </c>
      <c r="AZ865" t="s">
        <v>74</v>
      </c>
      <c r="BA865" t="s">
        <v>74</v>
      </c>
      <c r="BB865">
        <v>7254</v>
      </c>
      <c r="BC865">
        <v>7261</v>
      </c>
      <c r="BD865" t="s">
        <v>74</v>
      </c>
      <c r="BE865" t="s">
        <v>16318</v>
      </c>
      <c r="BF865" t="str">
        <f>HYPERLINK("http://dx.doi.org/10.1002/2014GL061880","http://dx.doi.org/10.1002/2014GL061880")</f>
        <v>http://dx.doi.org/10.1002/2014GL061880</v>
      </c>
      <c r="BG865" t="s">
        <v>74</v>
      </c>
      <c r="BH865" t="s">
        <v>74</v>
      </c>
      <c r="BI865">
        <v>8</v>
      </c>
      <c r="BJ865" t="s">
        <v>1953</v>
      </c>
      <c r="BK865" t="s">
        <v>91</v>
      </c>
      <c r="BL865" t="s">
        <v>1954</v>
      </c>
      <c r="BM865" t="s">
        <v>16319</v>
      </c>
      <c r="BN865" t="s">
        <v>74</v>
      </c>
      <c r="BO865" t="s">
        <v>8285</v>
      </c>
      <c r="BP865" t="s">
        <v>74</v>
      </c>
      <c r="BQ865" t="s">
        <v>74</v>
      </c>
      <c r="BR865" t="s">
        <v>93</v>
      </c>
      <c r="BS865" t="s">
        <v>16320</v>
      </c>
      <c r="BT865" t="str">
        <f>HYPERLINK("https%3A%2F%2Fwww.webofscience.com%2Fwos%2Fwoscc%2Ffull-record%2FWOS:000345343100034","View Full Record in Web of Science")</f>
        <v>View Full Record in Web of Science</v>
      </c>
    </row>
    <row r="866" spans="1:72" x14ac:dyDescent="0.15">
      <c r="A866" t="s">
        <v>72</v>
      </c>
      <c r="B866" t="s">
        <v>16321</v>
      </c>
      <c r="C866" t="s">
        <v>74</v>
      </c>
      <c r="D866" t="s">
        <v>74</v>
      </c>
      <c r="E866" t="s">
        <v>74</v>
      </c>
      <c r="F866" t="s">
        <v>16322</v>
      </c>
      <c r="G866" t="s">
        <v>74</v>
      </c>
      <c r="H866" t="s">
        <v>74</v>
      </c>
      <c r="I866" t="s">
        <v>16323</v>
      </c>
      <c r="J866" t="s">
        <v>9013</v>
      </c>
      <c r="K866" t="s">
        <v>74</v>
      </c>
      <c r="L866" t="s">
        <v>74</v>
      </c>
      <c r="M866" t="s">
        <v>78</v>
      </c>
      <c r="N866" t="s">
        <v>99</v>
      </c>
      <c r="O866" t="s">
        <v>74</v>
      </c>
      <c r="P866" t="s">
        <v>74</v>
      </c>
      <c r="Q866" t="s">
        <v>74</v>
      </c>
      <c r="R866" t="s">
        <v>74</v>
      </c>
      <c r="S866" t="s">
        <v>74</v>
      </c>
      <c r="T866" t="s">
        <v>16324</v>
      </c>
      <c r="U866" t="s">
        <v>16325</v>
      </c>
      <c r="V866" t="s">
        <v>16326</v>
      </c>
      <c r="W866" t="s">
        <v>16327</v>
      </c>
      <c r="X866" t="s">
        <v>16328</v>
      </c>
      <c r="Y866" t="s">
        <v>16329</v>
      </c>
      <c r="Z866" t="s">
        <v>16330</v>
      </c>
      <c r="AA866" t="s">
        <v>16331</v>
      </c>
      <c r="AB866" t="s">
        <v>16332</v>
      </c>
      <c r="AC866" t="s">
        <v>16333</v>
      </c>
      <c r="AD866" t="s">
        <v>16334</v>
      </c>
      <c r="AE866" t="s">
        <v>16335</v>
      </c>
      <c r="AF866" t="s">
        <v>74</v>
      </c>
      <c r="AG866">
        <v>31</v>
      </c>
      <c r="AH866">
        <v>38</v>
      </c>
      <c r="AI866">
        <v>40</v>
      </c>
      <c r="AJ866">
        <v>1</v>
      </c>
      <c r="AK866">
        <v>36</v>
      </c>
      <c r="AL866" t="s">
        <v>9025</v>
      </c>
      <c r="AM866" t="s">
        <v>1946</v>
      </c>
      <c r="AN866" t="s">
        <v>9026</v>
      </c>
      <c r="AO866" t="s">
        <v>9027</v>
      </c>
      <c r="AP866" t="s">
        <v>74</v>
      </c>
      <c r="AQ866" t="s">
        <v>74</v>
      </c>
      <c r="AR866" t="s">
        <v>9029</v>
      </c>
      <c r="AS866" t="s">
        <v>9030</v>
      </c>
      <c r="AT866" t="s">
        <v>16317</v>
      </c>
      <c r="AU866">
        <v>2014</v>
      </c>
      <c r="AV866">
        <v>111</v>
      </c>
      <c r="AW866">
        <v>43</v>
      </c>
      <c r="AX866" t="s">
        <v>74</v>
      </c>
      <c r="AY866" t="s">
        <v>74</v>
      </c>
      <c r="AZ866" t="s">
        <v>74</v>
      </c>
      <c r="BA866" t="s">
        <v>74</v>
      </c>
      <c r="BB866">
        <v>15328</v>
      </c>
      <c r="BC866">
        <v>15331</v>
      </c>
      <c r="BD866" t="s">
        <v>74</v>
      </c>
      <c r="BE866" t="s">
        <v>16336</v>
      </c>
      <c r="BF866" t="str">
        <f>HYPERLINK("http://dx.doi.org/10.1073/pnas.1417370111","http://dx.doi.org/10.1073/pnas.1417370111")</f>
        <v>http://dx.doi.org/10.1073/pnas.1417370111</v>
      </c>
      <c r="BG866" t="s">
        <v>74</v>
      </c>
      <c r="BH866" t="s">
        <v>74</v>
      </c>
      <c r="BI866">
        <v>4</v>
      </c>
      <c r="BJ866" t="s">
        <v>201</v>
      </c>
      <c r="BK866" t="s">
        <v>91</v>
      </c>
      <c r="BL866" t="s">
        <v>203</v>
      </c>
      <c r="BM866" t="s">
        <v>16337</v>
      </c>
      <c r="BN866">
        <v>25313063</v>
      </c>
      <c r="BO866" t="s">
        <v>3111</v>
      </c>
      <c r="BP866" t="s">
        <v>74</v>
      </c>
      <c r="BQ866" t="s">
        <v>74</v>
      </c>
      <c r="BR866" t="s">
        <v>93</v>
      </c>
      <c r="BS866" t="s">
        <v>16338</v>
      </c>
      <c r="BT866" t="str">
        <f>HYPERLINK("https%3A%2F%2Fwww.webofscience.com%2Fwos%2Fwoscc%2Ffull-record%2FWOS:000343729500032","View Full Record in Web of Science")</f>
        <v>View Full Record in Web of Science</v>
      </c>
    </row>
    <row r="867" spans="1:72" x14ac:dyDescent="0.15">
      <c r="A867" t="s">
        <v>72</v>
      </c>
      <c r="B867" t="s">
        <v>16339</v>
      </c>
      <c r="C867" t="s">
        <v>74</v>
      </c>
      <c r="D867" t="s">
        <v>74</v>
      </c>
      <c r="E867" t="s">
        <v>74</v>
      </c>
      <c r="F867" t="s">
        <v>16340</v>
      </c>
      <c r="G867" t="s">
        <v>74</v>
      </c>
      <c r="H867" t="s">
        <v>74</v>
      </c>
      <c r="I867" t="s">
        <v>16341</v>
      </c>
      <c r="J867" t="s">
        <v>8813</v>
      </c>
      <c r="K867" t="s">
        <v>74</v>
      </c>
      <c r="L867" t="s">
        <v>74</v>
      </c>
      <c r="M867" t="s">
        <v>78</v>
      </c>
      <c r="N867" t="s">
        <v>99</v>
      </c>
      <c r="O867" t="s">
        <v>74</v>
      </c>
      <c r="P867" t="s">
        <v>74</v>
      </c>
      <c r="Q867" t="s">
        <v>74</v>
      </c>
      <c r="R867" t="s">
        <v>74</v>
      </c>
      <c r="S867" t="s">
        <v>74</v>
      </c>
      <c r="T867" t="s">
        <v>16342</v>
      </c>
      <c r="U867" t="s">
        <v>16343</v>
      </c>
      <c r="V867" t="s">
        <v>16344</v>
      </c>
      <c r="W867" t="s">
        <v>16345</v>
      </c>
      <c r="X867" t="s">
        <v>16346</v>
      </c>
      <c r="Y867" t="s">
        <v>16347</v>
      </c>
      <c r="Z867" t="s">
        <v>16348</v>
      </c>
      <c r="AA867" t="s">
        <v>16349</v>
      </c>
      <c r="AB867" t="s">
        <v>16350</v>
      </c>
      <c r="AC867" t="s">
        <v>16351</v>
      </c>
      <c r="AD867" t="s">
        <v>16352</v>
      </c>
      <c r="AE867" t="s">
        <v>16353</v>
      </c>
      <c r="AF867" t="s">
        <v>74</v>
      </c>
      <c r="AG867">
        <v>31</v>
      </c>
      <c r="AH867">
        <v>23</v>
      </c>
      <c r="AI867">
        <v>24</v>
      </c>
      <c r="AJ867">
        <v>0</v>
      </c>
      <c r="AK867">
        <v>28</v>
      </c>
      <c r="AL867" t="s">
        <v>1945</v>
      </c>
      <c r="AM867" t="s">
        <v>1946</v>
      </c>
      <c r="AN867" t="s">
        <v>1947</v>
      </c>
      <c r="AO867" t="s">
        <v>8826</v>
      </c>
      <c r="AP867" t="s">
        <v>8827</v>
      </c>
      <c r="AQ867" t="s">
        <v>74</v>
      </c>
      <c r="AR867" t="s">
        <v>8828</v>
      </c>
      <c r="AS867" t="s">
        <v>8829</v>
      </c>
      <c r="AT867" t="s">
        <v>16317</v>
      </c>
      <c r="AU867">
        <v>2014</v>
      </c>
      <c r="AV867">
        <v>41</v>
      </c>
      <c r="AW867">
        <v>20</v>
      </c>
      <c r="AX867" t="s">
        <v>74</v>
      </c>
      <c r="AY867" t="s">
        <v>74</v>
      </c>
      <c r="AZ867" t="s">
        <v>74</v>
      </c>
      <c r="BA867" t="s">
        <v>74</v>
      </c>
      <c r="BB867">
        <v>7227</v>
      </c>
      <c r="BC867">
        <v>7236</v>
      </c>
      <c r="BD867" t="s">
        <v>74</v>
      </c>
      <c r="BE867" t="s">
        <v>16354</v>
      </c>
      <c r="BF867" t="str">
        <f>HYPERLINK("http://dx.doi.org/10.1002/2014GL061066","http://dx.doi.org/10.1002/2014GL061066")</f>
        <v>http://dx.doi.org/10.1002/2014GL061066</v>
      </c>
      <c r="BG867" t="s">
        <v>74</v>
      </c>
      <c r="BH867" t="s">
        <v>74</v>
      </c>
      <c r="BI867">
        <v>10</v>
      </c>
      <c r="BJ867" t="s">
        <v>1953</v>
      </c>
      <c r="BK867" t="s">
        <v>91</v>
      </c>
      <c r="BL867" t="s">
        <v>1954</v>
      </c>
      <c r="BM867" t="s">
        <v>16319</v>
      </c>
      <c r="BN867" t="s">
        <v>74</v>
      </c>
      <c r="BO867" t="s">
        <v>16355</v>
      </c>
      <c r="BP867" t="s">
        <v>74</v>
      </c>
      <c r="BQ867" t="s">
        <v>74</v>
      </c>
      <c r="BR867" t="s">
        <v>93</v>
      </c>
      <c r="BS867" t="s">
        <v>16356</v>
      </c>
      <c r="BT867" t="str">
        <f>HYPERLINK("https%3A%2F%2Fwww.webofscience.com%2Fwos%2Fwoscc%2Ffull-record%2FWOS:000345343100031","View Full Record in Web of Science")</f>
        <v>View Full Record in Web of Science</v>
      </c>
    </row>
    <row r="868" spans="1:72" x14ac:dyDescent="0.15">
      <c r="A868" t="s">
        <v>72</v>
      </c>
      <c r="B868" t="s">
        <v>16357</v>
      </c>
      <c r="C868" t="s">
        <v>74</v>
      </c>
      <c r="D868" t="s">
        <v>74</v>
      </c>
      <c r="E868" t="s">
        <v>74</v>
      </c>
      <c r="F868" t="s">
        <v>16358</v>
      </c>
      <c r="G868" t="s">
        <v>74</v>
      </c>
      <c r="H868" t="s">
        <v>74</v>
      </c>
      <c r="I868" t="s">
        <v>16359</v>
      </c>
      <c r="J868" t="s">
        <v>8813</v>
      </c>
      <c r="K868" t="s">
        <v>74</v>
      </c>
      <c r="L868" t="s">
        <v>74</v>
      </c>
      <c r="M868" t="s">
        <v>78</v>
      </c>
      <c r="N868" t="s">
        <v>99</v>
      </c>
      <c r="O868" t="s">
        <v>74</v>
      </c>
      <c r="P868" t="s">
        <v>74</v>
      </c>
      <c r="Q868" t="s">
        <v>74</v>
      </c>
      <c r="R868" t="s">
        <v>74</v>
      </c>
      <c r="S868" t="s">
        <v>74</v>
      </c>
      <c r="T868" t="s">
        <v>16360</v>
      </c>
      <c r="U868" t="s">
        <v>16361</v>
      </c>
      <c r="V868" t="s">
        <v>16362</v>
      </c>
      <c r="W868" t="s">
        <v>16363</v>
      </c>
      <c r="X868" t="s">
        <v>16364</v>
      </c>
      <c r="Y868" t="s">
        <v>16365</v>
      </c>
      <c r="Z868" t="s">
        <v>16366</v>
      </c>
      <c r="AA868" t="s">
        <v>16367</v>
      </c>
      <c r="AB868" t="s">
        <v>16368</v>
      </c>
      <c r="AC868" t="s">
        <v>16369</v>
      </c>
      <c r="AD868" t="s">
        <v>16370</v>
      </c>
      <c r="AE868" t="s">
        <v>16371</v>
      </c>
      <c r="AF868" t="s">
        <v>74</v>
      </c>
      <c r="AG868">
        <v>31</v>
      </c>
      <c r="AH868">
        <v>18</v>
      </c>
      <c r="AI868">
        <v>22</v>
      </c>
      <c r="AJ868">
        <v>0</v>
      </c>
      <c r="AK868">
        <v>11</v>
      </c>
      <c r="AL868" t="s">
        <v>1945</v>
      </c>
      <c r="AM868" t="s">
        <v>1946</v>
      </c>
      <c r="AN868" t="s">
        <v>1947</v>
      </c>
      <c r="AO868" t="s">
        <v>8826</v>
      </c>
      <c r="AP868" t="s">
        <v>8827</v>
      </c>
      <c r="AQ868" t="s">
        <v>74</v>
      </c>
      <c r="AR868" t="s">
        <v>8828</v>
      </c>
      <c r="AS868" t="s">
        <v>8829</v>
      </c>
      <c r="AT868" t="s">
        <v>16317</v>
      </c>
      <c r="AU868">
        <v>2014</v>
      </c>
      <c r="AV868">
        <v>41</v>
      </c>
      <c r="AW868">
        <v>20</v>
      </c>
      <c r="AX868" t="s">
        <v>74</v>
      </c>
      <c r="AY868" t="s">
        <v>74</v>
      </c>
      <c r="AZ868" t="s">
        <v>74</v>
      </c>
      <c r="BA868" t="s">
        <v>74</v>
      </c>
      <c r="BB868">
        <v>7237</v>
      </c>
      <c r="BC868">
        <v>7244</v>
      </c>
      <c r="BD868" t="s">
        <v>74</v>
      </c>
      <c r="BE868" t="s">
        <v>16372</v>
      </c>
      <c r="BF868" t="str">
        <f>HYPERLINK("http://dx.doi.org/10.1002/2014GL061814","http://dx.doi.org/10.1002/2014GL061814")</f>
        <v>http://dx.doi.org/10.1002/2014GL061814</v>
      </c>
      <c r="BG868" t="s">
        <v>74</v>
      </c>
      <c r="BH868" t="s">
        <v>74</v>
      </c>
      <c r="BI868">
        <v>8</v>
      </c>
      <c r="BJ868" t="s">
        <v>1953</v>
      </c>
      <c r="BK868" t="s">
        <v>91</v>
      </c>
      <c r="BL868" t="s">
        <v>1954</v>
      </c>
      <c r="BM868" t="s">
        <v>16319</v>
      </c>
      <c r="BN868" t="s">
        <v>74</v>
      </c>
      <c r="BO868" t="s">
        <v>6900</v>
      </c>
      <c r="BP868" t="s">
        <v>74</v>
      </c>
      <c r="BQ868" t="s">
        <v>74</v>
      </c>
      <c r="BR868" t="s">
        <v>93</v>
      </c>
      <c r="BS868" t="s">
        <v>16373</v>
      </c>
      <c r="BT868" t="str">
        <f>HYPERLINK("https%3A%2F%2Fwww.webofscience.com%2Fwos%2Fwoscc%2Ffull-record%2FWOS:000345343100032","View Full Record in Web of Science")</f>
        <v>View Full Record in Web of Science</v>
      </c>
    </row>
    <row r="869" spans="1:72" x14ac:dyDescent="0.15">
      <c r="A869" t="s">
        <v>72</v>
      </c>
      <c r="B869" t="s">
        <v>16374</v>
      </c>
      <c r="C869" t="s">
        <v>74</v>
      </c>
      <c r="D869" t="s">
        <v>74</v>
      </c>
      <c r="E869" t="s">
        <v>74</v>
      </c>
      <c r="F869" t="s">
        <v>16375</v>
      </c>
      <c r="G869" t="s">
        <v>74</v>
      </c>
      <c r="H869" t="s">
        <v>74</v>
      </c>
      <c r="I869" t="s">
        <v>16376</v>
      </c>
      <c r="J869" t="s">
        <v>8926</v>
      </c>
      <c r="K869" t="s">
        <v>74</v>
      </c>
      <c r="L869" t="s">
        <v>74</v>
      </c>
      <c r="M869" t="s">
        <v>78</v>
      </c>
      <c r="N869" t="s">
        <v>99</v>
      </c>
      <c r="O869" t="s">
        <v>74</v>
      </c>
      <c r="P869" t="s">
        <v>74</v>
      </c>
      <c r="Q869" t="s">
        <v>74</v>
      </c>
      <c r="R869" t="s">
        <v>74</v>
      </c>
      <c r="S869" t="s">
        <v>74</v>
      </c>
      <c r="T869" t="s">
        <v>16377</v>
      </c>
      <c r="U869" t="s">
        <v>16378</v>
      </c>
      <c r="V869" t="s">
        <v>16379</v>
      </c>
      <c r="W869" t="s">
        <v>16380</v>
      </c>
      <c r="X869" t="s">
        <v>16381</v>
      </c>
      <c r="Y869" t="s">
        <v>16382</v>
      </c>
      <c r="Z869" t="s">
        <v>16383</v>
      </c>
      <c r="AA869" t="s">
        <v>16384</v>
      </c>
      <c r="AB869" t="s">
        <v>16385</v>
      </c>
      <c r="AC869" t="s">
        <v>16386</v>
      </c>
      <c r="AD869" t="s">
        <v>16387</v>
      </c>
      <c r="AE869" t="s">
        <v>16388</v>
      </c>
      <c r="AF869" t="s">
        <v>74</v>
      </c>
      <c r="AG869">
        <v>83</v>
      </c>
      <c r="AH869">
        <v>48</v>
      </c>
      <c r="AI869">
        <v>48</v>
      </c>
      <c r="AJ869">
        <v>1</v>
      </c>
      <c r="AK869">
        <v>24</v>
      </c>
      <c r="AL869" t="s">
        <v>1945</v>
      </c>
      <c r="AM869" t="s">
        <v>1946</v>
      </c>
      <c r="AN869" t="s">
        <v>1947</v>
      </c>
      <c r="AO869" t="s">
        <v>8938</v>
      </c>
      <c r="AP869" t="s">
        <v>8939</v>
      </c>
      <c r="AQ869" t="s">
        <v>74</v>
      </c>
      <c r="AR869" t="s">
        <v>8940</v>
      </c>
      <c r="AS869" t="s">
        <v>8941</v>
      </c>
      <c r="AT869" t="s">
        <v>16389</v>
      </c>
      <c r="AU869">
        <v>2014</v>
      </c>
      <c r="AV869">
        <v>119</v>
      </c>
      <c r="AW869">
        <v>20</v>
      </c>
      <c r="AX869" t="s">
        <v>74</v>
      </c>
      <c r="AY869" t="s">
        <v>74</v>
      </c>
      <c r="AZ869" t="s">
        <v>74</v>
      </c>
      <c r="BA869" t="s">
        <v>74</v>
      </c>
      <c r="BB869">
        <v>11662</v>
      </c>
      <c r="BC869">
        <v>11681</v>
      </c>
      <c r="BD869" t="s">
        <v>74</v>
      </c>
      <c r="BE869" t="s">
        <v>16390</v>
      </c>
      <c r="BF869" t="str">
        <f>HYPERLINK("http://dx.doi.org/10.1002/2014JD022361","http://dx.doi.org/10.1002/2014JD022361")</f>
        <v>http://dx.doi.org/10.1002/2014JD022361</v>
      </c>
      <c r="BG869" t="s">
        <v>74</v>
      </c>
      <c r="BH869" t="s">
        <v>74</v>
      </c>
      <c r="BI869">
        <v>20</v>
      </c>
      <c r="BJ869" t="s">
        <v>226</v>
      </c>
      <c r="BK869" t="s">
        <v>91</v>
      </c>
      <c r="BL869" t="s">
        <v>226</v>
      </c>
      <c r="BM869" t="s">
        <v>16391</v>
      </c>
      <c r="BN869" t="s">
        <v>74</v>
      </c>
      <c r="BO869" t="s">
        <v>74</v>
      </c>
      <c r="BP869" t="s">
        <v>74</v>
      </c>
      <c r="BQ869" t="s">
        <v>74</v>
      </c>
      <c r="BR869" t="s">
        <v>93</v>
      </c>
      <c r="BS869" t="s">
        <v>16392</v>
      </c>
      <c r="BT869" t="str">
        <f>HYPERLINK("https%3A%2F%2Fwww.webofscience.com%2Fwos%2Fwoscc%2Ffull-record%2FWOS:000345298100018","View Full Record in Web of Science")</f>
        <v>View Full Record in Web of Science</v>
      </c>
    </row>
    <row r="870" spans="1:72" x14ac:dyDescent="0.15">
      <c r="A870" t="s">
        <v>72</v>
      </c>
      <c r="B870" t="s">
        <v>16393</v>
      </c>
      <c r="C870" t="s">
        <v>74</v>
      </c>
      <c r="D870" t="s">
        <v>74</v>
      </c>
      <c r="E870" t="s">
        <v>74</v>
      </c>
      <c r="F870" t="s">
        <v>16394</v>
      </c>
      <c r="G870" t="s">
        <v>74</v>
      </c>
      <c r="H870" t="s">
        <v>74</v>
      </c>
      <c r="I870" t="s">
        <v>16395</v>
      </c>
      <c r="J870" t="s">
        <v>9390</v>
      </c>
      <c r="K870" t="s">
        <v>74</v>
      </c>
      <c r="L870" t="s">
        <v>74</v>
      </c>
      <c r="M870" t="s">
        <v>78</v>
      </c>
      <c r="N870" t="s">
        <v>99</v>
      </c>
      <c r="O870" t="s">
        <v>74</v>
      </c>
      <c r="P870" t="s">
        <v>74</v>
      </c>
      <c r="Q870" t="s">
        <v>74</v>
      </c>
      <c r="R870" t="s">
        <v>74</v>
      </c>
      <c r="S870" t="s">
        <v>74</v>
      </c>
      <c r="T870" t="s">
        <v>16396</v>
      </c>
      <c r="U870" t="s">
        <v>16397</v>
      </c>
      <c r="V870" t="s">
        <v>16398</v>
      </c>
      <c r="W870" t="s">
        <v>16399</v>
      </c>
      <c r="X870" t="s">
        <v>74</v>
      </c>
      <c r="Y870" t="s">
        <v>16400</v>
      </c>
      <c r="Z870" t="s">
        <v>16401</v>
      </c>
      <c r="AA870" t="s">
        <v>74</v>
      </c>
      <c r="AB870" t="s">
        <v>16402</v>
      </c>
      <c r="AC870" t="s">
        <v>74</v>
      </c>
      <c r="AD870" t="s">
        <v>74</v>
      </c>
      <c r="AE870" t="s">
        <v>74</v>
      </c>
      <c r="AF870" t="s">
        <v>74</v>
      </c>
      <c r="AG870">
        <v>86</v>
      </c>
      <c r="AH870">
        <v>21</v>
      </c>
      <c r="AI870">
        <v>22</v>
      </c>
      <c r="AJ870">
        <v>5</v>
      </c>
      <c r="AK870">
        <v>98</v>
      </c>
      <c r="AL870" t="s">
        <v>1219</v>
      </c>
      <c r="AM870" t="s">
        <v>1220</v>
      </c>
      <c r="AN870" t="s">
        <v>1221</v>
      </c>
      <c r="AO870" t="s">
        <v>9402</v>
      </c>
      <c r="AP870" t="s">
        <v>9403</v>
      </c>
      <c r="AQ870" t="s">
        <v>74</v>
      </c>
      <c r="AR870" t="s">
        <v>9404</v>
      </c>
      <c r="AS870" t="s">
        <v>9405</v>
      </c>
      <c r="AT870" t="s">
        <v>16403</v>
      </c>
      <c r="AU870">
        <v>2014</v>
      </c>
      <c r="AV870">
        <v>513</v>
      </c>
      <c r="AW870" t="s">
        <v>74</v>
      </c>
      <c r="AX870" t="s">
        <v>74</v>
      </c>
      <c r="AY870" t="s">
        <v>74</v>
      </c>
      <c r="AZ870" t="s">
        <v>74</v>
      </c>
      <c r="BA870" t="s">
        <v>74</v>
      </c>
      <c r="BB870">
        <v>51</v>
      </c>
      <c r="BC870">
        <v>69</v>
      </c>
      <c r="BD870" t="s">
        <v>74</v>
      </c>
      <c r="BE870" t="s">
        <v>16404</v>
      </c>
      <c r="BF870" t="str">
        <f>HYPERLINK("http://dx.doi.org/10.3354/meps10922","http://dx.doi.org/10.3354/meps10922")</f>
        <v>http://dx.doi.org/10.3354/meps10922</v>
      </c>
      <c r="BG870" t="s">
        <v>74</v>
      </c>
      <c r="BH870" t="s">
        <v>74</v>
      </c>
      <c r="BI870">
        <v>19</v>
      </c>
      <c r="BJ870" t="s">
        <v>9407</v>
      </c>
      <c r="BK870" t="s">
        <v>91</v>
      </c>
      <c r="BL870" t="s">
        <v>9408</v>
      </c>
      <c r="BM870" t="s">
        <v>16405</v>
      </c>
      <c r="BN870" t="s">
        <v>74</v>
      </c>
      <c r="BO870" t="s">
        <v>375</v>
      </c>
      <c r="BP870" t="s">
        <v>74</v>
      </c>
      <c r="BQ870" t="s">
        <v>74</v>
      </c>
      <c r="BR870" t="s">
        <v>93</v>
      </c>
      <c r="BS870" t="s">
        <v>16406</v>
      </c>
      <c r="BT870" t="str">
        <f>HYPERLINK("https%3A%2F%2Fwww.webofscience.com%2Fwos%2Fwoscc%2Ffull-record%2FWOS:000344394400005","View Full Record in Web of Science")</f>
        <v>View Full Record in Web of Science</v>
      </c>
    </row>
    <row r="871" spans="1:72" x14ac:dyDescent="0.15">
      <c r="A871" t="s">
        <v>72</v>
      </c>
      <c r="B871" t="s">
        <v>16407</v>
      </c>
      <c r="C871" t="s">
        <v>74</v>
      </c>
      <c r="D871" t="s">
        <v>74</v>
      </c>
      <c r="E871" t="s">
        <v>74</v>
      </c>
      <c r="F871" t="s">
        <v>16408</v>
      </c>
      <c r="G871" t="s">
        <v>74</v>
      </c>
      <c r="H871" t="s">
        <v>74</v>
      </c>
      <c r="I871" t="s">
        <v>16409</v>
      </c>
      <c r="J871" t="s">
        <v>9390</v>
      </c>
      <c r="K871" t="s">
        <v>74</v>
      </c>
      <c r="L871" t="s">
        <v>74</v>
      </c>
      <c r="M871" t="s">
        <v>78</v>
      </c>
      <c r="N871" t="s">
        <v>99</v>
      </c>
      <c r="O871" t="s">
        <v>74</v>
      </c>
      <c r="P871" t="s">
        <v>74</v>
      </c>
      <c r="Q871" t="s">
        <v>74</v>
      </c>
      <c r="R871" t="s">
        <v>74</v>
      </c>
      <c r="S871" t="s">
        <v>74</v>
      </c>
      <c r="T871" t="s">
        <v>16410</v>
      </c>
      <c r="U871" t="s">
        <v>16411</v>
      </c>
      <c r="V871" t="s">
        <v>16412</v>
      </c>
      <c r="W871" t="s">
        <v>16413</v>
      </c>
      <c r="X871" t="s">
        <v>16414</v>
      </c>
      <c r="Y871" t="s">
        <v>16415</v>
      </c>
      <c r="Z871" t="s">
        <v>16416</v>
      </c>
      <c r="AA871" t="s">
        <v>16417</v>
      </c>
      <c r="AB871" t="s">
        <v>16418</v>
      </c>
      <c r="AC871" t="s">
        <v>16419</v>
      </c>
      <c r="AD871" t="s">
        <v>16420</v>
      </c>
      <c r="AE871" t="s">
        <v>16421</v>
      </c>
      <c r="AF871" t="s">
        <v>74</v>
      </c>
      <c r="AG871">
        <v>55</v>
      </c>
      <c r="AH871">
        <v>23</v>
      </c>
      <c r="AI871">
        <v>25</v>
      </c>
      <c r="AJ871">
        <v>3</v>
      </c>
      <c r="AK871">
        <v>38</v>
      </c>
      <c r="AL871" t="s">
        <v>1219</v>
      </c>
      <c r="AM871" t="s">
        <v>1220</v>
      </c>
      <c r="AN871" t="s">
        <v>1221</v>
      </c>
      <c r="AO871" t="s">
        <v>9402</v>
      </c>
      <c r="AP871" t="s">
        <v>9403</v>
      </c>
      <c r="AQ871" t="s">
        <v>74</v>
      </c>
      <c r="AR871" t="s">
        <v>9404</v>
      </c>
      <c r="AS871" t="s">
        <v>9405</v>
      </c>
      <c r="AT871" t="s">
        <v>16403</v>
      </c>
      <c r="AU871">
        <v>2014</v>
      </c>
      <c r="AV871">
        <v>513</v>
      </c>
      <c r="AW871" t="s">
        <v>74</v>
      </c>
      <c r="AX871" t="s">
        <v>74</v>
      </c>
      <c r="AY871" t="s">
        <v>74</v>
      </c>
      <c r="AZ871" t="s">
        <v>74</v>
      </c>
      <c r="BA871" t="s">
        <v>74</v>
      </c>
      <c r="BB871">
        <v>111</v>
      </c>
      <c r="BC871">
        <v>119</v>
      </c>
      <c r="BD871" t="s">
        <v>74</v>
      </c>
      <c r="BE871" t="s">
        <v>16422</v>
      </c>
      <c r="BF871" t="str">
        <f>HYPERLINK("http://dx.doi.org/10.3354/meps10893","http://dx.doi.org/10.3354/meps10893")</f>
        <v>http://dx.doi.org/10.3354/meps10893</v>
      </c>
      <c r="BG871" t="s">
        <v>74</v>
      </c>
      <c r="BH871" t="s">
        <v>74</v>
      </c>
      <c r="BI871">
        <v>9</v>
      </c>
      <c r="BJ871" t="s">
        <v>9407</v>
      </c>
      <c r="BK871" t="s">
        <v>91</v>
      </c>
      <c r="BL871" t="s">
        <v>9408</v>
      </c>
      <c r="BM871" t="s">
        <v>16405</v>
      </c>
      <c r="BN871" t="s">
        <v>74</v>
      </c>
      <c r="BO871" t="s">
        <v>375</v>
      </c>
      <c r="BP871" t="s">
        <v>74</v>
      </c>
      <c r="BQ871" t="s">
        <v>74</v>
      </c>
      <c r="BR871" t="s">
        <v>93</v>
      </c>
      <c r="BS871" t="s">
        <v>16423</v>
      </c>
      <c r="BT871" t="str">
        <f>HYPERLINK("https%3A%2F%2Fwww.webofscience.com%2Fwos%2Fwoscc%2Ffull-record%2FWOS:000344394400009","View Full Record in Web of Science")</f>
        <v>View Full Record in Web of Science</v>
      </c>
    </row>
    <row r="872" spans="1:72" x14ac:dyDescent="0.15">
      <c r="A872" t="s">
        <v>72</v>
      </c>
      <c r="B872" t="s">
        <v>16424</v>
      </c>
      <c r="C872" t="s">
        <v>74</v>
      </c>
      <c r="D872" t="s">
        <v>74</v>
      </c>
      <c r="E872" t="s">
        <v>74</v>
      </c>
      <c r="F872" t="s">
        <v>16425</v>
      </c>
      <c r="G872" t="s">
        <v>74</v>
      </c>
      <c r="H872" t="s">
        <v>74</v>
      </c>
      <c r="I872" t="s">
        <v>16426</v>
      </c>
      <c r="J872" t="s">
        <v>9390</v>
      </c>
      <c r="K872" t="s">
        <v>74</v>
      </c>
      <c r="L872" t="s">
        <v>74</v>
      </c>
      <c r="M872" t="s">
        <v>78</v>
      </c>
      <c r="N872" t="s">
        <v>99</v>
      </c>
      <c r="O872" t="s">
        <v>74</v>
      </c>
      <c r="P872" t="s">
        <v>74</v>
      </c>
      <c r="Q872" t="s">
        <v>74</v>
      </c>
      <c r="R872" t="s">
        <v>74</v>
      </c>
      <c r="S872" t="s">
        <v>74</v>
      </c>
      <c r="T872" t="s">
        <v>16427</v>
      </c>
      <c r="U872" t="s">
        <v>16428</v>
      </c>
      <c r="V872" t="s">
        <v>16429</v>
      </c>
      <c r="W872" t="s">
        <v>16430</v>
      </c>
      <c r="X872" t="s">
        <v>16431</v>
      </c>
      <c r="Y872" t="s">
        <v>16432</v>
      </c>
      <c r="Z872" t="s">
        <v>16433</v>
      </c>
      <c r="AA872" t="s">
        <v>16434</v>
      </c>
      <c r="AB872" t="s">
        <v>16435</v>
      </c>
      <c r="AC872" t="s">
        <v>16436</v>
      </c>
      <c r="AD872" t="s">
        <v>16437</v>
      </c>
      <c r="AE872" t="s">
        <v>16438</v>
      </c>
      <c r="AF872" t="s">
        <v>74</v>
      </c>
      <c r="AG872">
        <v>96</v>
      </c>
      <c r="AH872">
        <v>26</v>
      </c>
      <c r="AI872">
        <v>33</v>
      </c>
      <c r="AJ872">
        <v>1</v>
      </c>
      <c r="AK872">
        <v>54</v>
      </c>
      <c r="AL872" t="s">
        <v>1219</v>
      </c>
      <c r="AM872" t="s">
        <v>1220</v>
      </c>
      <c r="AN872" t="s">
        <v>1221</v>
      </c>
      <c r="AO872" t="s">
        <v>9402</v>
      </c>
      <c r="AP872" t="s">
        <v>9403</v>
      </c>
      <c r="AQ872" t="s">
        <v>74</v>
      </c>
      <c r="AR872" t="s">
        <v>9404</v>
      </c>
      <c r="AS872" t="s">
        <v>9405</v>
      </c>
      <c r="AT872" t="s">
        <v>16403</v>
      </c>
      <c r="AU872">
        <v>2014</v>
      </c>
      <c r="AV872">
        <v>513</v>
      </c>
      <c r="AW872" t="s">
        <v>74</v>
      </c>
      <c r="AX872" t="s">
        <v>74</v>
      </c>
      <c r="AY872" t="s">
        <v>74</v>
      </c>
      <c r="AZ872" t="s">
        <v>74</v>
      </c>
      <c r="BA872" t="s">
        <v>74</v>
      </c>
      <c r="BB872">
        <v>253</v>
      </c>
      <c r="BC872">
        <v>268</v>
      </c>
      <c r="BD872" t="s">
        <v>74</v>
      </c>
      <c r="BE872" t="s">
        <v>16439</v>
      </c>
      <c r="BF872" t="str">
        <f>HYPERLINK("http://dx.doi.org/10.3354/meps10928","http://dx.doi.org/10.3354/meps10928")</f>
        <v>http://dx.doi.org/10.3354/meps10928</v>
      </c>
      <c r="BG872" t="s">
        <v>74</v>
      </c>
      <c r="BH872" t="s">
        <v>74</v>
      </c>
      <c r="BI872">
        <v>16</v>
      </c>
      <c r="BJ872" t="s">
        <v>9407</v>
      </c>
      <c r="BK872" t="s">
        <v>91</v>
      </c>
      <c r="BL872" t="s">
        <v>9408</v>
      </c>
      <c r="BM872" t="s">
        <v>16405</v>
      </c>
      <c r="BN872" t="s">
        <v>74</v>
      </c>
      <c r="BO872" t="s">
        <v>375</v>
      </c>
      <c r="BP872" t="s">
        <v>74</v>
      </c>
      <c r="BQ872" t="s">
        <v>74</v>
      </c>
      <c r="BR872" t="s">
        <v>93</v>
      </c>
      <c r="BS872" t="s">
        <v>16440</v>
      </c>
      <c r="BT872" t="str">
        <f>HYPERLINK("https%3A%2F%2Fwww.webofscience.com%2Fwos%2Fwoscc%2Ffull-record%2FWOS:000344394400020","View Full Record in Web of Science")</f>
        <v>View Full Record in Web of Science</v>
      </c>
    </row>
    <row r="873" spans="1:72" x14ac:dyDescent="0.15">
      <c r="A873" t="s">
        <v>72</v>
      </c>
      <c r="B873" t="s">
        <v>16441</v>
      </c>
      <c r="C873" t="s">
        <v>74</v>
      </c>
      <c r="D873" t="s">
        <v>74</v>
      </c>
      <c r="E873" t="s">
        <v>74</v>
      </c>
      <c r="F873" t="s">
        <v>16442</v>
      </c>
      <c r="G873" t="s">
        <v>74</v>
      </c>
      <c r="H873" t="s">
        <v>74</v>
      </c>
      <c r="I873" t="s">
        <v>16443</v>
      </c>
      <c r="J873" t="s">
        <v>9390</v>
      </c>
      <c r="K873" t="s">
        <v>74</v>
      </c>
      <c r="L873" t="s">
        <v>74</v>
      </c>
      <c r="M873" t="s">
        <v>78</v>
      </c>
      <c r="N873" t="s">
        <v>99</v>
      </c>
      <c r="O873" t="s">
        <v>74</v>
      </c>
      <c r="P873" t="s">
        <v>74</v>
      </c>
      <c r="Q873" t="s">
        <v>74</v>
      </c>
      <c r="R873" t="s">
        <v>74</v>
      </c>
      <c r="S873" t="s">
        <v>74</v>
      </c>
      <c r="T873" t="s">
        <v>16444</v>
      </c>
      <c r="U873" t="s">
        <v>16445</v>
      </c>
      <c r="V873" t="s">
        <v>16446</v>
      </c>
      <c r="W873" t="s">
        <v>16447</v>
      </c>
      <c r="X873" t="s">
        <v>16448</v>
      </c>
      <c r="Y873" t="s">
        <v>16449</v>
      </c>
      <c r="Z873" t="s">
        <v>16450</v>
      </c>
      <c r="AA873" t="s">
        <v>16451</v>
      </c>
      <c r="AB873" t="s">
        <v>16452</v>
      </c>
      <c r="AC873" t="s">
        <v>16453</v>
      </c>
      <c r="AD873" t="s">
        <v>16454</v>
      </c>
      <c r="AE873" t="s">
        <v>16455</v>
      </c>
      <c r="AF873" t="s">
        <v>74</v>
      </c>
      <c r="AG873">
        <v>25</v>
      </c>
      <c r="AH873">
        <v>10</v>
      </c>
      <c r="AI873">
        <v>12</v>
      </c>
      <c r="AJ873">
        <v>1</v>
      </c>
      <c r="AK873">
        <v>47</v>
      </c>
      <c r="AL873" t="s">
        <v>1219</v>
      </c>
      <c r="AM873" t="s">
        <v>1220</v>
      </c>
      <c r="AN873" t="s">
        <v>1221</v>
      </c>
      <c r="AO873" t="s">
        <v>9402</v>
      </c>
      <c r="AP873" t="s">
        <v>9403</v>
      </c>
      <c r="AQ873" t="s">
        <v>74</v>
      </c>
      <c r="AR873" t="s">
        <v>9404</v>
      </c>
      <c r="AS873" t="s">
        <v>9405</v>
      </c>
      <c r="AT873" t="s">
        <v>16403</v>
      </c>
      <c r="AU873">
        <v>2014</v>
      </c>
      <c r="AV873">
        <v>513</v>
      </c>
      <c r="AW873" t="s">
        <v>74</v>
      </c>
      <c r="AX873" t="s">
        <v>74</v>
      </c>
      <c r="AY873" t="s">
        <v>74</v>
      </c>
      <c r="AZ873" t="s">
        <v>74</v>
      </c>
      <c r="BA873" t="s">
        <v>74</v>
      </c>
      <c r="BB873">
        <v>269</v>
      </c>
      <c r="BC873">
        <v>275</v>
      </c>
      <c r="BD873" t="s">
        <v>74</v>
      </c>
      <c r="BE873" t="s">
        <v>16456</v>
      </c>
      <c r="BF873" t="str">
        <f>HYPERLINK("http://dx.doi.org/10.3354/meps10971","http://dx.doi.org/10.3354/meps10971")</f>
        <v>http://dx.doi.org/10.3354/meps10971</v>
      </c>
      <c r="BG873" t="s">
        <v>74</v>
      </c>
      <c r="BH873" t="s">
        <v>74</v>
      </c>
      <c r="BI873">
        <v>7</v>
      </c>
      <c r="BJ873" t="s">
        <v>9407</v>
      </c>
      <c r="BK873" t="s">
        <v>91</v>
      </c>
      <c r="BL873" t="s">
        <v>9408</v>
      </c>
      <c r="BM873" t="s">
        <v>16405</v>
      </c>
      <c r="BN873" t="s">
        <v>74</v>
      </c>
      <c r="BO873" t="s">
        <v>1904</v>
      </c>
      <c r="BP873" t="s">
        <v>74</v>
      </c>
      <c r="BQ873" t="s">
        <v>74</v>
      </c>
      <c r="BR873" t="s">
        <v>93</v>
      </c>
      <c r="BS873" t="s">
        <v>16457</v>
      </c>
      <c r="BT873" t="str">
        <f>HYPERLINK("https%3A%2F%2Fwww.webofscience.com%2Fwos%2Fwoscc%2Ffull-record%2FWOS:000344394400021","View Full Record in Web of Science")</f>
        <v>View Full Record in Web of Science</v>
      </c>
    </row>
    <row r="874" spans="1:72" x14ac:dyDescent="0.15">
      <c r="A874" t="s">
        <v>72</v>
      </c>
      <c r="B874" t="s">
        <v>16458</v>
      </c>
      <c r="C874" t="s">
        <v>74</v>
      </c>
      <c r="D874" t="s">
        <v>74</v>
      </c>
      <c r="E874" t="s">
        <v>74</v>
      </c>
      <c r="F874" t="s">
        <v>16459</v>
      </c>
      <c r="G874" t="s">
        <v>74</v>
      </c>
      <c r="H874" t="s">
        <v>74</v>
      </c>
      <c r="I874" t="s">
        <v>16460</v>
      </c>
      <c r="J874" t="s">
        <v>9390</v>
      </c>
      <c r="K874" t="s">
        <v>74</v>
      </c>
      <c r="L874" t="s">
        <v>74</v>
      </c>
      <c r="M874" t="s">
        <v>78</v>
      </c>
      <c r="N874" t="s">
        <v>99</v>
      </c>
      <c r="O874" t="s">
        <v>74</v>
      </c>
      <c r="P874" t="s">
        <v>74</v>
      </c>
      <c r="Q874" t="s">
        <v>74</v>
      </c>
      <c r="R874" t="s">
        <v>74</v>
      </c>
      <c r="S874" t="s">
        <v>74</v>
      </c>
      <c r="T874" t="s">
        <v>16461</v>
      </c>
      <c r="U874" t="s">
        <v>16462</v>
      </c>
      <c r="V874" t="s">
        <v>16463</v>
      </c>
      <c r="W874" t="s">
        <v>16464</v>
      </c>
      <c r="X874" t="s">
        <v>16465</v>
      </c>
      <c r="Y874" t="s">
        <v>16466</v>
      </c>
      <c r="Z874" t="s">
        <v>16467</v>
      </c>
      <c r="AA874" t="s">
        <v>16468</v>
      </c>
      <c r="AB874" t="s">
        <v>16469</v>
      </c>
      <c r="AC874" t="s">
        <v>16470</v>
      </c>
      <c r="AD874" t="s">
        <v>16471</v>
      </c>
      <c r="AE874" t="s">
        <v>16472</v>
      </c>
      <c r="AF874" t="s">
        <v>74</v>
      </c>
      <c r="AG874">
        <v>59</v>
      </c>
      <c r="AH874">
        <v>22</v>
      </c>
      <c r="AI874">
        <v>22</v>
      </c>
      <c r="AJ874">
        <v>0</v>
      </c>
      <c r="AK874">
        <v>27</v>
      </c>
      <c r="AL874" t="s">
        <v>1219</v>
      </c>
      <c r="AM874" t="s">
        <v>1220</v>
      </c>
      <c r="AN874" t="s">
        <v>1221</v>
      </c>
      <c r="AO874" t="s">
        <v>9402</v>
      </c>
      <c r="AP874" t="s">
        <v>9403</v>
      </c>
      <c r="AQ874" t="s">
        <v>74</v>
      </c>
      <c r="AR874" t="s">
        <v>9404</v>
      </c>
      <c r="AS874" t="s">
        <v>9405</v>
      </c>
      <c r="AT874" t="s">
        <v>16403</v>
      </c>
      <c r="AU874">
        <v>2014</v>
      </c>
      <c r="AV874">
        <v>513</v>
      </c>
      <c r="AW874" t="s">
        <v>74</v>
      </c>
      <c r="AX874" t="s">
        <v>74</v>
      </c>
      <c r="AY874" t="s">
        <v>74</v>
      </c>
      <c r="AZ874" t="s">
        <v>74</v>
      </c>
      <c r="BA874" t="s">
        <v>74</v>
      </c>
      <c r="BB874">
        <v>131</v>
      </c>
      <c r="BC874">
        <v>142</v>
      </c>
      <c r="BD874" t="s">
        <v>74</v>
      </c>
      <c r="BE874" t="s">
        <v>16473</v>
      </c>
      <c r="BF874" t="str">
        <f>HYPERLINK("http://dx.doi.org/10.3354/meps10957","http://dx.doi.org/10.3354/meps10957")</f>
        <v>http://dx.doi.org/10.3354/meps10957</v>
      </c>
      <c r="BG874" t="s">
        <v>74</v>
      </c>
      <c r="BH874" t="s">
        <v>74</v>
      </c>
      <c r="BI874">
        <v>12</v>
      </c>
      <c r="BJ874" t="s">
        <v>9407</v>
      </c>
      <c r="BK874" t="s">
        <v>91</v>
      </c>
      <c r="BL874" t="s">
        <v>9408</v>
      </c>
      <c r="BM874" t="s">
        <v>16405</v>
      </c>
      <c r="BN874" t="s">
        <v>74</v>
      </c>
      <c r="BO874" t="s">
        <v>375</v>
      </c>
      <c r="BP874" t="s">
        <v>74</v>
      </c>
      <c r="BQ874" t="s">
        <v>74</v>
      </c>
      <c r="BR874" t="s">
        <v>93</v>
      </c>
      <c r="BS874" t="s">
        <v>16474</v>
      </c>
      <c r="BT874" t="str">
        <f>HYPERLINK("https%3A%2F%2Fwww.webofscience.com%2Fwos%2Fwoscc%2Ffull-record%2FWOS:000344394400011","View Full Record in Web of Science")</f>
        <v>View Full Record in Web of Science</v>
      </c>
    </row>
    <row r="875" spans="1:72" x14ac:dyDescent="0.15">
      <c r="A875" t="s">
        <v>72</v>
      </c>
      <c r="B875" t="s">
        <v>16475</v>
      </c>
      <c r="C875" t="s">
        <v>74</v>
      </c>
      <c r="D875" t="s">
        <v>74</v>
      </c>
      <c r="E875" t="s">
        <v>74</v>
      </c>
      <c r="F875" t="s">
        <v>16476</v>
      </c>
      <c r="G875" t="s">
        <v>74</v>
      </c>
      <c r="H875" t="s">
        <v>74</v>
      </c>
      <c r="I875" t="s">
        <v>16477</v>
      </c>
      <c r="J875" t="s">
        <v>9084</v>
      </c>
      <c r="K875" t="s">
        <v>74</v>
      </c>
      <c r="L875" t="s">
        <v>74</v>
      </c>
      <c r="M875" t="s">
        <v>78</v>
      </c>
      <c r="N875" t="s">
        <v>99</v>
      </c>
      <c r="O875" t="s">
        <v>74</v>
      </c>
      <c r="P875" t="s">
        <v>74</v>
      </c>
      <c r="Q875" t="s">
        <v>74</v>
      </c>
      <c r="R875" t="s">
        <v>74</v>
      </c>
      <c r="S875" t="s">
        <v>74</v>
      </c>
      <c r="T875" t="s">
        <v>74</v>
      </c>
      <c r="U875" t="s">
        <v>16478</v>
      </c>
      <c r="V875" t="s">
        <v>16479</v>
      </c>
      <c r="W875" t="s">
        <v>16480</v>
      </c>
      <c r="X875" t="s">
        <v>16481</v>
      </c>
      <c r="Y875" t="s">
        <v>16482</v>
      </c>
      <c r="Z875" t="s">
        <v>16483</v>
      </c>
      <c r="AA875" t="s">
        <v>16484</v>
      </c>
      <c r="AB875" t="s">
        <v>16485</v>
      </c>
      <c r="AC875" t="s">
        <v>16486</v>
      </c>
      <c r="AD875" t="s">
        <v>16487</v>
      </c>
      <c r="AE875" t="s">
        <v>16488</v>
      </c>
      <c r="AF875" t="s">
        <v>74</v>
      </c>
      <c r="AG875">
        <v>39</v>
      </c>
      <c r="AH875">
        <v>31</v>
      </c>
      <c r="AI875">
        <v>31</v>
      </c>
      <c r="AJ875">
        <v>0</v>
      </c>
      <c r="AK875">
        <v>67</v>
      </c>
      <c r="AL875" t="s">
        <v>9093</v>
      </c>
      <c r="AM875" t="s">
        <v>9094</v>
      </c>
      <c r="AN875" t="s">
        <v>9095</v>
      </c>
      <c r="AO875" t="s">
        <v>9096</v>
      </c>
      <c r="AP875" t="s">
        <v>74</v>
      </c>
      <c r="AQ875" t="s">
        <v>74</v>
      </c>
      <c r="AR875" t="s">
        <v>9084</v>
      </c>
      <c r="AS875" t="s">
        <v>9097</v>
      </c>
      <c r="AT875" t="s">
        <v>16403</v>
      </c>
      <c r="AU875">
        <v>2014</v>
      </c>
      <c r="AV875">
        <v>9</v>
      </c>
      <c r="AW875">
        <v>10</v>
      </c>
      <c r="AX875" t="s">
        <v>74</v>
      </c>
      <c r="AY875" t="s">
        <v>74</v>
      </c>
      <c r="AZ875" t="s">
        <v>74</v>
      </c>
      <c r="BA875" t="s">
        <v>74</v>
      </c>
      <c r="BB875" t="s">
        <v>74</v>
      </c>
      <c r="BC875" t="s">
        <v>74</v>
      </c>
      <c r="BD875" t="s">
        <v>16489</v>
      </c>
      <c r="BE875" t="s">
        <v>16490</v>
      </c>
      <c r="BF875" t="str">
        <f>HYPERLINK("http://dx.doi.org/10.1371/journal.pone.0111043","http://dx.doi.org/10.1371/journal.pone.0111043")</f>
        <v>http://dx.doi.org/10.1371/journal.pone.0111043</v>
      </c>
      <c r="BG875" t="s">
        <v>74</v>
      </c>
      <c r="BH875" t="s">
        <v>74</v>
      </c>
      <c r="BI875">
        <v>9</v>
      </c>
      <c r="BJ875" t="s">
        <v>201</v>
      </c>
      <c r="BK875" t="s">
        <v>91</v>
      </c>
      <c r="BL875" t="s">
        <v>203</v>
      </c>
      <c r="BM875" t="s">
        <v>16491</v>
      </c>
      <c r="BN875">
        <v>25338196</v>
      </c>
      <c r="BO875" t="s">
        <v>16492</v>
      </c>
      <c r="BP875" t="s">
        <v>74</v>
      </c>
      <c r="BQ875" t="s">
        <v>74</v>
      </c>
      <c r="BR875" t="s">
        <v>93</v>
      </c>
      <c r="BS875" t="s">
        <v>16493</v>
      </c>
      <c r="BT875" t="str">
        <f>HYPERLINK("https%3A%2F%2Fwww.webofscience.com%2Fwos%2Fwoscc%2Ffull-record%2FWOS:000343674800097","View Full Record in Web of Science")</f>
        <v>View Full Record in Web of Science</v>
      </c>
    </row>
    <row r="876" spans="1:72" x14ac:dyDescent="0.15">
      <c r="A876" t="s">
        <v>72</v>
      </c>
      <c r="B876" t="s">
        <v>16494</v>
      </c>
      <c r="C876" t="s">
        <v>74</v>
      </c>
      <c r="D876" t="s">
        <v>74</v>
      </c>
      <c r="E876" t="s">
        <v>74</v>
      </c>
      <c r="F876" t="s">
        <v>16495</v>
      </c>
      <c r="G876" t="s">
        <v>74</v>
      </c>
      <c r="H876" t="s">
        <v>74</v>
      </c>
      <c r="I876" t="s">
        <v>16496</v>
      </c>
      <c r="J876" t="s">
        <v>9061</v>
      </c>
      <c r="K876" t="s">
        <v>74</v>
      </c>
      <c r="L876" t="s">
        <v>74</v>
      </c>
      <c r="M876" t="s">
        <v>78</v>
      </c>
      <c r="N876" t="s">
        <v>1562</v>
      </c>
      <c r="O876" t="s">
        <v>74</v>
      </c>
      <c r="P876" t="s">
        <v>74</v>
      </c>
      <c r="Q876" t="s">
        <v>74</v>
      </c>
      <c r="R876" t="s">
        <v>74</v>
      </c>
      <c r="S876" t="s">
        <v>74</v>
      </c>
      <c r="T876" t="s">
        <v>74</v>
      </c>
      <c r="U876" t="s">
        <v>74</v>
      </c>
      <c r="V876" t="s">
        <v>74</v>
      </c>
      <c r="W876" t="s">
        <v>74</v>
      </c>
      <c r="X876" t="s">
        <v>74</v>
      </c>
      <c r="Y876" t="s">
        <v>74</v>
      </c>
      <c r="Z876" t="s">
        <v>74</v>
      </c>
      <c r="AA876" t="s">
        <v>74</v>
      </c>
      <c r="AB876" t="s">
        <v>74</v>
      </c>
      <c r="AC876" t="s">
        <v>74</v>
      </c>
      <c r="AD876" t="s">
        <v>74</v>
      </c>
      <c r="AE876" t="s">
        <v>74</v>
      </c>
      <c r="AF876" t="s">
        <v>74</v>
      </c>
      <c r="AG876">
        <v>0</v>
      </c>
      <c r="AH876">
        <v>0</v>
      </c>
      <c r="AI876">
        <v>0</v>
      </c>
      <c r="AJ876">
        <v>0</v>
      </c>
      <c r="AK876">
        <v>7</v>
      </c>
      <c r="AL876" t="s">
        <v>9073</v>
      </c>
      <c r="AM876" t="s">
        <v>1946</v>
      </c>
      <c r="AN876" t="s">
        <v>9074</v>
      </c>
      <c r="AO876" t="s">
        <v>9075</v>
      </c>
      <c r="AP876" t="s">
        <v>9076</v>
      </c>
      <c r="AQ876" t="s">
        <v>74</v>
      </c>
      <c r="AR876" t="s">
        <v>9061</v>
      </c>
      <c r="AS876" t="s">
        <v>9077</v>
      </c>
      <c r="AT876" t="s">
        <v>16497</v>
      </c>
      <c r="AU876">
        <v>2014</v>
      </c>
      <c r="AV876">
        <v>346</v>
      </c>
      <c r="AW876">
        <v>6207</v>
      </c>
      <c r="AX876" t="s">
        <v>74</v>
      </c>
      <c r="AY876" t="s">
        <v>74</v>
      </c>
      <c r="AZ876" t="s">
        <v>74</v>
      </c>
      <c r="BA876" t="s">
        <v>74</v>
      </c>
      <c r="BB876">
        <v>285</v>
      </c>
      <c r="BC876">
        <v>286</v>
      </c>
      <c r="BD876" t="s">
        <v>74</v>
      </c>
      <c r="BE876" t="s">
        <v>74</v>
      </c>
      <c r="BF876" t="s">
        <v>74</v>
      </c>
      <c r="BG876" t="s">
        <v>74</v>
      </c>
      <c r="BH876" t="s">
        <v>74</v>
      </c>
      <c r="BI876">
        <v>2</v>
      </c>
      <c r="BJ876" t="s">
        <v>201</v>
      </c>
      <c r="BK876" t="s">
        <v>91</v>
      </c>
      <c r="BL876" t="s">
        <v>203</v>
      </c>
      <c r="BM876" t="s">
        <v>16498</v>
      </c>
      <c r="BN876" t="s">
        <v>74</v>
      </c>
      <c r="BO876" t="s">
        <v>74</v>
      </c>
      <c r="BP876" t="s">
        <v>74</v>
      </c>
      <c r="BQ876" t="s">
        <v>74</v>
      </c>
      <c r="BR876" t="s">
        <v>93</v>
      </c>
      <c r="BS876" t="s">
        <v>16499</v>
      </c>
      <c r="BT876" t="str">
        <f>HYPERLINK("https%3A%2F%2Fwww.webofscience.com%2Fwos%2Fwoscc%2Ffull-record%2FWOS:000343041100007","View Full Record in Web of Science")</f>
        <v>View Full Record in Web of Science</v>
      </c>
    </row>
    <row r="877" spans="1:72" x14ac:dyDescent="0.15">
      <c r="A877" t="s">
        <v>72</v>
      </c>
      <c r="B877" t="s">
        <v>16500</v>
      </c>
      <c r="C877" t="s">
        <v>74</v>
      </c>
      <c r="D877" t="s">
        <v>74</v>
      </c>
      <c r="E877" t="s">
        <v>74</v>
      </c>
      <c r="F877" t="s">
        <v>16501</v>
      </c>
      <c r="G877" t="s">
        <v>74</v>
      </c>
      <c r="H877" t="s">
        <v>74</v>
      </c>
      <c r="I877" t="s">
        <v>16502</v>
      </c>
      <c r="J877" t="s">
        <v>16503</v>
      </c>
      <c r="K877" t="s">
        <v>74</v>
      </c>
      <c r="L877" t="s">
        <v>74</v>
      </c>
      <c r="M877" t="s">
        <v>78</v>
      </c>
      <c r="N877" t="s">
        <v>99</v>
      </c>
      <c r="O877" t="s">
        <v>74</v>
      </c>
      <c r="P877" t="s">
        <v>74</v>
      </c>
      <c r="Q877" t="s">
        <v>74</v>
      </c>
      <c r="R877" t="s">
        <v>74</v>
      </c>
      <c r="S877" t="s">
        <v>74</v>
      </c>
      <c r="T877" t="s">
        <v>16504</v>
      </c>
      <c r="U877" t="s">
        <v>16505</v>
      </c>
      <c r="V877" t="s">
        <v>16506</v>
      </c>
      <c r="W877" t="s">
        <v>16507</v>
      </c>
      <c r="X877" t="s">
        <v>16508</v>
      </c>
      <c r="Y877" t="s">
        <v>16509</v>
      </c>
      <c r="Z877" t="s">
        <v>16510</v>
      </c>
      <c r="AA877" t="s">
        <v>16511</v>
      </c>
      <c r="AB877" t="s">
        <v>16512</v>
      </c>
      <c r="AC877" t="s">
        <v>16513</v>
      </c>
      <c r="AD877" t="s">
        <v>16514</v>
      </c>
      <c r="AE877" t="s">
        <v>16515</v>
      </c>
      <c r="AF877" t="s">
        <v>74</v>
      </c>
      <c r="AG877">
        <v>66</v>
      </c>
      <c r="AH877">
        <v>23</v>
      </c>
      <c r="AI877">
        <v>24</v>
      </c>
      <c r="AJ877">
        <v>0</v>
      </c>
      <c r="AK877">
        <v>75</v>
      </c>
      <c r="AL877" t="s">
        <v>2640</v>
      </c>
      <c r="AM877" t="s">
        <v>1176</v>
      </c>
      <c r="AN877" t="s">
        <v>2641</v>
      </c>
      <c r="AO877" t="s">
        <v>16516</v>
      </c>
      <c r="AP877" t="s">
        <v>16517</v>
      </c>
      <c r="AQ877" t="s">
        <v>74</v>
      </c>
      <c r="AR877" t="s">
        <v>16518</v>
      </c>
      <c r="AS877" t="s">
        <v>16519</v>
      </c>
      <c r="AT877" t="s">
        <v>16497</v>
      </c>
      <c r="AU877">
        <v>2014</v>
      </c>
      <c r="AV877">
        <v>1364</v>
      </c>
      <c r="AW877" t="s">
        <v>74</v>
      </c>
      <c r="AX877" t="s">
        <v>74</v>
      </c>
      <c r="AY877" t="s">
        <v>74</v>
      </c>
      <c r="AZ877" t="s">
        <v>74</v>
      </c>
      <c r="BA877" t="s">
        <v>74</v>
      </c>
      <c r="BB877">
        <v>295</v>
      </c>
      <c r="BC877">
        <v>302</v>
      </c>
      <c r="BD877" t="s">
        <v>74</v>
      </c>
      <c r="BE877" t="s">
        <v>16520</v>
      </c>
      <c r="BF877" t="str">
        <f>HYPERLINK("http://dx.doi.org/10.1016/j.chroma.2014.08.074","http://dx.doi.org/10.1016/j.chroma.2014.08.074")</f>
        <v>http://dx.doi.org/10.1016/j.chroma.2014.08.074</v>
      </c>
      <c r="BG877" t="s">
        <v>74</v>
      </c>
      <c r="BH877" t="s">
        <v>74</v>
      </c>
      <c r="BI877">
        <v>8</v>
      </c>
      <c r="BJ877" t="s">
        <v>16521</v>
      </c>
      <c r="BK877" t="s">
        <v>91</v>
      </c>
      <c r="BL877" t="s">
        <v>10523</v>
      </c>
      <c r="BM877" t="s">
        <v>16522</v>
      </c>
      <c r="BN877">
        <v>25223612</v>
      </c>
      <c r="BO877" t="s">
        <v>74</v>
      </c>
      <c r="BP877" t="s">
        <v>74</v>
      </c>
      <c r="BQ877" t="s">
        <v>74</v>
      </c>
      <c r="BR877" t="s">
        <v>93</v>
      </c>
      <c r="BS877" t="s">
        <v>16523</v>
      </c>
      <c r="BT877" t="str">
        <f>HYPERLINK("https%3A%2F%2Fwww.webofscience.com%2Fwos%2Fwoscc%2Ffull-record%2FWOS:000343359200033","View Full Record in Web of Science")</f>
        <v>View Full Record in Web of Science</v>
      </c>
    </row>
    <row r="878" spans="1:72" x14ac:dyDescent="0.15">
      <c r="A878" t="s">
        <v>72</v>
      </c>
      <c r="B878" t="s">
        <v>16524</v>
      </c>
      <c r="C878" t="s">
        <v>74</v>
      </c>
      <c r="D878" t="s">
        <v>74</v>
      </c>
      <c r="E878" t="s">
        <v>74</v>
      </c>
      <c r="F878" t="s">
        <v>16525</v>
      </c>
      <c r="G878" t="s">
        <v>74</v>
      </c>
      <c r="H878" t="s">
        <v>74</v>
      </c>
      <c r="I878" t="s">
        <v>16526</v>
      </c>
      <c r="J878" t="s">
        <v>8813</v>
      </c>
      <c r="K878" t="s">
        <v>74</v>
      </c>
      <c r="L878" t="s">
        <v>74</v>
      </c>
      <c r="M878" t="s">
        <v>78</v>
      </c>
      <c r="N878" t="s">
        <v>99</v>
      </c>
      <c r="O878" t="s">
        <v>74</v>
      </c>
      <c r="P878" t="s">
        <v>74</v>
      </c>
      <c r="Q878" t="s">
        <v>74</v>
      </c>
      <c r="R878" t="s">
        <v>74</v>
      </c>
      <c r="S878" t="s">
        <v>74</v>
      </c>
      <c r="T878" t="s">
        <v>74</v>
      </c>
      <c r="U878" t="s">
        <v>16527</v>
      </c>
      <c r="V878" t="s">
        <v>16528</v>
      </c>
      <c r="W878" t="s">
        <v>16529</v>
      </c>
      <c r="X878" t="s">
        <v>16530</v>
      </c>
      <c r="Y878" t="s">
        <v>16531</v>
      </c>
      <c r="Z878" t="s">
        <v>16532</v>
      </c>
      <c r="AA878" t="s">
        <v>16533</v>
      </c>
      <c r="AB878" t="s">
        <v>16534</v>
      </c>
      <c r="AC878" t="s">
        <v>16535</v>
      </c>
      <c r="AD878" t="s">
        <v>16536</v>
      </c>
      <c r="AE878" t="s">
        <v>16537</v>
      </c>
      <c r="AF878" t="s">
        <v>74</v>
      </c>
      <c r="AG878">
        <v>64</v>
      </c>
      <c r="AH878">
        <v>17</v>
      </c>
      <c r="AI878">
        <v>18</v>
      </c>
      <c r="AJ878">
        <v>0</v>
      </c>
      <c r="AK878">
        <v>35</v>
      </c>
      <c r="AL878" t="s">
        <v>1945</v>
      </c>
      <c r="AM878" t="s">
        <v>1946</v>
      </c>
      <c r="AN878" t="s">
        <v>1947</v>
      </c>
      <c r="AO878" t="s">
        <v>8826</v>
      </c>
      <c r="AP878" t="s">
        <v>8827</v>
      </c>
      <c r="AQ878" t="s">
        <v>74</v>
      </c>
      <c r="AR878" t="s">
        <v>8828</v>
      </c>
      <c r="AS878" t="s">
        <v>8829</v>
      </c>
      <c r="AT878" t="s">
        <v>16538</v>
      </c>
      <c r="AU878">
        <v>2014</v>
      </c>
      <c r="AV878">
        <v>41</v>
      </c>
      <c r="AW878">
        <v>19</v>
      </c>
      <c r="AX878" t="s">
        <v>74</v>
      </c>
      <c r="AY878" t="s">
        <v>74</v>
      </c>
      <c r="AZ878" t="s">
        <v>74</v>
      </c>
      <c r="BA878" t="s">
        <v>74</v>
      </c>
      <c r="BB878">
        <v>6667</v>
      </c>
      <c r="BC878">
        <v>6675</v>
      </c>
      <c r="BD878" t="s">
        <v>74</v>
      </c>
      <c r="BE878" t="s">
        <v>16539</v>
      </c>
      <c r="BF878" t="str">
        <f>HYPERLINK("http://dx.doi.org/10.1002/2014GL061205","http://dx.doi.org/10.1002/2014GL061205")</f>
        <v>http://dx.doi.org/10.1002/2014GL061205</v>
      </c>
      <c r="BG878" t="s">
        <v>74</v>
      </c>
      <c r="BH878" t="s">
        <v>74</v>
      </c>
      <c r="BI878">
        <v>9</v>
      </c>
      <c r="BJ878" t="s">
        <v>1953</v>
      </c>
      <c r="BK878" t="s">
        <v>91</v>
      </c>
      <c r="BL878" t="s">
        <v>1954</v>
      </c>
      <c r="BM878" t="s">
        <v>16540</v>
      </c>
      <c r="BN878" t="s">
        <v>74</v>
      </c>
      <c r="BO878" t="s">
        <v>4631</v>
      </c>
      <c r="BP878" t="s">
        <v>74</v>
      </c>
      <c r="BQ878" t="s">
        <v>74</v>
      </c>
      <c r="BR878" t="s">
        <v>93</v>
      </c>
      <c r="BS878" t="s">
        <v>16541</v>
      </c>
      <c r="BT878" t="str">
        <f>HYPERLINK("https%3A%2F%2Fwww.webofscience.com%2Fwos%2Fwoscc%2Ffull-record%2FWOS:000344913800017","View Full Record in Web of Science")</f>
        <v>View Full Record in Web of Science</v>
      </c>
    </row>
    <row r="879" spans="1:72" x14ac:dyDescent="0.15">
      <c r="A879" t="s">
        <v>72</v>
      </c>
      <c r="B879" t="s">
        <v>16542</v>
      </c>
      <c r="C879" t="s">
        <v>74</v>
      </c>
      <c r="D879" t="s">
        <v>74</v>
      </c>
      <c r="E879" t="s">
        <v>74</v>
      </c>
      <c r="F879" t="s">
        <v>16543</v>
      </c>
      <c r="G879" t="s">
        <v>74</v>
      </c>
      <c r="H879" t="s">
        <v>74</v>
      </c>
      <c r="I879" t="s">
        <v>16544</v>
      </c>
      <c r="J879" t="s">
        <v>8813</v>
      </c>
      <c r="K879" t="s">
        <v>74</v>
      </c>
      <c r="L879" t="s">
        <v>74</v>
      </c>
      <c r="M879" t="s">
        <v>78</v>
      </c>
      <c r="N879" t="s">
        <v>99</v>
      </c>
      <c r="O879" t="s">
        <v>74</v>
      </c>
      <c r="P879" t="s">
        <v>74</v>
      </c>
      <c r="Q879" t="s">
        <v>74</v>
      </c>
      <c r="R879" t="s">
        <v>74</v>
      </c>
      <c r="S879" t="s">
        <v>74</v>
      </c>
      <c r="T879" t="s">
        <v>74</v>
      </c>
      <c r="U879" t="s">
        <v>16545</v>
      </c>
      <c r="V879" t="s">
        <v>16546</v>
      </c>
      <c r="W879" t="s">
        <v>16547</v>
      </c>
      <c r="X879" t="s">
        <v>16548</v>
      </c>
      <c r="Y879" t="s">
        <v>13778</v>
      </c>
      <c r="Z879" t="s">
        <v>13779</v>
      </c>
      <c r="AA879" t="s">
        <v>16549</v>
      </c>
      <c r="AB879" t="s">
        <v>16550</v>
      </c>
      <c r="AC879" t="s">
        <v>13782</v>
      </c>
      <c r="AD879" t="s">
        <v>13783</v>
      </c>
      <c r="AE879" t="s">
        <v>16551</v>
      </c>
      <c r="AF879" t="s">
        <v>74</v>
      </c>
      <c r="AG879">
        <v>29</v>
      </c>
      <c r="AH879">
        <v>8</v>
      </c>
      <c r="AI879">
        <v>8</v>
      </c>
      <c r="AJ879">
        <v>0</v>
      </c>
      <c r="AK879">
        <v>27</v>
      </c>
      <c r="AL879" t="s">
        <v>1945</v>
      </c>
      <c r="AM879" t="s">
        <v>1946</v>
      </c>
      <c r="AN879" t="s">
        <v>1947</v>
      </c>
      <c r="AO879" t="s">
        <v>8826</v>
      </c>
      <c r="AP879" t="s">
        <v>8827</v>
      </c>
      <c r="AQ879" t="s">
        <v>74</v>
      </c>
      <c r="AR879" t="s">
        <v>8828</v>
      </c>
      <c r="AS879" t="s">
        <v>8829</v>
      </c>
      <c r="AT879" t="s">
        <v>16538</v>
      </c>
      <c r="AU879">
        <v>2014</v>
      </c>
      <c r="AV879">
        <v>41</v>
      </c>
      <c r="AW879">
        <v>19</v>
      </c>
      <c r="AX879" t="s">
        <v>74</v>
      </c>
      <c r="AY879" t="s">
        <v>74</v>
      </c>
      <c r="AZ879" t="s">
        <v>74</v>
      </c>
      <c r="BA879" t="s">
        <v>74</v>
      </c>
      <c r="BB879">
        <v>6772</v>
      </c>
      <c r="BC879">
        <v>6778</v>
      </c>
      <c r="BD879" t="s">
        <v>74</v>
      </c>
      <c r="BE879" t="s">
        <v>16552</v>
      </c>
      <c r="BF879" t="str">
        <f>HYPERLINK("http://dx.doi.org/10.1002/2014GL061433","http://dx.doi.org/10.1002/2014GL061433")</f>
        <v>http://dx.doi.org/10.1002/2014GL061433</v>
      </c>
      <c r="BG879" t="s">
        <v>74</v>
      </c>
      <c r="BH879" t="s">
        <v>74</v>
      </c>
      <c r="BI879">
        <v>7</v>
      </c>
      <c r="BJ879" t="s">
        <v>1953</v>
      </c>
      <c r="BK879" t="s">
        <v>91</v>
      </c>
      <c r="BL879" t="s">
        <v>1954</v>
      </c>
      <c r="BM879" t="s">
        <v>16540</v>
      </c>
      <c r="BN879" t="s">
        <v>74</v>
      </c>
      <c r="BO879" t="s">
        <v>74</v>
      </c>
      <c r="BP879" t="s">
        <v>74</v>
      </c>
      <c r="BQ879" t="s">
        <v>74</v>
      </c>
      <c r="BR879" t="s">
        <v>93</v>
      </c>
      <c r="BS879" t="s">
        <v>16553</v>
      </c>
      <c r="BT879" t="str">
        <f>HYPERLINK("https%3A%2F%2Fwww.webofscience.com%2Fwos%2Fwoscc%2Ffull-record%2FWOS:000344913800031","View Full Record in Web of Science")</f>
        <v>View Full Record in Web of Science</v>
      </c>
    </row>
    <row r="880" spans="1:72" x14ac:dyDescent="0.15">
      <c r="A880" t="s">
        <v>72</v>
      </c>
      <c r="B880" t="s">
        <v>16554</v>
      </c>
      <c r="C880" t="s">
        <v>74</v>
      </c>
      <c r="D880" t="s">
        <v>74</v>
      </c>
      <c r="E880" t="s">
        <v>74</v>
      </c>
      <c r="F880" t="s">
        <v>16555</v>
      </c>
      <c r="G880" t="s">
        <v>74</v>
      </c>
      <c r="H880" t="s">
        <v>74</v>
      </c>
      <c r="I880" t="s">
        <v>16556</v>
      </c>
      <c r="J880" t="s">
        <v>8813</v>
      </c>
      <c r="K880" t="s">
        <v>74</v>
      </c>
      <c r="L880" t="s">
        <v>74</v>
      </c>
      <c r="M880" t="s">
        <v>78</v>
      </c>
      <c r="N880" t="s">
        <v>99</v>
      </c>
      <c r="O880" t="s">
        <v>74</v>
      </c>
      <c r="P880" t="s">
        <v>74</v>
      </c>
      <c r="Q880" t="s">
        <v>74</v>
      </c>
      <c r="R880" t="s">
        <v>74</v>
      </c>
      <c r="S880" t="s">
        <v>74</v>
      </c>
      <c r="T880" t="s">
        <v>74</v>
      </c>
      <c r="U880" t="s">
        <v>16557</v>
      </c>
      <c r="V880" t="s">
        <v>16558</v>
      </c>
      <c r="W880" t="s">
        <v>16559</v>
      </c>
      <c r="X880" t="s">
        <v>16560</v>
      </c>
      <c r="Y880" t="s">
        <v>16561</v>
      </c>
      <c r="Z880" t="s">
        <v>16562</v>
      </c>
      <c r="AA880" t="s">
        <v>74</v>
      </c>
      <c r="AB880" t="s">
        <v>74</v>
      </c>
      <c r="AC880" t="s">
        <v>16563</v>
      </c>
      <c r="AD880" t="s">
        <v>16564</v>
      </c>
      <c r="AE880" t="s">
        <v>16565</v>
      </c>
      <c r="AF880" t="s">
        <v>74</v>
      </c>
      <c r="AG880">
        <v>29</v>
      </c>
      <c r="AH880">
        <v>21</v>
      </c>
      <c r="AI880">
        <v>26</v>
      </c>
      <c r="AJ880">
        <v>0</v>
      </c>
      <c r="AK880">
        <v>25</v>
      </c>
      <c r="AL880" t="s">
        <v>1945</v>
      </c>
      <c r="AM880" t="s">
        <v>1946</v>
      </c>
      <c r="AN880" t="s">
        <v>1947</v>
      </c>
      <c r="AO880" t="s">
        <v>8826</v>
      </c>
      <c r="AP880" t="s">
        <v>8827</v>
      </c>
      <c r="AQ880" t="s">
        <v>74</v>
      </c>
      <c r="AR880" t="s">
        <v>8828</v>
      </c>
      <c r="AS880" t="s">
        <v>8829</v>
      </c>
      <c r="AT880" t="s">
        <v>16538</v>
      </c>
      <c r="AU880">
        <v>2014</v>
      </c>
      <c r="AV880">
        <v>41</v>
      </c>
      <c r="AW880">
        <v>19</v>
      </c>
      <c r="AX880" t="s">
        <v>74</v>
      </c>
      <c r="AY880" t="s">
        <v>74</v>
      </c>
      <c r="AZ880" t="s">
        <v>74</v>
      </c>
      <c r="BA880" t="s">
        <v>74</v>
      </c>
      <c r="BB880">
        <v>6779</v>
      </c>
      <c r="BC880">
        <v>6786</v>
      </c>
      <c r="BD880" t="s">
        <v>74</v>
      </c>
      <c r="BE880" t="s">
        <v>16566</v>
      </c>
      <c r="BF880" t="str">
        <f>HYPERLINK("http://dx.doi.org/10.1002/2014GL061155","http://dx.doi.org/10.1002/2014GL061155")</f>
        <v>http://dx.doi.org/10.1002/2014GL061155</v>
      </c>
      <c r="BG880" t="s">
        <v>74</v>
      </c>
      <c r="BH880" t="s">
        <v>74</v>
      </c>
      <c r="BI880">
        <v>8</v>
      </c>
      <c r="BJ880" t="s">
        <v>1953</v>
      </c>
      <c r="BK880" t="s">
        <v>91</v>
      </c>
      <c r="BL880" t="s">
        <v>1954</v>
      </c>
      <c r="BM880" t="s">
        <v>16540</v>
      </c>
      <c r="BN880" t="s">
        <v>74</v>
      </c>
      <c r="BO880" t="s">
        <v>375</v>
      </c>
      <c r="BP880" t="s">
        <v>74</v>
      </c>
      <c r="BQ880" t="s">
        <v>74</v>
      </c>
      <c r="BR880" t="s">
        <v>93</v>
      </c>
      <c r="BS880" t="s">
        <v>16567</v>
      </c>
      <c r="BT880" t="str">
        <f>HYPERLINK("https%3A%2F%2Fwww.webofscience.com%2Fwos%2Fwoscc%2Ffull-record%2FWOS:000344913800032","View Full Record in Web of Science")</f>
        <v>View Full Record in Web of Science</v>
      </c>
    </row>
    <row r="881" spans="1:72" x14ac:dyDescent="0.15">
      <c r="A881" t="s">
        <v>72</v>
      </c>
      <c r="B881" t="s">
        <v>16568</v>
      </c>
      <c r="C881" t="s">
        <v>74</v>
      </c>
      <c r="D881" t="s">
        <v>74</v>
      </c>
      <c r="E881" t="s">
        <v>74</v>
      </c>
      <c r="F881" t="s">
        <v>16569</v>
      </c>
      <c r="G881" t="s">
        <v>74</v>
      </c>
      <c r="H881" t="s">
        <v>74</v>
      </c>
      <c r="I881" t="s">
        <v>16570</v>
      </c>
      <c r="J881" t="s">
        <v>8813</v>
      </c>
      <c r="K881" t="s">
        <v>74</v>
      </c>
      <c r="L881" t="s">
        <v>74</v>
      </c>
      <c r="M881" t="s">
        <v>78</v>
      </c>
      <c r="N881" t="s">
        <v>99</v>
      </c>
      <c r="O881" t="s">
        <v>74</v>
      </c>
      <c r="P881" t="s">
        <v>74</v>
      </c>
      <c r="Q881" t="s">
        <v>74</v>
      </c>
      <c r="R881" t="s">
        <v>74</v>
      </c>
      <c r="S881" t="s">
        <v>74</v>
      </c>
      <c r="T881" t="s">
        <v>74</v>
      </c>
      <c r="U881" t="s">
        <v>16571</v>
      </c>
      <c r="V881" t="s">
        <v>16572</v>
      </c>
      <c r="W881" t="s">
        <v>16573</v>
      </c>
      <c r="X881" t="s">
        <v>16574</v>
      </c>
      <c r="Y881" t="s">
        <v>16575</v>
      </c>
      <c r="Z881" t="s">
        <v>16576</v>
      </c>
      <c r="AA881" t="s">
        <v>16577</v>
      </c>
      <c r="AB881" t="s">
        <v>16578</v>
      </c>
      <c r="AC881" t="s">
        <v>16579</v>
      </c>
      <c r="AD881" t="s">
        <v>16580</v>
      </c>
      <c r="AE881" t="s">
        <v>16581</v>
      </c>
      <c r="AF881" t="s">
        <v>74</v>
      </c>
      <c r="AG881">
        <v>58</v>
      </c>
      <c r="AH881">
        <v>39</v>
      </c>
      <c r="AI881">
        <v>45</v>
      </c>
      <c r="AJ881">
        <v>0</v>
      </c>
      <c r="AK881">
        <v>13</v>
      </c>
      <c r="AL881" t="s">
        <v>1945</v>
      </c>
      <c r="AM881" t="s">
        <v>1946</v>
      </c>
      <c r="AN881" t="s">
        <v>1947</v>
      </c>
      <c r="AO881" t="s">
        <v>8826</v>
      </c>
      <c r="AP881" t="s">
        <v>8827</v>
      </c>
      <c r="AQ881" t="s">
        <v>74</v>
      </c>
      <c r="AR881" t="s">
        <v>8828</v>
      </c>
      <c r="AS881" t="s">
        <v>8829</v>
      </c>
      <c r="AT881" t="s">
        <v>16538</v>
      </c>
      <c r="AU881">
        <v>2014</v>
      </c>
      <c r="AV881">
        <v>41</v>
      </c>
      <c r="AW881">
        <v>19</v>
      </c>
      <c r="AX881" t="s">
        <v>74</v>
      </c>
      <c r="AY881" t="s">
        <v>74</v>
      </c>
      <c r="AZ881" t="s">
        <v>74</v>
      </c>
      <c r="BA881" t="s">
        <v>74</v>
      </c>
      <c r="BB881">
        <v>6787</v>
      </c>
      <c r="BC881">
        <v>6794</v>
      </c>
      <c r="BD881" t="s">
        <v>74</v>
      </c>
      <c r="BE881" t="s">
        <v>16582</v>
      </c>
      <c r="BF881" t="str">
        <f>HYPERLINK("http://dx.doi.org/10.1002/2014GL061635","http://dx.doi.org/10.1002/2014GL061635")</f>
        <v>http://dx.doi.org/10.1002/2014GL061635</v>
      </c>
      <c r="BG881" t="s">
        <v>74</v>
      </c>
      <c r="BH881" t="s">
        <v>74</v>
      </c>
      <c r="BI881">
        <v>8</v>
      </c>
      <c r="BJ881" t="s">
        <v>1953</v>
      </c>
      <c r="BK881" t="s">
        <v>91</v>
      </c>
      <c r="BL881" t="s">
        <v>1954</v>
      </c>
      <c r="BM881" t="s">
        <v>16540</v>
      </c>
      <c r="BN881" t="s">
        <v>74</v>
      </c>
      <c r="BO881" t="s">
        <v>375</v>
      </c>
      <c r="BP881" t="s">
        <v>74</v>
      </c>
      <c r="BQ881" t="s">
        <v>74</v>
      </c>
      <c r="BR881" t="s">
        <v>93</v>
      </c>
      <c r="BS881" t="s">
        <v>16583</v>
      </c>
      <c r="BT881" t="str">
        <f>HYPERLINK("https%3A%2F%2Fwww.webofscience.com%2Fwos%2Fwoscc%2Ffull-record%2FWOS:000344913800033","View Full Record in Web of Science")</f>
        <v>View Full Record in Web of Science</v>
      </c>
    </row>
    <row r="882" spans="1:72" x14ac:dyDescent="0.15">
      <c r="A882" t="s">
        <v>72</v>
      </c>
      <c r="B882" t="s">
        <v>16584</v>
      </c>
      <c r="C882" t="s">
        <v>74</v>
      </c>
      <c r="D882" t="s">
        <v>74</v>
      </c>
      <c r="E882" t="s">
        <v>74</v>
      </c>
      <c r="F882" t="s">
        <v>16585</v>
      </c>
      <c r="G882" t="s">
        <v>74</v>
      </c>
      <c r="H882" t="s">
        <v>74</v>
      </c>
      <c r="I882" t="s">
        <v>16586</v>
      </c>
      <c r="J882" t="s">
        <v>8813</v>
      </c>
      <c r="K882" t="s">
        <v>74</v>
      </c>
      <c r="L882" t="s">
        <v>74</v>
      </c>
      <c r="M882" t="s">
        <v>78</v>
      </c>
      <c r="N882" t="s">
        <v>99</v>
      </c>
      <c r="O882" t="s">
        <v>74</v>
      </c>
      <c r="P882" t="s">
        <v>74</v>
      </c>
      <c r="Q882" t="s">
        <v>74</v>
      </c>
      <c r="R882" t="s">
        <v>74</v>
      </c>
      <c r="S882" t="s">
        <v>74</v>
      </c>
      <c r="T882" t="s">
        <v>74</v>
      </c>
      <c r="U882" t="s">
        <v>16587</v>
      </c>
      <c r="V882" t="s">
        <v>16588</v>
      </c>
      <c r="W882" t="s">
        <v>16589</v>
      </c>
      <c r="X882" t="s">
        <v>16590</v>
      </c>
      <c r="Y882" t="s">
        <v>16591</v>
      </c>
      <c r="Z882" t="s">
        <v>16592</v>
      </c>
      <c r="AA882" t="s">
        <v>7569</v>
      </c>
      <c r="AB882" t="s">
        <v>16593</v>
      </c>
      <c r="AC882" t="s">
        <v>16594</v>
      </c>
      <c r="AD882" t="s">
        <v>16595</v>
      </c>
      <c r="AE882" t="s">
        <v>16596</v>
      </c>
      <c r="AF882" t="s">
        <v>74</v>
      </c>
      <c r="AG882">
        <v>35</v>
      </c>
      <c r="AH882">
        <v>49</v>
      </c>
      <c r="AI882">
        <v>60</v>
      </c>
      <c r="AJ882">
        <v>1</v>
      </c>
      <c r="AK882">
        <v>30</v>
      </c>
      <c r="AL882" t="s">
        <v>1945</v>
      </c>
      <c r="AM882" t="s">
        <v>1946</v>
      </c>
      <c r="AN882" t="s">
        <v>1947</v>
      </c>
      <c r="AO882" t="s">
        <v>8826</v>
      </c>
      <c r="AP882" t="s">
        <v>8827</v>
      </c>
      <c r="AQ882" t="s">
        <v>74</v>
      </c>
      <c r="AR882" t="s">
        <v>8828</v>
      </c>
      <c r="AS882" t="s">
        <v>8829</v>
      </c>
      <c r="AT882" t="s">
        <v>16538</v>
      </c>
      <c r="AU882">
        <v>2014</v>
      </c>
      <c r="AV882">
        <v>41</v>
      </c>
      <c r="AW882">
        <v>19</v>
      </c>
      <c r="AX882" t="s">
        <v>74</v>
      </c>
      <c r="AY882" t="s">
        <v>74</v>
      </c>
      <c r="AZ882" t="s">
        <v>74</v>
      </c>
      <c r="BA882" t="s">
        <v>74</v>
      </c>
      <c r="BB882">
        <v>6803</v>
      </c>
      <c r="BC882">
        <v>6810</v>
      </c>
      <c r="BD882" t="s">
        <v>74</v>
      </c>
      <c r="BE882" t="s">
        <v>16597</v>
      </c>
      <c r="BF882" t="str">
        <f>HYPERLINK("http://dx.doi.org/10.1002/2014GL061266","http://dx.doi.org/10.1002/2014GL061266")</f>
        <v>http://dx.doi.org/10.1002/2014GL061266</v>
      </c>
      <c r="BG882" t="s">
        <v>74</v>
      </c>
      <c r="BH882" t="s">
        <v>74</v>
      </c>
      <c r="BI882">
        <v>8</v>
      </c>
      <c r="BJ882" t="s">
        <v>1953</v>
      </c>
      <c r="BK882" t="s">
        <v>91</v>
      </c>
      <c r="BL882" t="s">
        <v>1954</v>
      </c>
      <c r="BM882" t="s">
        <v>16540</v>
      </c>
      <c r="BN882" t="s">
        <v>74</v>
      </c>
      <c r="BO882" t="s">
        <v>3478</v>
      </c>
      <c r="BP882" t="s">
        <v>74</v>
      </c>
      <c r="BQ882" t="s">
        <v>74</v>
      </c>
      <c r="BR882" t="s">
        <v>93</v>
      </c>
      <c r="BS882" t="s">
        <v>16598</v>
      </c>
      <c r="BT882" t="str">
        <f>HYPERLINK("https%3A%2F%2Fwww.webofscience.com%2Fwos%2Fwoscc%2Ffull-record%2FWOS:000344913800035","View Full Record in Web of Science")</f>
        <v>View Full Record in Web of Science</v>
      </c>
    </row>
    <row r="883" spans="1:72" x14ac:dyDescent="0.15">
      <c r="A883" t="s">
        <v>72</v>
      </c>
      <c r="B883" t="s">
        <v>16599</v>
      </c>
      <c r="C883" t="s">
        <v>74</v>
      </c>
      <c r="D883" t="s">
        <v>74</v>
      </c>
      <c r="E883" t="s">
        <v>74</v>
      </c>
      <c r="F883" t="s">
        <v>16600</v>
      </c>
      <c r="G883" t="s">
        <v>74</v>
      </c>
      <c r="H883" t="s">
        <v>74</v>
      </c>
      <c r="I883" t="s">
        <v>16601</v>
      </c>
      <c r="J883" t="s">
        <v>8926</v>
      </c>
      <c r="K883" t="s">
        <v>74</v>
      </c>
      <c r="L883" t="s">
        <v>74</v>
      </c>
      <c r="M883" t="s">
        <v>78</v>
      </c>
      <c r="N883" t="s">
        <v>99</v>
      </c>
      <c r="O883" t="s">
        <v>74</v>
      </c>
      <c r="P883" t="s">
        <v>74</v>
      </c>
      <c r="Q883" t="s">
        <v>74</v>
      </c>
      <c r="R883" t="s">
        <v>74</v>
      </c>
      <c r="S883" t="s">
        <v>74</v>
      </c>
      <c r="T883" t="s">
        <v>74</v>
      </c>
      <c r="U883" t="s">
        <v>16602</v>
      </c>
      <c r="V883" t="s">
        <v>16603</v>
      </c>
      <c r="W883" t="s">
        <v>16604</v>
      </c>
      <c r="X883" t="s">
        <v>16605</v>
      </c>
      <c r="Y883" t="s">
        <v>16606</v>
      </c>
      <c r="Z883" t="s">
        <v>16607</v>
      </c>
      <c r="AA883" t="s">
        <v>74</v>
      </c>
      <c r="AB883" t="s">
        <v>16608</v>
      </c>
      <c r="AC883" t="s">
        <v>16609</v>
      </c>
      <c r="AD883" t="s">
        <v>16610</v>
      </c>
      <c r="AE883" t="s">
        <v>16611</v>
      </c>
      <c r="AF883" t="s">
        <v>74</v>
      </c>
      <c r="AG883">
        <v>49</v>
      </c>
      <c r="AH883">
        <v>48</v>
      </c>
      <c r="AI883">
        <v>48</v>
      </c>
      <c r="AJ883">
        <v>0</v>
      </c>
      <c r="AK883">
        <v>16</v>
      </c>
      <c r="AL883" t="s">
        <v>1945</v>
      </c>
      <c r="AM883" t="s">
        <v>1946</v>
      </c>
      <c r="AN883" t="s">
        <v>1947</v>
      </c>
      <c r="AO883" t="s">
        <v>8938</v>
      </c>
      <c r="AP883" t="s">
        <v>8939</v>
      </c>
      <c r="AQ883" t="s">
        <v>74</v>
      </c>
      <c r="AR883" t="s">
        <v>8940</v>
      </c>
      <c r="AS883" t="s">
        <v>8941</v>
      </c>
      <c r="AT883" t="s">
        <v>16538</v>
      </c>
      <c r="AU883">
        <v>2014</v>
      </c>
      <c r="AV883">
        <v>119</v>
      </c>
      <c r="AW883">
        <v>19</v>
      </c>
      <c r="AX883" t="s">
        <v>74</v>
      </c>
      <c r="AY883" t="s">
        <v>74</v>
      </c>
      <c r="AZ883" t="s">
        <v>74</v>
      </c>
      <c r="BA883" t="s">
        <v>74</v>
      </c>
      <c r="BB883">
        <v>11166</v>
      </c>
      <c r="BC883">
        <v>11188</v>
      </c>
      <c r="BD883" t="s">
        <v>74</v>
      </c>
      <c r="BE883" t="s">
        <v>16612</v>
      </c>
      <c r="BF883" t="str">
        <f>HYPERLINK("http://dx.doi.org/10.1002/2014JD021849","http://dx.doi.org/10.1002/2014JD021849")</f>
        <v>http://dx.doi.org/10.1002/2014JD021849</v>
      </c>
      <c r="BG883" t="s">
        <v>74</v>
      </c>
      <c r="BH883" t="s">
        <v>74</v>
      </c>
      <c r="BI883">
        <v>23</v>
      </c>
      <c r="BJ883" t="s">
        <v>226</v>
      </c>
      <c r="BK883" t="s">
        <v>91</v>
      </c>
      <c r="BL883" t="s">
        <v>226</v>
      </c>
      <c r="BM883" t="s">
        <v>16613</v>
      </c>
      <c r="BN883" t="s">
        <v>74</v>
      </c>
      <c r="BO883" t="s">
        <v>375</v>
      </c>
      <c r="BP883" t="s">
        <v>74</v>
      </c>
      <c r="BQ883" t="s">
        <v>74</v>
      </c>
      <c r="BR883" t="s">
        <v>93</v>
      </c>
      <c r="BS883" t="s">
        <v>16614</v>
      </c>
      <c r="BT883" t="str">
        <f>HYPERLINK("https%3A%2F%2Fwww.webofscience.com%2Fwos%2Fwoscc%2Ffull-record%2FWOS:000344053400012","View Full Record in Web of Science")</f>
        <v>View Full Record in Web of Science</v>
      </c>
    </row>
    <row r="884" spans="1:72" x14ac:dyDescent="0.15">
      <c r="A884" t="s">
        <v>72</v>
      </c>
      <c r="B884" t="s">
        <v>16615</v>
      </c>
      <c r="C884" t="s">
        <v>74</v>
      </c>
      <c r="D884" t="s">
        <v>74</v>
      </c>
      <c r="E884" t="s">
        <v>74</v>
      </c>
      <c r="F884" t="s">
        <v>16616</v>
      </c>
      <c r="G884" t="s">
        <v>74</v>
      </c>
      <c r="H884" t="s">
        <v>12990</v>
      </c>
      <c r="I884" t="s">
        <v>16617</v>
      </c>
      <c r="J884" t="s">
        <v>16283</v>
      </c>
      <c r="K884" t="s">
        <v>74</v>
      </c>
      <c r="L884" t="s">
        <v>74</v>
      </c>
      <c r="M884" t="s">
        <v>78</v>
      </c>
      <c r="N884" t="s">
        <v>126</v>
      </c>
      <c r="O884" t="s">
        <v>74</v>
      </c>
      <c r="P884" t="s">
        <v>74</v>
      </c>
      <c r="Q884" t="s">
        <v>74</v>
      </c>
      <c r="R884" t="s">
        <v>74</v>
      </c>
      <c r="S884" t="s">
        <v>74</v>
      </c>
      <c r="T884" t="s">
        <v>74</v>
      </c>
      <c r="U884" t="s">
        <v>74</v>
      </c>
      <c r="V884" t="s">
        <v>74</v>
      </c>
      <c r="W884" t="s">
        <v>74</v>
      </c>
      <c r="X884" t="s">
        <v>74</v>
      </c>
      <c r="Y884" t="s">
        <v>74</v>
      </c>
      <c r="Z884" t="s">
        <v>74</v>
      </c>
      <c r="AA884" t="s">
        <v>16618</v>
      </c>
      <c r="AB884" t="s">
        <v>16619</v>
      </c>
      <c r="AC884" t="s">
        <v>74</v>
      </c>
      <c r="AD884" t="s">
        <v>74</v>
      </c>
      <c r="AE884" t="s">
        <v>74</v>
      </c>
      <c r="AF884" t="s">
        <v>74</v>
      </c>
      <c r="AG884">
        <v>1</v>
      </c>
      <c r="AH884">
        <v>1</v>
      </c>
      <c r="AI884">
        <v>1</v>
      </c>
      <c r="AJ884">
        <v>0</v>
      </c>
      <c r="AK884">
        <v>221</v>
      </c>
      <c r="AL884" t="s">
        <v>7503</v>
      </c>
      <c r="AM884" t="s">
        <v>219</v>
      </c>
      <c r="AN884" t="s">
        <v>7504</v>
      </c>
      <c r="AO884" t="s">
        <v>16295</v>
      </c>
      <c r="AP884" t="s">
        <v>16296</v>
      </c>
      <c r="AQ884" t="s">
        <v>74</v>
      </c>
      <c r="AR884" t="s">
        <v>16283</v>
      </c>
      <c r="AS884" t="s">
        <v>16297</v>
      </c>
      <c r="AT884" t="s">
        <v>16538</v>
      </c>
      <c r="AU884">
        <v>2014</v>
      </c>
      <c r="AV884">
        <v>514</v>
      </c>
      <c r="AW884">
        <v>7522</v>
      </c>
      <c r="AX884" t="s">
        <v>74</v>
      </c>
      <c r="AY884" t="s">
        <v>74</v>
      </c>
      <c r="AZ884" t="s">
        <v>74</v>
      </c>
      <c r="BA884" t="s">
        <v>74</v>
      </c>
      <c r="BB884" t="s">
        <v>74</v>
      </c>
      <c r="BC884" t="s">
        <v>74</v>
      </c>
      <c r="BD884" t="s">
        <v>74</v>
      </c>
      <c r="BE884" t="s">
        <v>16620</v>
      </c>
      <c r="BF884" t="str">
        <f>HYPERLINK("http://dx.doi.org/10.1038/nature13841","http://dx.doi.org/10.1038/nature13841")</f>
        <v>http://dx.doi.org/10.1038/nature13841</v>
      </c>
      <c r="BG884" t="s">
        <v>74</v>
      </c>
      <c r="BH884" t="s">
        <v>74</v>
      </c>
      <c r="BI884">
        <v>1</v>
      </c>
      <c r="BJ884" t="s">
        <v>201</v>
      </c>
      <c r="BK884" t="s">
        <v>91</v>
      </c>
      <c r="BL884" t="s">
        <v>203</v>
      </c>
      <c r="BM884" t="s">
        <v>16621</v>
      </c>
      <c r="BN884" t="s">
        <v>74</v>
      </c>
      <c r="BO884" t="s">
        <v>375</v>
      </c>
      <c r="BP884" t="s">
        <v>74</v>
      </c>
      <c r="BQ884" t="s">
        <v>74</v>
      </c>
      <c r="BR884" t="s">
        <v>93</v>
      </c>
      <c r="BS884" t="s">
        <v>16622</v>
      </c>
      <c r="BT884" t="str">
        <f>HYPERLINK("https%3A%2F%2Fwww.webofscience.com%2Fwos%2Fwoscc%2Ffull-record%2FWOS:000342988600060","View Full Record in Web of Science")</f>
        <v>View Full Record in Web of Science</v>
      </c>
    </row>
    <row r="885" spans="1:72" x14ac:dyDescent="0.15">
      <c r="A885" t="s">
        <v>72</v>
      </c>
      <c r="B885" t="s">
        <v>16623</v>
      </c>
      <c r="C885" t="s">
        <v>74</v>
      </c>
      <c r="D885" t="s">
        <v>74</v>
      </c>
      <c r="E885" t="s">
        <v>74</v>
      </c>
      <c r="F885" t="s">
        <v>16624</v>
      </c>
      <c r="G885" t="s">
        <v>74</v>
      </c>
      <c r="H885" t="s">
        <v>74</v>
      </c>
      <c r="I885" t="s">
        <v>16625</v>
      </c>
      <c r="J885" t="s">
        <v>9258</v>
      </c>
      <c r="K885" t="s">
        <v>74</v>
      </c>
      <c r="L885" t="s">
        <v>74</v>
      </c>
      <c r="M885" t="s">
        <v>78</v>
      </c>
      <c r="N885" t="s">
        <v>99</v>
      </c>
      <c r="O885" t="s">
        <v>74</v>
      </c>
      <c r="P885" t="s">
        <v>74</v>
      </c>
      <c r="Q885" t="s">
        <v>74</v>
      </c>
      <c r="R885" t="s">
        <v>74</v>
      </c>
      <c r="S885" t="s">
        <v>74</v>
      </c>
      <c r="T885" t="s">
        <v>16626</v>
      </c>
      <c r="U885" t="s">
        <v>16627</v>
      </c>
      <c r="V885" t="s">
        <v>16628</v>
      </c>
      <c r="W885" t="s">
        <v>16629</v>
      </c>
      <c r="X885" t="s">
        <v>16630</v>
      </c>
      <c r="Y885" t="s">
        <v>16631</v>
      </c>
      <c r="Z885" t="s">
        <v>16632</v>
      </c>
      <c r="AA885" t="s">
        <v>16633</v>
      </c>
      <c r="AB885" t="s">
        <v>16634</v>
      </c>
      <c r="AC885" t="s">
        <v>16635</v>
      </c>
      <c r="AD885" t="s">
        <v>16636</v>
      </c>
      <c r="AE885" t="s">
        <v>16637</v>
      </c>
      <c r="AF885" t="s">
        <v>74</v>
      </c>
      <c r="AG885">
        <v>73</v>
      </c>
      <c r="AH885">
        <v>18</v>
      </c>
      <c r="AI885">
        <v>19</v>
      </c>
      <c r="AJ885">
        <v>0</v>
      </c>
      <c r="AK885">
        <v>30</v>
      </c>
      <c r="AL885" t="s">
        <v>2439</v>
      </c>
      <c r="AM885" t="s">
        <v>1411</v>
      </c>
      <c r="AN885" t="s">
        <v>2440</v>
      </c>
      <c r="AO885" t="s">
        <v>9259</v>
      </c>
      <c r="AP885" t="s">
        <v>9260</v>
      </c>
      <c r="AQ885" t="s">
        <v>74</v>
      </c>
      <c r="AR885" t="s">
        <v>9261</v>
      </c>
      <c r="AS885" t="s">
        <v>9262</v>
      </c>
      <c r="AT885" t="s">
        <v>16638</v>
      </c>
      <c r="AU885">
        <v>2014</v>
      </c>
      <c r="AV885">
        <v>87</v>
      </c>
      <c r="AW885" t="s">
        <v>2766</v>
      </c>
      <c r="AX885" t="s">
        <v>74</v>
      </c>
      <c r="AY885" t="s">
        <v>74</v>
      </c>
      <c r="AZ885" t="s">
        <v>74</v>
      </c>
      <c r="BA885" t="s">
        <v>74</v>
      </c>
      <c r="BB885">
        <v>48</v>
      </c>
      <c r="BC885">
        <v>56</v>
      </c>
      <c r="BD885" t="s">
        <v>74</v>
      </c>
      <c r="BE885" t="s">
        <v>16639</v>
      </c>
      <c r="BF885" t="str">
        <f>HYPERLINK("http://dx.doi.org/10.1016/j.marpolbul.2014.08.012","http://dx.doi.org/10.1016/j.marpolbul.2014.08.012")</f>
        <v>http://dx.doi.org/10.1016/j.marpolbul.2014.08.012</v>
      </c>
      <c r="BG885" t="s">
        <v>74</v>
      </c>
      <c r="BH885" t="s">
        <v>74</v>
      </c>
      <c r="BI885">
        <v>9</v>
      </c>
      <c r="BJ885" t="s">
        <v>2673</v>
      </c>
      <c r="BK885" t="s">
        <v>91</v>
      </c>
      <c r="BL885" t="s">
        <v>2674</v>
      </c>
      <c r="BM885" t="s">
        <v>16640</v>
      </c>
      <c r="BN885">
        <v>25173596</v>
      </c>
      <c r="BO885" t="s">
        <v>74</v>
      </c>
      <c r="BP885" t="s">
        <v>74</v>
      </c>
      <c r="BQ885" t="s">
        <v>74</v>
      </c>
      <c r="BR885" t="s">
        <v>93</v>
      </c>
      <c r="BS885" t="s">
        <v>16641</v>
      </c>
      <c r="BT885" t="str">
        <f>HYPERLINK("https%3A%2F%2Fwww.webofscience.com%2Fwos%2Fwoscc%2Ffull-record%2FWOS:000343951800022","View Full Record in Web of Science")</f>
        <v>View Full Record in Web of Science</v>
      </c>
    </row>
    <row r="886" spans="1:72" x14ac:dyDescent="0.15">
      <c r="A886" t="s">
        <v>72</v>
      </c>
      <c r="B886" t="s">
        <v>16642</v>
      </c>
      <c r="C886" t="s">
        <v>74</v>
      </c>
      <c r="D886" t="s">
        <v>74</v>
      </c>
      <c r="E886" t="s">
        <v>74</v>
      </c>
      <c r="F886" t="s">
        <v>16643</v>
      </c>
      <c r="G886" t="s">
        <v>74</v>
      </c>
      <c r="H886" t="s">
        <v>74</v>
      </c>
      <c r="I886" t="s">
        <v>16644</v>
      </c>
      <c r="J886" t="s">
        <v>9258</v>
      </c>
      <c r="K886" t="s">
        <v>74</v>
      </c>
      <c r="L886" t="s">
        <v>74</v>
      </c>
      <c r="M886" t="s">
        <v>78</v>
      </c>
      <c r="N886" t="s">
        <v>99</v>
      </c>
      <c r="O886" t="s">
        <v>74</v>
      </c>
      <c r="P886" t="s">
        <v>74</v>
      </c>
      <c r="Q886" t="s">
        <v>74</v>
      </c>
      <c r="R886" t="s">
        <v>74</v>
      </c>
      <c r="S886" t="s">
        <v>74</v>
      </c>
      <c r="T886" t="s">
        <v>16645</v>
      </c>
      <c r="U886" t="s">
        <v>16646</v>
      </c>
      <c r="V886" t="s">
        <v>16647</v>
      </c>
      <c r="W886" t="s">
        <v>16648</v>
      </c>
      <c r="X886" t="s">
        <v>16649</v>
      </c>
      <c r="Y886" t="s">
        <v>16650</v>
      </c>
      <c r="Z886" t="s">
        <v>16651</v>
      </c>
      <c r="AA886" t="s">
        <v>16652</v>
      </c>
      <c r="AB886" t="s">
        <v>16653</v>
      </c>
      <c r="AC886" t="s">
        <v>16654</v>
      </c>
      <c r="AD886" t="s">
        <v>16655</v>
      </c>
      <c r="AE886" t="s">
        <v>16656</v>
      </c>
      <c r="AF886" t="s">
        <v>74</v>
      </c>
      <c r="AG886">
        <v>80</v>
      </c>
      <c r="AH886">
        <v>61</v>
      </c>
      <c r="AI886">
        <v>66</v>
      </c>
      <c r="AJ886">
        <v>1</v>
      </c>
      <c r="AK886">
        <v>61</v>
      </c>
      <c r="AL886" t="s">
        <v>2439</v>
      </c>
      <c r="AM886" t="s">
        <v>1411</v>
      </c>
      <c r="AN886" t="s">
        <v>2440</v>
      </c>
      <c r="AO886" t="s">
        <v>9259</v>
      </c>
      <c r="AP886" t="s">
        <v>9260</v>
      </c>
      <c r="AQ886" t="s">
        <v>74</v>
      </c>
      <c r="AR886" t="s">
        <v>9261</v>
      </c>
      <c r="AS886" t="s">
        <v>9262</v>
      </c>
      <c r="AT886" t="s">
        <v>16638</v>
      </c>
      <c r="AU886">
        <v>2014</v>
      </c>
      <c r="AV886">
        <v>87</v>
      </c>
      <c r="AW886" t="s">
        <v>2766</v>
      </c>
      <c r="AX886" t="s">
        <v>74</v>
      </c>
      <c r="AY886" t="s">
        <v>74</v>
      </c>
      <c r="AZ886" t="s">
        <v>74</v>
      </c>
      <c r="BA886" t="s">
        <v>74</v>
      </c>
      <c r="BB886">
        <v>381</v>
      </c>
      <c r="BC886">
        <v>387</v>
      </c>
      <c r="BD886" t="s">
        <v>74</v>
      </c>
      <c r="BE886" t="s">
        <v>16657</v>
      </c>
      <c r="BF886" t="str">
        <f>HYPERLINK("http://dx.doi.org/10.1016/j.marpolbul.2014.07.021","http://dx.doi.org/10.1016/j.marpolbul.2014.07.021")</f>
        <v>http://dx.doi.org/10.1016/j.marpolbul.2014.07.021</v>
      </c>
      <c r="BG886" t="s">
        <v>74</v>
      </c>
      <c r="BH886" t="s">
        <v>74</v>
      </c>
      <c r="BI886">
        <v>7</v>
      </c>
      <c r="BJ886" t="s">
        <v>2673</v>
      </c>
      <c r="BK886" t="s">
        <v>91</v>
      </c>
      <c r="BL886" t="s">
        <v>2674</v>
      </c>
      <c r="BM886" t="s">
        <v>16640</v>
      </c>
      <c r="BN886">
        <v>25084679</v>
      </c>
      <c r="BO886" t="s">
        <v>74</v>
      </c>
      <c r="BP886" t="s">
        <v>74</v>
      </c>
      <c r="BQ886" t="s">
        <v>74</v>
      </c>
      <c r="BR886" t="s">
        <v>93</v>
      </c>
      <c r="BS886" t="s">
        <v>16658</v>
      </c>
      <c r="BT886" t="str">
        <f>HYPERLINK("https%3A%2F%2Fwww.webofscience.com%2Fwos%2Fwoscc%2Ffull-record%2FWOS:000343951800057","View Full Record in Web of Science")</f>
        <v>View Full Record in Web of Science</v>
      </c>
    </row>
    <row r="887" spans="1:72" x14ac:dyDescent="0.15">
      <c r="A887" t="s">
        <v>72</v>
      </c>
      <c r="B887" t="s">
        <v>16659</v>
      </c>
      <c r="C887" t="s">
        <v>74</v>
      </c>
      <c r="D887" t="s">
        <v>74</v>
      </c>
      <c r="E887" t="s">
        <v>74</v>
      </c>
      <c r="F887" t="s">
        <v>16660</v>
      </c>
      <c r="G887" t="s">
        <v>74</v>
      </c>
      <c r="H887" t="s">
        <v>74</v>
      </c>
      <c r="I887" t="s">
        <v>16661</v>
      </c>
      <c r="J887" t="s">
        <v>2450</v>
      </c>
      <c r="K887" t="s">
        <v>74</v>
      </c>
      <c r="L887" t="s">
        <v>74</v>
      </c>
      <c r="M887" t="s">
        <v>78</v>
      </c>
      <c r="N887" t="s">
        <v>99</v>
      </c>
      <c r="O887" t="s">
        <v>74</v>
      </c>
      <c r="P887" t="s">
        <v>74</v>
      </c>
      <c r="Q887" t="s">
        <v>74</v>
      </c>
      <c r="R887" t="s">
        <v>74</v>
      </c>
      <c r="S887" t="s">
        <v>74</v>
      </c>
      <c r="T887" t="s">
        <v>16662</v>
      </c>
      <c r="U887" t="s">
        <v>16663</v>
      </c>
      <c r="V887" t="s">
        <v>16664</v>
      </c>
      <c r="W887" t="s">
        <v>16665</v>
      </c>
      <c r="X887" t="s">
        <v>16666</v>
      </c>
      <c r="Y887" t="s">
        <v>16667</v>
      </c>
      <c r="Z887" t="s">
        <v>16668</v>
      </c>
      <c r="AA887" t="s">
        <v>16669</v>
      </c>
      <c r="AB887" t="s">
        <v>16670</v>
      </c>
      <c r="AC887" t="s">
        <v>16671</v>
      </c>
      <c r="AD887" t="s">
        <v>16671</v>
      </c>
      <c r="AE887" t="s">
        <v>16672</v>
      </c>
      <c r="AF887" t="s">
        <v>74</v>
      </c>
      <c r="AG887">
        <v>18</v>
      </c>
      <c r="AH887">
        <v>12</v>
      </c>
      <c r="AI887">
        <v>12</v>
      </c>
      <c r="AJ887">
        <v>1</v>
      </c>
      <c r="AK887">
        <v>11</v>
      </c>
      <c r="AL887" t="s">
        <v>2458</v>
      </c>
      <c r="AM887" t="s">
        <v>1411</v>
      </c>
      <c r="AN887" t="s">
        <v>2459</v>
      </c>
      <c r="AO887" t="s">
        <v>2460</v>
      </c>
      <c r="AP887" t="s">
        <v>2461</v>
      </c>
      <c r="AQ887" t="s">
        <v>74</v>
      </c>
      <c r="AR887" t="s">
        <v>2462</v>
      </c>
      <c r="AS887" t="s">
        <v>2463</v>
      </c>
      <c r="AT887" t="s">
        <v>16638</v>
      </c>
      <c r="AU887">
        <v>2014</v>
      </c>
      <c r="AV887">
        <v>54</v>
      </c>
      <c r="AW887">
        <v>8</v>
      </c>
      <c r="AX887" t="s">
        <v>74</v>
      </c>
      <c r="AY887" t="s">
        <v>74</v>
      </c>
      <c r="AZ887" t="s">
        <v>74</v>
      </c>
      <c r="BA887" t="s">
        <v>74</v>
      </c>
      <c r="BB887">
        <v>1619</v>
      </c>
      <c r="BC887">
        <v>1628</v>
      </c>
      <c r="BD887" t="s">
        <v>74</v>
      </c>
      <c r="BE887" t="s">
        <v>16673</v>
      </c>
      <c r="BF887" t="str">
        <f>HYPERLINK("http://dx.doi.org/10.1016/j.asr.2014.06.002","http://dx.doi.org/10.1016/j.asr.2014.06.002")</f>
        <v>http://dx.doi.org/10.1016/j.asr.2014.06.002</v>
      </c>
      <c r="BG887" t="s">
        <v>74</v>
      </c>
      <c r="BH887" t="s">
        <v>74</v>
      </c>
      <c r="BI887">
        <v>10</v>
      </c>
      <c r="BJ887" t="s">
        <v>2466</v>
      </c>
      <c r="BK887" t="s">
        <v>91</v>
      </c>
      <c r="BL887" t="s">
        <v>2467</v>
      </c>
      <c r="BM887" t="s">
        <v>16674</v>
      </c>
      <c r="BN887" t="s">
        <v>74</v>
      </c>
      <c r="BO887" t="s">
        <v>74</v>
      </c>
      <c r="BP887" t="s">
        <v>74</v>
      </c>
      <c r="BQ887" t="s">
        <v>74</v>
      </c>
      <c r="BR887" t="s">
        <v>93</v>
      </c>
      <c r="BS887" t="s">
        <v>16675</v>
      </c>
      <c r="BT887" t="str">
        <f>HYPERLINK("https%3A%2F%2Fwww.webofscience.com%2Fwos%2Fwoscc%2Ffull-record%2FWOS:000343629600015","View Full Record in Web of Science")</f>
        <v>View Full Record in Web of Science</v>
      </c>
    </row>
    <row r="888" spans="1:72" x14ac:dyDescent="0.15">
      <c r="A888" t="s">
        <v>72</v>
      </c>
      <c r="B888" t="s">
        <v>16676</v>
      </c>
      <c r="C888" t="s">
        <v>74</v>
      </c>
      <c r="D888" t="s">
        <v>74</v>
      </c>
      <c r="E888" t="s">
        <v>74</v>
      </c>
      <c r="F888" t="s">
        <v>16677</v>
      </c>
      <c r="G888" t="s">
        <v>74</v>
      </c>
      <c r="H888" t="s">
        <v>74</v>
      </c>
      <c r="I888" t="s">
        <v>16678</v>
      </c>
      <c r="J888" t="s">
        <v>2773</v>
      </c>
      <c r="K888" t="s">
        <v>74</v>
      </c>
      <c r="L888" t="s">
        <v>74</v>
      </c>
      <c r="M888" t="s">
        <v>78</v>
      </c>
      <c r="N888" t="s">
        <v>99</v>
      </c>
      <c r="O888" t="s">
        <v>74</v>
      </c>
      <c r="P888" t="s">
        <v>74</v>
      </c>
      <c r="Q888" t="s">
        <v>74</v>
      </c>
      <c r="R888" t="s">
        <v>74</v>
      </c>
      <c r="S888" t="s">
        <v>74</v>
      </c>
      <c r="T888" t="s">
        <v>16679</v>
      </c>
      <c r="U888" t="s">
        <v>16680</v>
      </c>
      <c r="V888" t="s">
        <v>16681</v>
      </c>
      <c r="W888" t="s">
        <v>16682</v>
      </c>
      <c r="X888" t="s">
        <v>16683</v>
      </c>
      <c r="Y888" t="s">
        <v>16684</v>
      </c>
      <c r="Z888" t="s">
        <v>16685</v>
      </c>
      <c r="AA888" t="s">
        <v>16686</v>
      </c>
      <c r="AB888" t="s">
        <v>16687</v>
      </c>
      <c r="AC888" t="s">
        <v>16688</v>
      </c>
      <c r="AD888" t="s">
        <v>16689</v>
      </c>
      <c r="AE888" t="s">
        <v>16690</v>
      </c>
      <c r="AF888" t="s">
        <v>74</v>
      </c>
      <c r="AG888">
        <v>81</v>
      </c>
      <c r="AH888">
        <v>11</v>
      </c>
      <c r="AI888">
        <v>17</v>
      </c>
      <c r="AJ888">
        <v>0</v>
      </c>
      <c r="AK888">
        <v>40</v>
      </c>
      <c r="AL888" t="s">
        <v>2640</v>
      </c>
      <c r="AM888" t="s">
        <v>1176</v>
      </c>
      <c r="AN888" t="s">
        <v>2641</v>
      </c>
      <c r="AO888" t="s">
        <v>2786</v>
      </c>
      <c r="AP888" t="s">
        <v>2787</v>
      </c>
      <c r="AQ888" t="s">
        <v>74</v>
      </c>
      <c r="AR888" t="s">
        <v>2788</v>
      </c>
      <c r="AS888" t="s">
        <v>2789</v>
      </c>
      <c r="AT888" t="s">
        <v>16638</v>
      </c>
      <c r="AU888">
        <v>2014</v>
      </c>
      <c r="AV888">
        <v>404</v>
      </c>
      <c r="AW888" t="s">
        <v>74</v>
      </c>
      <c r="AX888" t="s">
        <v>74</v>
      </c>
      <c r="AY888" t="s">
        <v>74</v>
      </c>
      <c r="AZ888" t="s">
        <v>74</v>
      </c>
      <c r="BA888" t="s">
        <v>74</v>
      </c>
      <c r="BB888">
        <v>154</v>
      </c>
      <c r="BC888">
        <v>166</v>
      </c>
      <c r="BD888" t="s">
        <v>74</v>
      </c>
      <c r="BE888" t="s">
        <v>16691</v>
      </c>
      <c r="BF888" t="str">
        <f>HYPERLINK("http://dx.doi.org/10.1016/j.epsl.2014.07.032","http://dx.doi.org/10.1016/j.epsl.2014.07.032")</f>
        <v>http://dx.doi.org/10.1016/j.epsl.2014.07.032</v>
      </c>
      <c r="BG888" t="s">
        <v>74</v>
      </c>
      <c r="BH888" t="s">
        <v>74</v>
      </c>
      <c r="BI888">
        <v>13</v>
      </c>
      <c r="BJ888" t="s">
        <v>1902</v>
      </c>
      <c r="BK888" t="s">
        <v>91</v>
      </c>
      <c r="BL888" t="s">
        <v>1902</v>
      </c>
      <c r="BM888" t="s">
        <v>16692</v>
      </c>
      <c r="BN888" t="s">
        <v>74</v>
      </c>
      <c r="BO888" t="s">
        <v>74</v>
      </c>
      <c r="BP888" t="s">
        <v>74</v>
      </c>
      <c r="BQ888" t="s">
        <v>74</v>
      </c>
      <c r="BR888" t="s">
        <v>93</v>
      </c>
      <c r="BS888" t="s">
        <v>16693</v>
      </c>
      <c r="BT888" t="str">
        <f>HYPERLINK("https%3A%2F%2Fwww.webofscience.com%2Fwos%2Fwoscc%2Ffull-record%2FWOS:000343352100015","View Full Record in Web of Science")</f>
        <v>View Full Record in Web of Science</v>
      </c>
    </row>
    <row r="889" spans="1:72" x14ac:dyDescent="0.15">
      <c r="A889" t="s">
        <v>72</v>
      </c>
      <c r="B889" t="s">
        <v>16694</v>
      </c>
      <c r="C889" t="s">
        <v>74</v>
      </c>
      <c r="D889" t="s">
        <v>74</v>
      </c>
      <c r="E889" t="s">
        <v>74</v>
      </c>
      <c r="F889" t="s">
        <v>16695</v>
      </c>
      <c r="G889" t="s">
        <v>74</v>
      </c>
      <c r="H889" t="s">
        <v>74</v>
      </c>
      <c r="I889" t="s">
        <v>16696</v>
      </c>
      <c r="J889" t="s">
        <v>2773</v>
      </c>
      <c r="K889" t="s">
        <v>74</v>
      </c>
      <c r="L889" t="s">
        <v>74</v>
      </c>
      <c r="M889" t="s">
        <v>78</v>
      </c>
      <c r="N889" t="s">
        <v>99</v>
      </c>
      <c r="O889" t="s">
        <v>74</v>
      </c>
      <c r="P889" t="s">
        <v>74</v>
      </c>
      <c r="Q889" t="s">
        <v>74</v>
      </c>
      <c r="R889" t="s">
        <v>74</v>
      </c>
      <c r="S889" t="s">
        <v>74</v>
      </c>
      <c r="T889" t="s">
        <v>16697</v>
      </c>
      <c r="U889" t="s">
        <v>16698</v>
      </c>
      <c r="V889" t="s">
        <v>16699</v>
      </c>
      <c r="W889" t="s">
        <v>16700</v>
      </c>
      <c r="X889" t="s">
        <v>16701</v>
      </c>
      <c r="Y889" t="s">
        <v>16702</v>
      </c>
      <c r="Z889" t="s">
        <v>16703</v>
      </c>
      <c r="AA889" t="s">
        <v>16704</v>
      </c>
      <c r="AB889" t="s">
        <v>16705</v>
      </c>
      <c r="AC889" t="s">
        <v>16706</v>
      </c>
      <c r="AD889" t="s">
        <v>9631</v>
      </c>
      <c r="AE889" t="s">
        <v>16707</v>
      </c>
      <c r="AF889" t="s">
        <v>74</v>
      </c>
      <c r="AG889">
        <v>43</v>
      </c>
      <c r="AH889">
        <v>13</v>
      </c>
      <c r="AI889">
        <v>13</v>
      </c>
      <c r="AJ889">
        <v>1</v>
      </c>
      <c r="AK889">
        <v>38</v>
      </c>
      <c r="AL889" t="s">
        <v>2640</v>
      </c>
      <c r="AM889" t="s">
        <v>1176</v>
      </c>
      <c r="AN889" t="s">
        <v>2641</v>
      </c>
      <c r="AO889" t="s">
        <v>2786</v>
      </c>
      <c r="AP889" t="s">
        <v>2787</v>
      </c>
      <c r="AQ889" t="s">
        <v>74</v>
      </c>
      <c r="AR889" t="s">
        <v>2788</v>
      </c>
      <c r="AS889" t="s">
        <v>2789</v>
      </c>
      <c r="AT889" t="s">
        <v>16638</v>
      </c>
      <c r="AU889">
        <v>2014</v>
      </c>
      <c r="AV889">
        <v>404</v>
      </c>
      <c r="AW889" t="s">
        <v>74</v>
      </c>
      <c r="AX889" t="s">
        <v>74</v>
      </c>
      <c r="AY889" t="s">
        <v>74</v>
      </c>
      <c r="AZ889" t="s">
        <v>74</v>
      </c>
      <c r="BA889" t="s">
        <v>74</v>
      </c>
      <c r="BB889">
        <v>344</v>
      </c>
      <c r="BC889">
        <v>353</v>
      </c>
      <c r="BD889" t="s">
        <v>74</v>
      </c>
      <c r="BE889" t="s">
        <v>16708</v>
      </c>
      <c r="BF889" t="str">
        <f>HYPERLINK("http://dx.doi.org/10.1016/j.epsl.2014.08.008","http://dx.doi.org/10.1016/j.epsl.2014.08.008")</f>
        <v>http://dx.doi.org/10.1016/j.epsl.2014.08.008</v>
      </c>
      <c r="BG889" t="s">
        <v>74</v>
      </c>
      <c r="BH889" t="s">
        <v>74</v>
      </c>
      <c r="BI889">
        <v>10</v>
      </c>
      <c r="BJ889" t="s">
        <v>1902</v>
      </c>
      <c r="BK889" t="s">
        <v>91</v>
      </c>
      <c r="BL889" t="s">
        <v>1902</v>
      </c>
      <c r="BM889" t="s">
        <v>16692</v>
      </c>
      <c r="BN889" t="s">
        <v>74</v>
      </c>
      <c r="BO889" t="s">
        <v>74</v>
      </c>
      <c r="BP889" t="s">
        <v>74</v>
      </c>
      <c r="BQ889" t="s">
        <v>74</v>
      </c>
      <c r="BR889" t="s">
        <v>93</v>
      </c>
      <c r="BS889" t="s">
        <v>16709</v>
      </c>
      <c r="BT889" t="str">
        <f>HYPERLINK("https%3A%2F%2Fwww.webofscience.com%2Fwos%2Fwoscc%2Ffull-record%2FWOS:000343352100032","View Full Record in Web of Science")</f>
        <v>View Full Record in Web of Science</v>
      </c>
    </row>
    <row r="890" spans="1:72" x14ac:dyDescent="0.15">
      <c r="A890" t="s">
        <v>72</v>
      </c>
      <c r="B890" t="s">
        <v>16710</v>
      </c>
      <c r="C890" t="s">
        <v>74</v>
      </c>
      <c r="D890" t="s">
        <v>74</v>
      </c>
      <c r="E890" t="s">
        <v>74</v>
      </c>
      <c r="F890" t="s">
        <v>16711</v>
      </c>
      <c r="G890" t="s">
        <v>74</v>
      </c>
      <c r="H890" t="s">
        <v>74</v>
      </c>
      <c r="I890" t="s">
        <v>16712</v>
      </c>
      <c r="J890" t="s">
        <v>16713</v>
      </c>
      <c r="K890" t="s">
        <v>74</v>
      </c>
      <c r="L890" t="s">
        <v>74</v>
      </c>
      <c r="M890" t="s">
        <v>78</v>
      </c>
      <c r="N890" t="s">
        <v>99</v>
      </c>
      <c r="O890" t="s">
        <v>74</v>
      </c>
      <c r="P890" t="s">
        <v>74</v>
      </c>
      <c r="Q890" t="s">
        <v>74</v>
      </c>
      <c r="R890" t="s">
        <v>74</v>
      </c>
      <c r="S890" t="s">
        <v>74</v>
      </c>
      <c r="T890" t="s">
        <v>16714</v>
      </c>
      <c r="U890" t="s">
        <v>16715</v>
      </c>
      <c r="V890" t="s">
        <v>16716</v>
      </c>
      <c r="W890" t="s">
        <v>16717</v>
      </c>
      <c r="X890" t="s">
        <v>16718</v>
      </c>
      <c r="Y890" t="s">
        <v>16719</v>
      </c>
      <c r="Z890" t="s">
        <v>16720</v>
      </c>
      <c r="AA890" t="s">
        <v>16721</v>
      </c>
      <c r="AB890" t="s">
        <v>16722</v>
      </c>
      <c r="AC890" t="s">
        <v>16723</v>
      </c>
      <c r="AD890" t="s">
        <v>16724</v>
      </c>
      <c r="AE890" t="s">
        <v>16725</v>
      </c>
      <c r="AF890" t="s">
        <v>74</v>
      </c>
      <c r="AG890">
        <v>34</v>
      </c>
      <c r="AH890">
        <v>3</v>
      </c>
      <c r="AI890">
        <v>3</v>
      </c>
      <c r="AJ890">
        <v>0</v>
      </c>
      <c r="AK890">
        <v>4</v>
      </c>
      <c r="AL890" t="s">
        <v>8800</v>
      </c>
      <c r="AM890" t="s">
        <v>8801</v>
      </c>
      <c r="AN890" t="s">
        <v>13578</v>
      </c>
      <c r="AO890" t="s">
        <v>16726</v>
      </c>
      <c r="AP890" t="s">
        <v>16727</v>
      </c>
      <c r="AQ890" t="s">
        <v>74</v>
      </c>
      <c r="AR890" t="s">
        <v>16713</v>
      </c>
      <c r="AS890" t="s">
        <v>16728</v>
      </c>
      <c r="AT890" t="s">
        <v>16638</v>
      </c>
      <c r="AU890">
        <v>2014</v>
      </c>
      <c r="AV890">
        <v>3873</v>
      </c>
      <c r="AW890">
        <v>2</v>
      </c>
      <c r="AX890" t="s">
        <v>74</v>
      </c>
      <c r="AY890" t="s">
        <v>74</v>
      </c>
      <c r="AZ890" t="s">
        <v>74</v>
      </c>
      <c r="BA890" t="s">
        <v>74</v>
      </c>
      <c r="BB890">
        <v>145</v>
      </c>
      <c r="BC890">
        <v>154</v>
      </c>
      <c r="BD890" t="s">
        <v>74</v>
      </c>
      <c r="BE890" t="s">
        <v>16729</v>
      </c>
      <c r="BF890" t="str">
        <f>HYPERLINK("http://dx.doi.org/10.11646/zootaxa.3873.2.2","http://dx.doi.org/10.11646/zootaxa.3873.2.2")</f>
        <v>http://dx.doi.org/10.11646/zootaxa.3873.2.2</v>
      </c>
      <c r="BG890" t="s">
        <v>74</v>
      </c>
      <c r="BH890" t="s">
        <v>74</v>
      </c>
      <c r="BI890">
        <v>10</v>
      </c>
      <c r="BJ890" t="s">
        <v>423</v>
      </c>
      <c r="BK890" t="s">
        <v>91</v>
      </c>
      <c r="BL890" t="s">
        <v>423</v>
      </c>
      <c r="BM890" t="s">
        <v>16730</v>
      </c>
      <c r="BN890">
        <v>25544211</v>
      </c>
      <c r="BO890" t="s">
        <v>74</v>
      </c>
      <c r="BP890" t="s">
        <v>74</v>
      </c>
      <c r="BQ890" t="s">
        <v>74</v>
      </c>
      <c r="BR890" t="s">
        <v>93</v>
      </c>
      <c r="BS890" t="s">
        <v>16731</v>
      </c>
      <c r="BT890" t="str">
        <f>HYPERLINK("https%3A%2F%2Fwww.webofscience.com%2Fwos%2Fwoscc%2Ffull-record%2FWOS:000342895000002","View Full Record in Web of Science")</f>
        <v>View Full Record in Web of Science</v>
      </c>
    </row>
    <row r="891" spans="1:72" x14ac:dyDescent="0.15">
      <c r="A891" t="s">
        <v>72</v>
      </c>
      <c r="B891" t="s">
        <v>16732</v>
      </c>
      <c r="C891" t="s">
        <v>74</v>
      </c>
      <c r="D891" t="s">
        <v>74</v>
      </c>
      <c r="E891" t="s">
        <v>74</v>
      </c>
      <c r="F891" t="s">
        <v>16733</v>
      </c>
      <c r="G891" t="s">
        <v>74</v>
      </c>
      <c r="H891" t="s">
        <v>74</v>
      </c>
      <c r="I891" t="s">
        <v>16734</v>
      </c>
      <c r="J891" t="s">
        <v>2900</v>
      </c>
      <c r="K891" t="s">
        <v>74</v>
      </c>
      <c r="L891" t="s">
        <v>74</v>
      </c>
      <c r="M891" t="s">
        <v>78</v>
      </c>
      <c r="N891" t="s">
        <v>99</v>
      </c>
      <c r="O891" t="s">
        <v>74</v>
      </c>
      <c r="P891" t="s">
        <v>74</v>
      </c>
      <c r="Q891" t="s">
        <v>74</v>
      </c>
      <c r="R891" t="s">
        <v>74</v>
      </c>
      <c r="S891" t="s">
        <v>74</v>
      </c>
      <c r="T891" t="s">
        <v>16735</v>
      </c>
      <c r="U891" t="s">
        <v>16736</v>
      </c>
      <c r="V891" t="s">
        <v>16737</v>
      </c>
      <c r="W891" t="s">
        <v>16738</v>
      </c>
      <c r="X891" t="s">
        <v>16739</v>
      </c>
      <c r="Y891" t="s">
        <v>16740</v>
      </c>
      <c r="Z891" t="s">
        <v>16741</v>
      </c>
      <c r="AA891" t="s">
        <v>16742</v>
      </c>
      <c r="AB891" t="s">
        <v>16743</v>
      </c>
      <c r="AC891" t="s">
        <v>16744</v>
      </c>
      <c r="AD891" t="s">
        <v>16745</v>
      </c>
      <c r="AE891" t="s">
        <v>16746</v>
      </c>
      <c r="AF891" t="s">
        <v>74</v>
      </c>
      <c r="AG891">
        <v>88</v>
      </c>
      <c r="AH891">
        <v>37</v>
      </c>
      <c r="AI891">
        <v>40</v>
      </c>
      <c r="AJ891">
        <v>0</v>
      </c>
      <c r="AK891">
        <v>18</v>
      </c>
      <c r="AL891" t="s">
        <v>2640</v>
      </c>
      <c r="AM891" t="s">
        <v>1176</v>
      </c>
      <c r="AN891" t="s">
        <v>2641</v>
      </c>
      <c r="AO891" t="s">
        <v>2913</v>
      </c>
      <c r="AP891" t="s">
        <v>2914</v>
      </c>
      <c r="AQ891" t="s">
        <v>74</v>
      </c>
      <c r="AR891" t="s">
        <v>2915</v>
      </c>
      <c r="AS891" t="s">
        <v>2916</v>
      </c>
      <c r="AT891" t="s">
        <v>16638</v>
      </c>
      <c r="AU891">
        <v>2014</v>
      </c>
      <c r="AV891">
        <v>412</v>
      </c>
      <c r="AW891" t="s">
        <v>74</v>
      </c>
      <c r="AX891" t="s">
        <v>74</v>
      </c>
      <c r="AY891" t="s">
        <v>74</v>
      </c>
      <c r="AZ891" t="s">
        <v>74</v>
      </c>
      <c r="BA891" t="s">
        <v>74</v>
      </c>
      <c r="BB891">
        <v>249</v>
      </c>
      <c r="BC891">
        <v>260</v>
      </c>
      <c r="BD891" t="s">
        <v>74</v>
      </c>
      <c r="BE891" t="s">
        <v>16747</v>
      </c>
      <c r="BF891" t="str">
        <f>HYPERLINK("http://dx.doi.org/10.1016/j.palaeo.2014.08.007","http://dx.doi.org/10.1016/j.palaeo.2014.08.007")</f>
        <v>http://dx.doi.org/10.1016/j.palaeo.2014.08.007</v>
      </c>
      <c r="BG891" t="s">
        <v>74</v>
      </c>
      <c r="BH891" t="s">
        <v>74</v>
      </c>
      <c r="BI891">
        <v>12</v>
      </c>
      <c r="BJ891" t="s">
        <v>2918</v>
      </c>
      <c r="BK891" t="s">
        <v>91</v>
      </c>
      <c r="BL891" t="s">
        <v>2919</v>
      </c>
      <c r="BM891" t="s">
        <v>16748</v>
      </c>
      <c r="BN891" t="s">
        <v>74</v>
      </c>
      <c r="BO891" t="s">
        <v>74</v>
      </c>
      <c r="BP891" t="s">
        <v>74</v>
      </c>
      <c r="BQ891" t="s">
        <v>74</v>
      </c>
      <c r="BR891" t="s">
        <v>93</v>
      </c>
      <c r="BS891" t="s">
        <v>16749</v>
      </c>
      <c r="BT891" t="str">
        <f>HYPERLINK("https%3A%2F%2Fwww.webofscience.com%2Fwos%2Fwoscc%2Ffull-record%2FWOS:000342711800021","View Full Record in Web of Science")</f>
        <v>View Full Record in Web of Science</v>
      </c>
    </row>
    <row r="892" spans="1:72" x14ac:dyDescent="0.15">
      <c r="A892" t="s">
        <v>72</v>
      </c>
      <c r="B892" t="s">
        <v>16750</v>
      </c>
      <c r="C892" t="s">
        <v>74</v>
      </c>
      <c r="D892" t="s">
        <v>74</v>
      </c>
      <c r="E892" t="s">
        <v>74</v>
      </c>
      <c r="F892" t="s">
        <v>16751</v>
      </c>
      <c r="G892" t="s">
        <v>74</v>
      </c>
      <c r="H892" t="s">
        <v>74</v>
      </c>
      <c r="I892" t="s">
        <v>16752</v>
      </c>
      <c r="J892" t="s">
        <v>8584</v>
      </c>
      <c r="K892" t="s">
        <v>74</v>
      </c>
      <c r="L892" t="s">
        <v>74</v>
      </c>
      <c r="M892" t="s">
        <v>78</v>
      </c>
      <c r="N892" t="s">
        <v>454</v>
      </c>
      <c r="O892" t="s">
        <v>74</v>
      </c>
      <c r="P892" t="s">
        <v>74</v>
      </c>
      <c r="Q892" t="s">
        <v>74</v>
      </c>
      <c r="R892" t="s">
        <v>74</v>
      </c>
      <c r="S892" t="s">
        <v>74</v>
      </c>
      <c r="T892" t="s">
        <v>16753</v>
      </c>
      <c r="U892" t="s">
        <v>16754</v>
      </c>
      <c r="V892" t="s">
        <v>16755</v>
      </c>
      <c r="W892" t="s">
        <v>16756</v>
      </c>
      <c r="X892" t="s">
        <v>16757</v>
      </c>
      <c r="Y892" t="s">
        <v>16758</v>
      </c>
      <c r="Z892" t="s">
        <v>16759</v>
      </c>
      <c r="AA892" t="s">
        <v>16760</v>
      </c>
      <c r="AB892" t="s">
        <v>16761</v>
      </c>
      <c r="AC892" t="s">
        <v>74</v>
      </c>
      <c r="AD892" t="s">
        <v>74</v>
      </c>
      <c r="AE892" t="s">
        <v>74</v>
      </c>
      <c r="AF892" t="s">
        <v>74</v>
      </c>
      <c r="AG892">
        <v>95</v>
      </c>
      <c r="AH892">
        <v>258</v>
      </c>
      <c r="AI892">
        <v>291</v>
      </c>
      <c r="AJ892">
        <v>22</v>
      </c>
      <c r="AK892">
        <v>526</v>
      </c>
      <c r="AL892" t="s">
        <v>2640</v>
      </c>
      <c r="AM892" t="s">
        <v>1176</v>
      </c>
      <c r="AN892" t="s">
        <v>2641</v>
      </c>
      <c r="AO892" t="s">
        <v>8597</v>
      </c>
      <c r="AP892" t="s">
        <v>8598</v>
      </c>
      <c r="AQ892" t="s">
        <v>74</v>
      </c>
      <c r="AR892" t="s">
        <v>8599</v>
      </c>
      <c r="AS892" t="s">
        <v>8600</v>
      </c>
      <c r="AT892" t="s">
        <v>16638</v>
      </c>
      <c r="AU892">
        <v>2014</v>
      </c>
      <c r="AV892">
        <v>496</v>
      </c>
      <c r="AW892" t="s">
        <v>74</v>
      </c>
      <c r="AX892" t="s">
        <v>74</v>
      </c>
      <c r="AY892" t="s">
        <v>74</v>
      </c>
      <c r="AZ892" t="s">
        <v>74</v>
      </c>
      <c r="BA892" t="s">
        <v>74</v>
      </c>
      <c r="BB892">
        <v>551</v>
      </c>
      <c r="BC892">
        <v>562</v>
      </c>
      <c r="BD892" t="s">
        <v>74</v>
      </c>
      <c r="BE892" t="s">
        <v>16762</v>
      </c>
      <c r="BF892" t="str">
        <f>HYPERLINK("http://dx.doi.org/10.1016/j.scitotenv.2014.07.076","http://dx.doi.org/10.1016/j.scitotenv.2014.07.076")</f>
        <v>http://dx.doi.org/10.1016/j.scitotenv.2014.07.076</v>
      </c>
      <c r="BG892" t="s">
        <v>74</v>
      </c>
      <c r="BH892" t="s">
        <v>74</v>
      </c>
      <c r="BI892">
        <v>12</v>
      </c>
      <c r="BJ892" t="s">
        <v>1611</v>
      </c>
      <c r="BK892" t="s">
        <v>91</v>
      </c>
      <c r="BL892" t="s">
        <v>395</v>
      </c>
      <c r="BM892" t="s">
        <v>16763</v>
      </c>
      <c r="BN892">
        <v>25108796</v>
      </c>
      <c r="BO892" t="s">
        <v>74</v>
      </c>
      <c r="BP892" t="s">
        <v>74</v>
      </c>
      <c r="BQ892" t="s">
        <v>74</v>
      </c>
      <c r="BR892" t="s">
        <v>93</v>
      </c>
      <c r="BS892" t="s">
        <v>16764</v>
      </c>
      <c r="BT892" t="str">
        <f>HYPERLINK("https%3A%2F%2Fwww.webofscience.com%2Fwos%2Fwoscc%2Ffull-record%2FWOS:000342245600060","View Full Record in Web of Science")</f>
        <v>View Full Record in Web of Science</v>
      </c>
    </row>
    <row r="893" spans="1:72" x14ac:dyDescent="0.15">
      <c r="A893" t="s">
        <v>72</v>
      </c>
      <c r="B893" t="s">
        <v>16765</v>
      </c>
      <c r="C893" t="s">
        <v>74</v>
      </c>
      <c r="D893" t="s">
        <v>74</v>
      </c>
      <c r="E893" t="s">
        <v>74</v>
      </c>
      <c r="F893" t="s">
        <v>16766</v>
      </c>
      <c r="G893" t="s">
        <v>74</v>
      </c>
      <c r="H893" t="s">
        <v>74</v>
      </c>
      <c r="I893" t="s">
        <v>16767</v>
      </c>
      <c r="J893" t="s">
        <v>13211</v>
      </c>
      <c r="K893" t="s">
        <v>74</v>
      </c>
      <c r="L893" t="s">
        <v>74</v>
      </c>
      <c r="M893" t="s">
        <v>78</v>
      </c>
      <c r="N893" t="s">
        <v>99</v>
      </c>
      <c r="O893" t="s">
        <v>74</v>
      </c>
      <c r="P893" t="s">
        <v>74</v>
      </c>
      <c r="Q893" t="s">
        <v>74</v>
      </c>
      <c r="R893" t="s">
        <v>74</v>
      </c>
      <c r="S893" t="s">
        <v>74</v>
      </c>
      <c r="T893" t="s">
        <v>16768</v>
      </c>
      <c r="U893" t="s">
        <v>16769</v>
      </c>
      <c r="V893" t="s">
        <v>16770</v>
      </c>
      <c r="W893" t="s">
        <v>16771</v>
      </c>
      <c r="X893" t="s">
        <v>16772</v>
      </c>
      <c r="Y893" t="s">
        <v>16773</v>
      </c>
      <c r="Z893" t="s">
        <v>16774</v>
      </c>
      <c r="AA893" t="s">
        <v>16775</v>
      </c>
      <c r="AB893" t="s">
        <v>16776</v>
      </c>
      <c r="AC893" t="s">
        <v>16777</v>
      </c>
      <c r="AD893" t="s">
        <v>16777</v>
      </c>
      <c r="AE893" t="s">
        <v>16778</v>
      </c>
      <c r="AF893" t="s">
        <v>74</v>
      </c>
      <c r="AG893">
        <v>38</v>
      </c>
      <c r="AH893">
        <v>24</v>
      </c>
      <c r="AI893">
        <v>24</v>
      </c>
      <c r="AJ893">
        <v>0</v>
      </c>
      <c r="AK893">
        <v>37</v>
      </c>
      <c r="AL893" t="s">
        <v>1175</v>
      </c>
      <c r="AM893" t="s">
        <v>1176</v>
      </c>
      <c r="AN893" t="s">
        <v>2938</v>
      </c>
      <c r="AO893" t="s">
        <v>13224</v>
      </c>
      <c r="AP893" t="s">
        <v>13225</v>
      </c>
      <c r="AQ893" t="s">
        <v>74</v>
      </c>
      <c r="AR893" t="s">
        <v>13211</v>
      </c>
      <c r="AS893" t="s">
        <v>13226</v>
      </c>
      <c r="AT893" t="s">
        <v>16638</v>
      </c>
      <c r="AU893">
        <v>2014</v>
      </c>
      <c r="AV893">
        <v>223</v>
      </c>
      <c r="AW893" t="s">
        <v>74</v>
      </c>
      <c r="AX893" t="s">
        <v>74</v>
      </c>
      <c r="AY893" t="s">
        <v>74</v>
      </c>
      <c r="AZ893" t="s">
        <v>74</v>
      </c>
      <c r="BA893" t="s">
        <v>74</v>
      </c>
      <c r="BB893">
        <v>61</v>
      </c>
      <c r="BC893">
        <v>66</v>
      </c>
      <c r="BD893" t="s">
        <v>74</v>
      </c>
      <c r="BE893" t="s">
        <v>16779</v>
      </c>
      <c r="BF893" t="str">
        <f>HYPERLINK("http://dx.doi.org/10.1016/j.geomorph.2014.06.026","http://dx.doi.org/10.1016/j.geomorph.2014.06.026")</f>
        <v>http://dx.doi.org/10.1016/j.geomorph.2014.06.026</v>
      </c>
      <c r="BG893" t="s">
        <v>74</v>
      </c>
      <c r="BH893" t="s">
        <v>74</v>
      </c>
      <c r="BI893">
        <v>6</v>
      </c>
      <c r="BJ893" t="s">
        <v>372</v>
      </c>
      <c r="BK893" t="s">
        <v>91</v>
      </c>
      <c r="BL893" t="s">
        <v>373</v>
      </c>
      <c r="BM893" t="s">
        <v>16780</v>
      </c>
      <c r="BN893" t="s">
        <v>74</v>
      </c>
      <c r="BO893" t="s">
        <v>74</v>
      </c>
      <c r="BP893" t="s">
        <v>74</v>
      </c>
      <c r="BQ893" t="s">
        <v>74</v>
      </c>
      <c r="BR893" t="s">
        <v>93</v>
      </c>
      <c r="BS893" t="s">
        <v>16781</v>
      </c>
      <c r="BT893" t="str">
        <f>HYPERLINK("https%3A%2F%2Fwww.webofscience.com%2Fwos%2Fwoscc%2Ffull-record%2FWOS:000341480900007","View Full Record in Web of Science")</f>
        <v>View Full Record in Web of Science</v>
      </c>
    </row>
    <row r="894" spans="1:72" x14ac:dyDescent="0.15">
      <c r="A894" t="s">
        <v>72</v>
      </c>
      <c r="B894" t="s">
        <v>16782</v>
      </c>
      <c r="C894" t="s">
        <v>74</v>
      </c>
      <c r="D894" t="s">
        <v>74</v>
      </c>
      <c r="E894" t="s">
        <v>74</v>
      </c>
      <c r="F894" t="s">
        <v>16783</v>
      </c>
      <c r="G894" t="s">
        <v>74</v>
      </c>
      <c r="H894" t="s">
        <v>74</v>
      </c>
      <c r="I894" t="s">
        <v>16784</v>
      </c>
      <c r="J894" t="s">
        <v>9084</v>
      </c>
      <c r="K894" t="s">
        <v>74</v>
      </c>
      <c r="L894" t="s">
        <v>74</v>
      </c>
      <c r="M894" t="s">
        <v>78</v>
      </c>
      <c r="N894" t="s">
        <v>99</v>
      </c>
      <c r="O894" t="s">
        <v>74</v>
      </c>
      <c r="P894" t="s">
        <v>74</v>
      </c>
      <c r="Q894" t="s">
        <v>74</v>
      </c>
      <c r="R894" t="s">
        <v>74</v>
      </c>
      <c r="S894" t="s">
        <v>74</v>
      </c>
      <c r="T894" t="s">
        <v>74</v>
      </c>
      <c r="U894" t="s">
        <v>16785</v>
      </c>
      <c r="V894" t="s">
        <v>16786</v>
      </c>
      <c r="W894" t="s">
        <v>16787</v>
      </c>
      <c r="X894" t="s">
        <v>16788</v>
      </c>
      <c r="Y894" t="s">
        <v>16789</v>
      </c>
      <c r="Z894" t="s">
        <v>16790</v>
      </c>
      <c r="AA894" t="s">
        <v>16791</v>
      </c>
      <c r="AB894" t="s">
        <v>16792</v>
      </c>
      <c r="AC894" t="s">
        <v>16793</v>
      </c>
      <c r="AD894" t="s">
        <v>16794</v>
      </c>
      <c r="AE894" t="s">
        <v>16795</v>
      </c>
      <c r="AF894" t="s">
        <v>74</v>
      </c>
      <c r="AG894">
        <v>31</v>
      </c>
      <c r="AH894">
        <v>4</v>
      </c>
      <c r="AI894">
        <v>4</v>
      </c>
      <c r="AJ894">
        <v>0</v>
      </c>
      <c r="AK894">
        <v>23</v>
      </c>
      <c r="AL894" t="s">
        <v>9093</v>
      </c>
      <c r="AM894" t="s">
        <v>9094</v>
      </c>
      <c r="AN894" t="s">
        <v>9095</v>
      </c>
      <c r="AO894" t="s">
        <v>9096</v>
      </c>
      <c r="AP894" t="s">
        <v>74</v>
      </c>
      <c r="AQ894" t="s">
        <v>74</v>
      </c>
      <c r="AR894" t="s">
        <v>9084</v>
      </c>
      <c r="AS894" t="s">
        <v>9097</v>
      </c>
      <c r="AT894" t="s">
        <v>16796</v>
      </c>
      <c r="AU894">
        <v>2014</v>
      </c>
      <c r="AV894">
        <v>9</v>
      </c>
      <c r="AW894">
        <v>10</v>
      </c>
      <c r="AX894" t="s">
        <v>74</v>
      </c>
      <c r="AY894" t="s">
        <v>74</v>
      </c>
      <c r="AZ894" t="s">
        <v>74</v>
      </c>
      <c r="BA894" t="s">
        <v>74</v>
      </c>
      <c r="BB894" t="s">
        <v>74</v>
      </c>
      <c r="BC894" t="s">
        <v>74</v>
      </c>
      <c r="BD894" t="s">
        <v>16797</v>
      </c>
      <c r="BE894" t="s">
        <v>16798</v>
      </c>
      <c r="BF894" t="str">
        <f>HYPERLINK("http://dx.doi.org/10.1371/journal.pone.0110367","http://dx.doi.org/10.1371/journal.pone.0110367")</f>
        <v>http://dx.doi.org/10.1371/journal.pone.0110367</v>
      </c>
      <c r="BG894" t="s">
        <v>74</v>
      </c>
      <c r="BH894" t="s">
        <v>74</v>
      </c>
      <c r="BI894">
        <v>7</v>
      </c>
      <c r="BJ894" t="s">
        <v>201</v>
      </c>
      <c r="BK894" t="s">
        <v>91</v>
      </c>
      <c r="BL894" t="s">
        <v>203</v>
      </c>
      <c r="BM894" t="s">
        <v>16799</v>
      </c>
      <c r="BN894">
        <v>25310589</v>
      </c>
      <c r="BO894" t="s">
        <v>4229</v>
      </c>
      <c r="BP894" t="s">
        <v>74</v>
      </c>
      <c r="BQ894" t="s">
        <v>74</v>
      </c>
      <c r="BR894" t="s">
        <v>93</v>
      </c>
      <c r="BS894" t="s">
        <v>16800</v>
      </c>
      <c r="BT894" t="str">
        <f>HYPERLINK("https%3A%2F%2Fwww.webofscience.com%2Fwos%2Fwoscc%2Ffull-record%2FWOS:000343210300110","View Full Record in Web of Science")</f>
        <v>View Full Record in Web of Science</v>
      </c>
    </row>
    <row r="895" spans="1:72" x14ac:dyDescent="0.15">
      <c r="A895" t="s">
        <v>72</v>
      </c>
      <c r="B895" t="s">
        <v>16801</v>
      </c>
      <c r="C895" t="s">
        <v>74</v>
      </c>
      <c r="D895" t="s">
        <v>74</v>
      </c>
      <c r="E895" t="s">
        <v>74</v>
      </c>
      <c r="F895" t="s">
        <v>16802</v>
      </c>
      <c r="G895" t="s">
        <v>74</v>
      </c>
      <c r="H895" t="s">
        <v>74</v>
      </c>
      <c r="I895" t="s">
        <v>16803</v>
      </c>
      <c r="J895" t="s">
        <v>16804</v>
      </c>
      <c r="K895" t="s">
        <v>74</v>
      </c>
      <c r="L895" t="s">
        <v>74</v>
      </c>
      <c r="M895" t="s">
        <v>78</v>
      </c>
      <c r="N895" t="s">
        <v>99</v>
      </c>
      <c r="O895" t="s">
        <v>74</v>
      </c>
      <c r="P895" t="s">
        <v>74</v>
      </c>
      <c r="Q895" t="s">
        <v>74</v>
      </c>
      <c r="R895" t="s">
        <v>74</v>
      </c>
      <c r="S895" t="s">
        <v>74</v>
      </c>
      <c r="T895" t="s">
        <v>16805</v>
      </c>
      <c r="U895" t="s">
        <v>16806</v>
      </c>
      <c r="V895" t="s">
        <v>16807</v>
      </c>
      <c r="W895" t="s">
        <v>16808</v>
      </c>
      <c r="X895" t="s">
        <v>16809</v>
      </c>
      <c r="Y895" t="s">
        <v>16810</v>
      </c>
      <c r="Z895" t="s">
        <v>16811</v>
      </c>
      <c r="AA895" t="s">
        <v>16812</v>
      </c>
      <c r="AB895" t="s">
        <v>16813</v>
      </c>
      <c r="AC895" t="s">
        <v>16814</v>
      </c>
      <c r="AD895" t="s">
        <v>16815</v>
      </c>
      <c r="AE895" t="s">
        <v>16816</v>
      </c>
      <c r="AF895" t="s">
        <v>74</v>
      </c>
      <c r="AG895">
        <v>59</v>
      </c>
      <c r="AH895">
        <v>74</v>
      </c>
      <c r="AI895">
        <v>83</v>
      </c>
      <c r="AJ895">
        <v>4</v>
      </c>
      <c r="AK895">
        <v>99</v>
      </c>
      <c r="AL895" t="s">
        <v>1175</v>
      </c>
      <c r="AM895" t="s">
        <v>1176</v>
      </c>
      <c r="AN895" t="s">
        <v>2938</v>
      </c>
      <c r="AO895" t="s">
        <v>16817</v>
      </c>
      <c r="AP895" t="s">
        <v>16818</v>
      </c>
      <c r="AQ895" t="s">
        <v>74</v>
      </c>
      <c r="AR895" t="s">
        <v>16819</v>
      </c>
      <c r="AS895" t="s">
        <v>16820</v>
      </c>
      <c r="AT895" t="s">
        <v>16821</v>
      </c>
      <c r="AU895">
        <v>2014</v>
      </c>
      <c r="AV895">
        <v>187</v>
      </c>
      <c r="AW895" t="s">
        <v>74</v>
      </c>
      <c r="AX895" t="s">
        <v>74</v>
      </c>
      <c r="AY895" t="s">
        <v>74</v>
      </c>
      <c r="AZ895" t="s">
        <v>74</v>
      </c>
      <c r="BA895" t="s">
        <v>74</v>
      </c>
      <c r="BB895">
        <v>108</v>
      </c>
      <c r="BC895">
        <v>115</v>
      </c>
      <c r="BD895" t="s">
        <v>74</v>
      </c>
      <c r="BE895" t="s">
        <v>16822</v>
      </c>
      <c r="BF895" t="str">
        <f>HYPERLINK("http://dx.doi.org/10.1016/j.jbiotec.2014.07.017","http://dx.doi.org/10.1016/j.jbiotec.2014.07.017")</f>
        <v>http://dx.doi.org/10.1016/j.jbiotec.2014.07.017</v>
      </c>
      <c r="BG895" t="s">
        <v>74</v>
      </c>
      <c r="BH895" t="s">
        <v>74</v>
      </c>
      <c r="BI895">
        <v>8</v>
      </c>
      <c r="BJ895" t="s">
        <v>3202</v>
      </c>
      <c r="BK895" t="s">
        <v>91</v>
      </c>
      <c r="BL895" t="s">
        <v>3202</v>
      </c>
      <c r="BM895" t="s">
        <v>16823</v>
      </c>
      <c r="BN895">
        <v>25064158</v>
      </c>
      <c r="BO895" t="s">
        <v>74</v>
      </c>
      <c r="BP895" t="s">
        <v>74</v>
      </c>
      <c r="BQ895" t="s">
        <v>74</v>
      </c>
      <c r="BR895" t="s">
        <v>93</v>
      </c>
      <c r="BS895" t="s">
        <v>16824</v>
      </c>
      <c r="BT895" t="str">
        <f>HYPERLINK("https%3A%2F%2Fwww.webofscience.com%2Fwos%2Fwoscc%2Ffull-record%2FWOS:000343837000015","View Full Record in Web of Science")</f>
        <v>View Full Record in Web of Science</v>
      </c>
    </row>
    <row r="896" spans="1:72" x14ac:dyDescent="0.15">
      <c r="A896" t="s">
        <v>72</v>
      </c>
      <c r="B896" t="s">
        <v>16825</v>
      </c>
      <c r="C896" t="s">
        <v>74</v>
      </c>
      <c r="D896" t="s">
        <v>74</v>
      </c>
      <c r="E896" t="s">
        <v>74</v>
      </c>
      <c r="F896" t="s">
        <v>16826</v>
      </c>
      <c r="G896" t="s">
        <v>74</v>
      </c>
      <c r="H896" t="s">
        <v>74</v>
      </c>
      <c r="I896" t="s">
        <v>16827</v>
      </c>
      <c r="J896" t="s">
        <v>13476</v>
      </c>
      <c r="K896" t="s">
        <v>74</v>
      </c>
      <c r="L896" t="s">
        <v>74</v>
      </c>
      <c r="M896" t="s">
        <v>78</v>
      </c>
      <c r="N896" t="s">
        <v>99</v>
      </c>
      <c r="O896" t="s">
        <v>74</v>
      </c>
      <c r="P896" t="s">
        <v>74</v>
      </c>
      <c r="Q896" t="s">
        <v>74</v>
      </c>
      <c r="R896" t="s">
        <v>74</v>
      </c>
      <c r="S896" t="s">
        <v>74</v>
      </c>
      <c r="T896" t="s">
        <v>16828</v>
      </c>
      <c r="U896" t="s">
        <v>16829</v>
      </c>
      <c r="V896" t="s">
        <v>16830</v>
      </c>
      <c r="W896" t="s">
        <v>16831</v>
      </c>
      <c r="X896" t="s">
        <v>10261</v>
      </c>
      <c r="Y896" t="s">
        <v>16832</v>
      </c>
      <c r="Z896" t="s">
        <v>16833</v>
      </c>
      <c r="AA896" t="s">
        <v>74</v>
      </c>
      <c r="AB896" t="s">
        <v>74</v>
      </c>
      <c r="AC896" t="s">
        <v>16834</v>
      </c>
      <c r="AD896" t="s">
        <v>16834</v>
      </c>
      <c r="AE896" t="s">
        <v>16835</v>
      </c>
      <c r="AF896" t="s">
        <v>74</v>
      </c>
      <c r="AG896">
        <v>39</v>
      </c>
      <c r="AH896">
        <v>3</v>
      </c>
      <c r="AI896">
        <v>4</v>
      </c>
      <c r="AJ896">
        <v>1</v>
      </c>
      <c r="AK896">
        <v>12</v>
      </c>
      <c r="AL896" t="s">
        <v>13483</v>
      </c>
      <c r="AM896" t="s">
        <v>13484</v>
      </c>
      <c r="AN896" t="s">
        <v>13485</v>
      </c>
      <c r="AO896" t="s">
        <v>13486</v>
      </c>
      <c r="AP896" t="s">
        <v>74</v>
      </c>
      <c r="AQ896" t="s">
        <v>74</v>
      </c>
      <c r="AR896" t="s">
        <v>13487</v>
      </c>
      <c r="AS896" t="s">
        <v>13488</v>
      </c>
      <c r="AT896" t="s">
        <v>16821</v>
      </c>
      <c r="AU896">
        <v>2014</v>
      </c>
      <c r="AV896">
        <v>107</v>
      </c>
      <c r="AW896">
        <v>7</v>
      </c>
      <c r="AX896" t="s">
        <v>74</v>
      </c>
      <c r="AY896" t="s">
        <v>74</v>
      </c>
      <c r="AZ896" t="s">
        <v>74</v>
      </c>
      <c r="BA896" t="s">
        <v>74</v>
      </c>
      <c r="BB896">
        <v>1161</v>
      </c>
      <c r="BC896">
        <v>1167</v>
      </c>
      <c r="BD896" t="s">
        <v>74</v>
      </c>
      <c r="BE896" t="s">
        <v>74</v>
      </c>
      <c r="BF896" t="s">
        <v>74</v>
      </c>
      <c r="BG896" t="s">
        <v>74</v>
      </c>
      <c r="BH896" t="s">
        <v>74</v>
      </c>
      <c r="BI896">
        <v>7</v>
      </c>
      <c r="BJ896" t="s">
        <v>201</v>
      </c>
      <c r="BK896" t="s">
        <v>91</v>
      </c>
      <c r="BL896" t="s">
        <v>203</v>
      </c>
      <c r="BM896" t="s">
        <v>16836</v>
      </c>
      <c r="BN896" t="s">
        <v>74</v>
      </c>
      <c r="BO896" t="s">
        <v>74</v>
      </c>
      <c r="BP896" t="s">
        <v>74</v>
      </c>
      <c r="BQ896" t="s">
        <v>74</v>
      </c>
      <c r="BR896" t="s">
        <v>93</v>
      </c>
      <c r="BS896" t="s">
        <v>16837</v>
      </c>
      <c r="BT896" t="str">
        <f>HYPERLINK("https%3A%2F%2Fwww.webofscience.com%2Fwos%2Fwoscc%2Ffull-record%2FWOS:000343965800025","View Full Record in Web of Science")</f>
        <v>View Full Record in Web of Science</v>
      </c>
    </row>
    <row r="897" spans="1:72" x14ac:dyDescent="0.15">
      <c r="A897" t="s">
        <v>72</v>
      </c>
      <c r="B897" t="s">
        <v>16838</v>
      </c>
      <c r="C897" t="s">
        <v>74</v>
      </c>
      <c r="D897" t="s">
        <v>74</v>
      </c>
      <c r="E897" t="s">
        <v>74</v>
      </c>
      <c r="F897" t="s">
        <v>16839</v>
      </c>
      <c r="G897" t="s">
        <v>74</v>
      </c>
      <c r="H897" t="s">
        <v>74</v>
      </c>
      <c r="I897" t="s">
        <v>16840</v>
      </c>
      <c r="J897" t="s">
        <v>12837</v>
      </c>
      <c r="K897" t="s">
        <v>74</v>
      </c>
      <c r="L897" t="s">
        <v>74</v>
      </c>
      <c r="M897" t="s">
        <v>78</v>
      </c>
      <c r="N897" t="s">
        <v>99</v>
      </c>
      <c r="O897" t="s">
        <v>74</v>
      </c>
      <c r="P897" t="s">
        <v>74</v>
      </c>
      <c r="Q897" t="s">
        <v>74</v>
      </c>
      <c r="R897" t="s">
        <v>74</v>
      </c>
      <c r="S897" t="s">
        <v>74</v>
      </c>
      <c r="T897" t="s">
        <v>74</v>
      </c>
      <c r="U897" t="s">
        <v>16841</v>
      </c>
      <c r="V897" t="s">
        <v>16842</v>
      </c>
      <c r="W897" t="s">
        <v>16843</v>
      </c>
      <c r="X897" t="s">
        <v>16844</v>
      </c>
      <c r="Y897" t="s">
        <v>16845</v>
      </c>
      <c r="Z897" t="s">
        <v>16846</v>
      </c>
      <c r="AA897" t="s">
        <v>16847</v>
      </c>
      <c r="AB897" t="s">
        <v>16848</v>
      </c>
      <c r="AC897" t="s">
        <v>16849</v>
      </c>
      <c r="AD897" t="s">
        <v>16850</v>
      </c>
      <c r="AE897" t="s">
        <v>16851</v>
      </c>
      <c r="AF897" t="s">
        <v>74</v>
      </c>
      <c r="AG897">
        <v>62</v>
      </c>
      <c r="AH897">
        <v>29</v>
      </c>
      <c r="AI897">
        <v>31</v>
      </c>
      <c r="AJ897">
        <v>1</v>
      </c>
      <c r="AK897">
        <v>57</v>
      </c>
      <c r="AL897" t="s">
        <v>12848</v>
      </c>
      <c r="AM897" t="s">
        <v>1946</v>
      </c>
      <c r="AN897" t="s">
        <v>12849</v>
      </c>
      <c r="AO897" t="s">
        <v>12850</v>
      </c>
      <c r="AP897" t="s">
        <v>16852</v>
      </c>
      <c r="AQ897" t="s">
        <v>74</v>
      </c>
      <c r="AR897" t="s">
        <v>12851</v>
      </c>
      <c r="AS897" t="s">
        <v>12852</v>
      </c>
      <c r="AT897" t="s">
        <v>16853</v>
      </c>
      <c r="AU897">
        <v>2014</v>
      </c>
      <c r="AV897">
        <v>118</v>
      </c>
      <c r="AW897">
        <v>40</v>
      </c>
      <c r="AX897" t="s">
        <v>74</v>
      </c>
      <c r="AY897" t="s">
        <v>74</v>
      </c>
      <c r="AZ897" t="s">
        <v>74</v>
      </c>
      <c r="BA897" t="s">
        <v>74</v>
      </c>
      <c r="BB897">
        <v>11613</v>
      </c>
      <c r="BC897">
        <v>11621</v>
      </c>
      <c r="BD897" t="s">
        <v>74</v>
      </c>
      <c r="BE897" t="s">
        <v>16854</v>
      </c>
      <c r="BF897" t="str">
        <f>HYPERLINK("http://dx.doi.org/10.1021/jp507062r","http://dx.doi.org/10.1021/jp507062r")</f>
        <v>http://dx.doi.org/10.1021/jp507062r</v>
      </c>
      <c r="BG897" t="s">
        <v>74</v>
      </c>
      <c r="BH897" t="s">
        <v>74</v>
      </c>
      <c r="BI897">
        <v>9</v>
      </c>
      <c r="BJ897" t="s">
        <v>12854</v>
      </c>
      <c r="BK897" t="s">
        <v>91</v>
      </c>
      <c r="BL897" t="s">
        <v>181</v>
      </c>
      <c r="BM897" t="s">
        <v>16855</v>
      </c>
      <c r="BN897">
        <v>25207443</v>
      </c>
      <c r="BO897" t="s">
        <v>74</v>
      </c>
      <c r="BP897" t="s">
        <v>74</v>
      </c>
      <c r="BQ897" t="s">
        <v>74</v>
      </c>
      <c r="BR897" t="s">
        <v>93</v>
      </c>
      <c r="BS897" t="s">
        <v>16856</v>
      </c>
      <c r="BT897" t="str">
        <f>HYPERLINK("https%3A%2F%2Fwww.webofscience.com%2Fwos%2Fwoscc%2Ffull-record%2FWOS:000343016000003","View Full Record in Web of Science")</f>
        <v>View Full Record in Web of Science</v>
      </c>
    </row>
    <row r="898" spans="1:72" x14ac:dyDescent="0.15">
      <c r="A898" t="s">
        <v>72</v>
      </c>
      <c r="B898" t="s">
        <v>16857</v>
      </c>
      <c r="C898" t="s">
        <v>74</v>
      </c>
      <c r="D898" t="s">
        <v>74</v>
      </c>
      <c r="E898" t="s">
        <v>74</v>
      </c>
      <c r="F898" t="s">
        <v>16858</v>
      </c>
      <c r="G898" t="s">
        <v>74</v>
      </c>
      <c r="H898" t="s">
        <v>74</v>
      </c>
      <c r="I898" t="s">
        <v>16859</v>
      </c>
      <c r="J898" t="s">
        <v>12837</v>
      </c>
      <c r="K898" t="s">
        <v>74</v>
      </c>
      <c r="L898" t="s">
        <v>74</v>
      </c>
      <c r="M898" t="s">
        <v>78</v>
      </c>
      <c r="N898" t="s">
        <v>99</v>
      </c>
      <c r="O898" t="s">
        <v>74</v>
      </c>
      <c r="P898" t="s">
        <v>74</v>
      </c>
      <c r="Q898" t="s">
        <v>74</v>
      </c>
      <c r="R898" t="s">
        <v>74</v>
      </c>
      <c r="S898" t="s">
        <v>74</v>
      </c>
      <c r="T898" t="s">
        <v>74</v>
      </c>
      <c r="U898" t="s">
        <v>16860</v>
      </c>
      <c r="V898" t="s">
        <v>16861</v>
      </c>
      <c r="W898" t="s">
        <v>16862</v>
      </c>
      <c r="X898" t="s">
        <v>16863</v>
      </c>
      <c r="Y898" t="s">
        <v>16864</v>
      </c>
      <c r="Z898" t="s">
        <v>16865</v>
      </c>
      <c r="AA898" t="s">
        <v>16866</v>
      </c>
      <c r="AB898" t="s">
        <v>16867</v>
      </c>
      <c r="AC898" t="s">
        <v>16868</v>
      </c>
      <c r="AD898" t="s">
        <v>16869</v>
      </c>
      <c r="AE898" t="s">
        <v>16870</v>
      </c>
      <c r="AF898" t="s">
        <v>74</v>
      </c>
      <c r="AG898">
        <v>52</v>
      </c>
      <c r="AH898">
        <v>33</v>
      </c>
      <c r="AI898">
        <v>35</v>
      </c>
      <c r="AJ898">
        <v>1</v>
      </c>
      <c r="AK898">
        <v>76</v>
      </c>
      <c r="AL898" t="s">
        <v>12848</v>
      </c>
      <c r="AM898" t="s">
        <v>1946</v>
      </c>
      <c r="AN898" t="s">
        <v>12849</v>
      </c>
      <c r="AO898" t="s">
        <v>12850</v>
      </c>
      <c r="AP898" t="s">
        <v>16852</v>
      </c>
      <c r="AQ898" t="s">
        <v>74</v>
      </c>
      <c r="AR898" t="s">
        <v>12851</v>
      </c>
      <c r="AS898" t="s">
        <v>12852</v>
      </c>
      <c r="AT898" t="s">
        <v>16853</v>
      </c>
      <c r="AU898">
        <v>2014</v>
      </c>
      <c r="AV898">
        <v>118</v>
      </c>
      <c r="AW898">
        <v>40</v>
      </c>
      <c r="AX898" t="s">
        <v>74</v>
      </c>
      <c r="AY898" t="s">
        <v>74</v>
      </c>
      <c r="AZ898" t="s">
        <v>74</v>
      </c>
      <c r="BA898" t="s">
        <v>74</v>
      </c>
      <c r="BB898">
        <v>11696</v>
      </c>
      <c r="BC898">
        <v>11706</v>
      </c>
      <c r="BD898" t="s">
        <v>74</v>
      </c>
      <c r="BE898" t="s">
        <v>16871</v>
      </c>
      <c r="BF898" t="str">
        <f>HYPERLINK("http://dx.doi.org/10.1021/jp508128d","http://dx.doi.org/10.1021/jp508128d")</f>
        <v>http://dx.doi.org/10.1021/jp508128d</v>
      </c>
      <c r="BG898" t="s">
        <v>74</v>
      </c>
      <c r="BH898" t="s">
        <v>74</v>
      </c>
      <c r="BI898">
        <v>11</v>
      </c>
      <c r="BJ898" t="s">
        <v>12854</v>
      </c>
      <c r="BK898" t="s">
        <v>91</v>
      </c>
      <c r="BL898" t="s">
        <v>181</v>
      </c>
      <c r="BM898" t="s">
        <v>16855</v>
      </c>
      <c r="BN898">
        <v>25137353</v>
      </c>
      <c r="BO898" t="s">
        <v>2744</v>
      </c>
      <c r="BP898" t="s">
        <v>74</v>
      </c>
      <c r="BQ898" t="s">
        <v>74</v>
      </c>
      <c r="BR898" t="s">
        <v>93</v>
      </c>
      <c r="BS898" t="s">
        <v>16872</v>
      </c>
      <c r="BT898" t="str">
        <f>HYPERLINK("https%3A%2F%2Fwww.webofscience.com%2Fwos%2Fwoscc%2Ffull-record%2FWOS:000343016000011","View Full Record in Web of Science")</f>
        <v>View Full Record in Web of Science</v>
      </c>
    </row>
    <row r="899" spans="1:72" x14ac:dyDescent="0.15">
      <c r="A899" t="s">
        <v>72</v>
      </c>
      <c r="B899" t="s">
        <v>16873</v>
      </c>
      <c r="C899" t="s">
        <v>74</v>
      </c>
      <c r="D899" t="s">
        <v>74</v>
      </c>
      <c r="E899" t="s">
        <v>74</v>
      </c>
      <c r="F899" t="s">
        <v>16874</v>
      </c>
      <c r="G899" t="s">
        <v>74</v>
      </c>
      <c r="H899" t="s">
        <v>74</v>
      </c>
      <c r="I899" t="s">
        <v>16875</v>
      </c>
      <c r="J899" t="s">
        <v>9084</v>
      </c>
      <c r="K899" t="s">
        <v>74</v>
      </c>
      <c r="L899" t="s">
        <v>74</v>
      </c>
      <c r="M899" t="s">
        <v>78</v>
      </c>
      <c r="N899" t="s">
        <v>99</v>
      </c>
      <c r="O899" t="s">
        <v>74</v>
      </c>
      <c r="P899" t="s">
        <v>74</v>
      </c>
      <c r="Q899" t="s">
        <v>74</v>
      </c>
      <c r="R899" t="s">
        <v>74</v>
      </c>
      <c r="S899" t="s">
        <v>74</v>
      </c>
      <c r="T899" t="s">
        <v>74</v>
      </c>
      <c r="U899" t="s">
        <v>16876</v>
      </c>
      <c r="V899" t="s">
        <v>16877</v>
      </c>
      <c r="W899" t="s">
        <v>16878</v>
      </c>
      <c r="X899" t="s">
        <v>16879</v>
      </c>
      <c r="Y899" t="s">
        <v>16880</v>
      </c>
      <c r="Z899" t="s">
        <v>16881</v>
      </c>
      <c r="AA899" t="s">
        <v>16882</v>
      </c>
      <c r="AB899" t="s">
        <v>16883</v>
      </c>
      <c r="AC899" t="s">
        <v>16884</v>
      </c>
      <c r="AD899" t="s">
        <v>16884</v>
      </c>
      <c r="AE899" t="s">
        <v>16885</v>
      </c>
      <c r="AF899" t="s">
        <v>74</v>
      </c>
      <c r="AG899">
        <v>30</v>
      </c>
      <c r="AH899">
        <v>18</v>
      </c>
      <c r="AI899">
        <v>19</v>
      </c>
      <c r="AJ899">
        <v>0</v>
      </c>
      <c r="AK899">
        <v>21</v>
      </c>
      <c r="AL899" t="s">
        <v>9093</v>
      </c>
      <c r="AM899" t="s">
        <v>9094</v>
      </c>
      <c r="AN899" t="s">
        <v>9095</v>
      </c>
      <c r="AO899" t="s">
        <v>9096</v>
      </c>
      <c r="AP899" t="s">
        <v>74</v>
      </c>
      <c r="AQ899" t="s">
        <v>74</v>
      </c>
      <c r="AR899" t="s">
        <v>9084</v>
      </c>
      <c r="AS899" t="s">
        <v>9097</v>
      </c>
      <c r="AT899" t="s">
        <v>16886</v>
      </c>
      <c r="AU899">
        <v>2014</v>
      </c>
      <c r="AV899">
        <v>9</v>
      </c>
      <c r="AW899">
        <v>10</v>
      </c>
      <c r="AX899" t="s">
        <v>74</v>
      </c>
      <c r="AY899" t="s">
        <v>74</v>
      </c>
      <c r="AZ899" t="s">
        <v>74</v>
      </c>
      <c r="BA899" t="s">
        <v>74</v>
      </c>
      <c r="BB899" t="s">
        <v>74</v>
      </c>
      <c r="BC899" t="s">
        <v>74</v>
      </c>
      <c r="BD899" t="s">
        <v>16887</v>
      </c>
      <c r="BE899" t="s">
        <v>16888</v>
      </c>
      <c r="BF899" t="str">
        <f>HYPERLINK("http://dx.doi.org/10.1371/journal.pone.0109908","http://dx.doi.org/10.1371/journal.pone.0109908")</f>
        <v>http://dx.doi.org/10.1371/journal.pone.0109908</v>
      </c>
      <c r="BG899" t="s">
        <v>74</v>
      </c>
      <c r="BH899" t="s">
        <v>74</v>
      </c>
      <c r="BI899">
        <v>6</v>
      </c>
      <c r="BJ899" t="s">
        <v>201</v>
      </c>
      <c r="BK899" t="s">
        <v>91</v>
      </c>
      <c r="BL899" t="s">
        <v>203</v>
      </c>
      <c r="BM899" t="s">
        <v>16889</v>
      </c>
      <c r="BN899">
        <v>25296285</v>
      </c>
      <c r="BO899" t="s">
        <v>159</v>
      </c>
      <c r="BP899" t="s">
        <v>74</v>
      </c>
      <c r="BQ899" t="s">
        <v>74</v>
      </c>
      <c r="BR899" t="s">
        <v>93</v>
      </c>
      <c r="BS899" t="s">
        <v>16890</v>
      </c>
      <c r="BT899" t="str">
        <f>HYPERLINK("https%3A%2F%2Fwww.webofscience.com%2Fwos%2Fwoscc%2Ffull-record%2FWOS:000345204000102","View Full Record in Web of Science")</f>
        <v>View Full Record in Web of Science</v>
      </c>
    </row>
    <row r="900" spans="1:72" x14ac:dyDescent="0.15">
      <c r="A900" t="s">
        <v>72</v>
      </c>
      <c r="B900" t="s">
        <v>16891</v>
      </c>
      <c r="C900" t="s">
        <v>74</v>
      </c>
      <c r="D900" t="s">
        <v>74</v>
      </c>
      <c r="E900" t="s">
        <v>74</v>
      </c>
      <c r="F900" t="s">
        <v>16892</v>
      </c>
      <c r="G900" t="s">
        <v>74</v>
      </c>
      <c r="H900" t="s">
        <v>74</v>
      </c>
      <c r="I900" t="s">
        <v>16893</v>
      </c>
      <c r="J900" t="s">
        <v>9013</v>
      </c>
      <c r="K900" t="s">
        <v>74</v>
      </c>
      <c r="L900" t="s">
        <v>74</v>
      </c>
      <c r="M900" t="s">
        <v>78</v>
      </c>
      <c r="N900" t="s">
        <v>99</v>
      </c>
      <c r="O900" t="s">
        <v>74</v>
      </c>
      <c r="P900" t="s">
        <v>74</v>
      </c>
      <c r="Q900" t="s">
        <v>74</v>
      </c>
      <c r="R900" t="s">
        <v>74</v>
      </c>
      <c r="S900" t="s">
        <v>74</v>
      </c>
      <c r="T900" t="s">
        <v>16894</v>
      </c>
      <c r="U900" t="s">
        <v>16895</v>
      </c>
      <c r="V900" t="s">
        <v>16896</v>
      </c>
      <c r="W900" t="s">
        <v>16897</v>
      </c>
      <c r="X900" t="s">
        <v>16898</v>
      </c>
      <c r="Y900" t="s">
        <v>16899</v>
      </c>
      <c r="Z900" t="s">
        <v>16900</v>
      </c>
      <c r="AA900" t="s">
        <v>16901</v>
      </c>
      <c r="AB900" t="s">
        <v>16902</v>
      </c>
      <c r="AC900" t="s">
        <v>16903</v>
      </c>
      <c r="AD900" t="s">
        <v>16904</v>
      </c>
      <c r="AE900" t="s">
        <v>16905</v>
      </c>
      <c r="AF900" t="s">
        <v>74</v>
      </c>
      <c r="AG900">
        <v>31</v>
      </c>
      <c r="AH900">
        <v>47</v>
      </c>
      <c r="AI900">
        <v>55</v>
      </c>
      <c r="AJ900">
        <v>2</v>
      </c>
      <c r="AK900">
        <v>110</v>
      </c>
      <c r="AL900" t="s">
        <v>9025</v>
      </c>
      <c r="AM900" t="s">
        <v>1946</v>
      </c>
      <c r="AN900" t="s">
        <v>9026</v>
      </c>
      <c r="AO900" t="s">
        <v>9027</v>
      </c>
      <c r="AP900" t="s">
        <v>74</v>
      </c>
      <c r="AQ900" t="s">
        <v>74</v>
      </c>
      <c r="AR900" t="s">
        <v>9029</v>
      </c>
      <c r="AS900" t="s">
        <v>9030</v>
      </c>
      <c r="AT900" t="s">
        <v>16906</v>
      </c>
      <c r="AU900">
        <v>2014</v>
      </c>
      <c r="AV900">
        <v>111</v>
      </c>
      <c r="AW900">
        <v>40</v>
      </c>
      <c r="AX900" t="s">
        <v>74</v>
      </c>
      <c r="AY900" t="s">
        <v>74</v>
      </c>
      <c r="AZ900" t="s">
        <v>74</v>
      </c>
      <c r="BA900" t="s">
        <v>74</v>
      </c>
      <c r="BB900">
        <v>14583</v>
      </c>
      <c r="BC900">
        <v>14588</v>
      </c>
      <c r="BD900" t="s">
        <v>74</v>
      </c>
      <c r="BE900" t="s">
        <v>16907</v>
      </c>
      <c r="BF900" t="str">
        <f>HYPERLINK("http://dx.doi.org/10.1073/pnas.1410256111","http://dx.doi.org/10.1073/pnas.1410256111")</f>
        <v>http://dx.doi.org/10.1073/pnas.1410256111</v>
      </c>
      <c r="BG900" t="s">
        <v>74</v>
      </c>
      <c r="BH900" t="s">
        <v>74</v>
      </c>
      <c r="BI900">
        <v>6</v>
      </c>
      <c r="BJ900" t="s">
        <v>201</v>
      </c>
      <c r="BK900" t="s">
        <v>91</v>
      </c>
      <c r="BL900" t="s">
        <v>203</v>
      </c>
      <c r="BM900" t="s">
        <v>16908</v>
      </c>
      <c r="BN900">
        <v>25246548</v>
      </c>
      <c r="BO900" t="s">
        <v>2081</v>
      </c>
      <c r="BP900" t="s">
        <v>74</v>
      </c>
      <c r="BQ900" t="s">
        <v>74</v>
      </c>
      <c r="BR900" t="s">
        <v>93</v>
      </c>
      <c r="BS900" t="s">
        <v>16909</v>
      </c>
      <c r="BT900" t="str">
        <f>HYPERLINK("https%3A%2F%2Fwww.webofscience.com%2Fwos%2Fwoscc%2Ffull-record%2FWOS:000342633900067","View Full Record in Web of Science")</f>
        <v>View Full Record in Web of Science</v>
      </c>
    </row>
    <row r="901" spans="1:72" x14ac:dyDescent="0.15">
      <c r="A901" t="s">
        <v>72</v>
      </c>
      <c r="B901" t="s">
        <v>16910</v>
      </c>
      <c r="C901" t="s">
        <v>74</v>
      </c>
      <c r="D901" t="s">
        <v>74</v>
      </c>
      <c r="E901" t="s">
        <v>74</v>
      </c>
      <c r="F901" t="s">
        <v>16911</v>
      </c>
      <c r="G901" t="s">
        <v>74</v>
      </c>
      <c r="H901" t="s">
        <v>74</v>
      </c>
      <c r="I901" t="s">
        <v>16912</v>
      </c>
      <c r="J901" t="s">
        <v>16713</v>
      </c>
      <c r="K901" t="s">
        <v>74</v>
      </c>
      <c r="L901" t="s">
        <v>74</v>
      </c>
      <c r="M901" t="s">
        <v>78</v>
      </c>
      <c r="N901" t="s">
        <v>99</v>
      </c>
      <c r="O901" t="s">
        <v>74</v>
      </c>
      <c r="P901" t="s">
        <v>74</v>
      </c>
      <c r="Q901" t="s">
        <v>74</v>
      </c>
      <c r="R901" t="s">
        <v>74</v>
      </c>
      <c r="S901" t="s">
        <v>74</v>
      </c>
      <c r="T901" t="s">
        <v>16913</v>
      </c>
      <c r="U901" t="s">
        <v>16914</v>
      </c>
      <c r="V901" t="s">
        <v>16915</v>
      </c>
      <c r="W901" t="s">
        <v>16916</v>
      </c>
      <c r="X901" t="s">
        <v>16917</v>
      </c>
      <c r="Y901" t="s">
        <v>16918</v>
      </c>
      <c r="Z901" t="s">
        <v>16919</v>
      </c>
      <c r="AA901" t="s">
        <v>16920</v>
      </c>
      <c r="AB901" t="s">
        <v>16921</v>
      </c>
      <c r="AC901" t="s">
        <v>74</v>
      </c>
      <c r="AD901" t="s">
        <v>74</v>
      </c>
      <c r="AE901" t="s">
        <v>74</v>
      </c>
      <c r="AF901" t="s">
        <v>74</v>
      </c>
      <c r="AG901">
        <v>109</v>
      </c>
      <c r="AH901">
        <v>3</v>
      </c>
      <c r="AI901">
        <v>4</v>
      </c>
      <c r="AJ901">
        <v>0</v>
      </c>
      <c r="AK901">
        <v>3</v>
      </c>
      <c r="AL901" t="s">
        <v>8800</v>
      </c>
      <c r="AM901" t="s">
        <v>8801</v>
      </c>
      <c r="AN901" t="s">
        <v>13578</v>
      </c>
      <c r="AO901" t="s">
        <v>16726</v>
      </c>
      <c r="AP901" t="s">
        <v>16727</v>
      </c>
      <c r="AQ901" t="s">
        <v>74</v>
      </c>
      <c r="AR901" t="s">
        <v>16713</v>
      </c>
      <c r="AS901" t="s">
        <v>16728</v>
      </c>
      <c r="AT901" t="s">
        <v>16906</v>
      </c>
      <c r="AU901">
        <v>2014</v>
      </c>
      <c r="AV901">
        <v>3872</v>
      </c>
      <c r="AW901">
        <v>1</v>
      </c>
      <c r="AX901" t="s">
        <v>74</v>
      </c>
      <c r="AY901" t="s">
        <v>74</v>
      </c>
      <c r="AZ901" t="s">
        <v>74</v>
      </c>
      <c r="BA901" t="s">
        <v>74</v>
      </c>
      <c r="BB901">
        <v>1</v>
      </c>
      <c r="BC901">
        <v>21</v>
      </c>
      <c r="BD901" t="s">
        <v>74</v>
      </c>
      <c r="BE901" t="s">
        <v>74</v>
      </c>
      <c r="BF901" t="s">
        <v>74</v>
      </c>
      <c r="BG901" t="s">
        <v>74</v>
      </c>
      <c r="BH901" t="s">
        <v>74</v>
      </c>
      <c r="BI901">
        <v>21</v>
      </c>
      <c r="BJ901" t="s">
        <v>423</v>
      </c>
      <c r="BK901" t="s">
        <v>91</v>
      </c>
      <c r="BL901" t="s">
        <v>423</v>
      </c>
      <c r="BM901" t="s">
        <v>16922</v>
      </c>
      <c r="BN901">
        <v>25544067</v>
      </c>
      <c r="BO901" t="s">
        <v>375</v>
      </c>
      <c r="BP901" t="s">
        <v>74</v>
      </c>
      <c r="BQ901" t="s">
        <v>74</v>
      </c>
      <c r="BR901" t="s">
        <v>93</v>
      </c>
      <c r="BS901" t="s">
        <v>16923</v>
      </c>
      <c r="BT901" t="str">
        <f>HYPERLINK("https%3A%2F%2Fwww.webofscience.com%2Fwos%2Fwoscc%2Ffull-record%2FWOS:000342564200001","View Full Record in Web of Science")</f>
        <v>View Full Record in Web of Science</v>
      </c>
    </row>
    <row r="902" spans="1:72" x14ac:dyDescent="0.15">
      <c r="A902" t="s">
        <v>72</v>
      </c>
      <c r="B902" t="s">
        <v>16924</v>
      </c>
      <c r="C902" t="s">
        <v>74</v>
      </c>
      <c r="D902" t="s">
        <v>74</v>
      </c>
      <c r="E902" t="s">
        <v>74</v>
      </c>
      <c r="F902" t="s">
        <v>16925</v>
      </c>
      <c r="G902" t="s">
        <v>74</v>
      </c>
      <c r="H902" t="s">
        <v>74</v>
      </c>
      <c r="I902" t="s">
        <v>16926</v>
      </c>
      <c r="J902" t="s">
        <v>9084</v>
      </c>
      <c r="K902" t="s">
        <v>74</v>
      </c>
      <c r="L902" t="s">
        <v>74</v>
      </c>
      <c r="M902" t="s">
        <v>78</v>
      </c>
      <c r="N902" t="s">
        <v>99</v>
      </c>
      <c r="O902" t="s">
        <v>74</v>
      </c>
      <c r="P902" t="s">
        <v>74</v>
      </c>
      <c r="Q902" t="s">
        <v>74</v>
      </c>
      <c r="R902" t="s">
        <v>74</v>
      </c>
      <c r="S902" t="s">
        <v>74</v>
      </c>
      <c r="T902" t="s">
        <v>74</v>
      </c>
      <c r="U902" t="s">
        <v>16927</v>
      </c>
      <c r="V902" t="s">
        <v>16928</v>
      </c>
      <c r="W902" t="s">
        <v>16929</v>
      </c>
      <c r="X902" t="s">
        <v>16930</v>
      </c>
      <c r="Y902" t="s">
        <v>16931</v>
      </c>
      <c r="Z902" t="s">
        <v>16932</v>
      </c>
      <c r="AA902" t="s">
        <v>16933</v>
      </c>
      <c r="AB902" t="s">
        <v>16934</v>
      </c>
      <c r="AC902" t="s">
        <v>16935</v>
      </c>
      <c r="AD902" t="s">
        <v>16936</v>
      </c>
      <c r="AE902" t="s">
        <v>16937</v>
      </c>
      <c r="AF902" t="s">
        <v>74</v>
      </c>
      <c r="AG902">
        <v>57</v>
      </c>
      <c r="AH902">
        <v>78</v>
      </c>
      <c r="AI902">
        <v>87</v>
      </c>
      <c r="AJ902">
        <v>3</v>
      </c>
      <c r="AK902">
        <v>60</v>
      </c>
      <c r="AL902" t="s">
        <v>9093</v>
      </c>
      <c r="AM902" t="s">
        <v>9094</v>
      </c>
      <c r="AN902" t="s">
        <v>9095</v>
      </c>
      <c r="AO902" t="s">
        <v>9096</v>
      </c>
      <c r="AP902" t="s">
        <v>74</v>
      </c>
      <c r="AQ902" t="s">
        <v>74</v>
      </c>
      <c r="AR902" t="s">
        <v>9084</v>
      </c>
      <c r="AS902" t="s">
        <v>9097</v>
      </c>
      <c r="AT902" t="s">
        <v>16938</v>
      </c>
      <c r="AU902">
        <v>2014</v>
      </c>
      <c r="AV902">
        <v>9</v>
      </c>
      <c r="AW902">
        <v>10</v>
      </c>
      <c r="AX902" t="s">
        <v>74</v>
      </c>
      <c r="AY902" t="s">
        <v>74</v>
      </c>
      <c r="AZ902" t="s">
        <v>74</v>
      </c>
      <c r="BA902" t="s">
        <v>74</v>
      </c>
      <c r="BB902" t="s">
        <v>74</v>
      </c>
      <c r="BC902" t="s">
        <v>74</v>
      </c>
      <c r="BD902" t="s">
        <v>16939</v>
      </c>
      <c r="BE902" t="s">
        <v>16940</v>
      </c>
      <c r="BF902" t="str">
        <f>HYPERLINK("http://dx.doi.org/10.1371/journal.pone.0109183","http://dx.doi.org/10.1371/journal.pone.0109183")</f>
        <v>http://dx.doi.org/10.1371/journal.pone.0109183</v>
      </c>
      <c r="BG902" t="s">
        <v>74</v>
      </c>
      <c r="BH902" t="s">
        <v>74</v>
      </c>
      <c r="BI902">
        <v>14</v>
      </c>
      <c r="BJ902" t="s">
        <v>201</v>
      </c>
      <c r="BK902" t="s">
        <v>91</v>
      </c>
      <c r="BL902" t="s">
        <v>203</v>
      </c>
      <c r="BM902" t="s">
        <v>16941</v>
      </c>
      <c r="BN902">
        <v>25285916</v>
      </c>
      <c r="BO902" t="s">
        <v>16942</v>
      </c>
      <c r="BP902" t="s">
        <v>74</v>
      </c>
      <c r="BQ902" t="s">
        <v>74</v>
      </c>
      <c r="BR902" t="s">
        <v>93</v>
      </c>
      <c r="BS902" t="s">
        <v>16943</v>
      </c>
      <c r="BT902" t="str">
        <f>HYPERLINK("https%3A%2F%2Fwww.webofscience.com%2Fwos%2Fwoscc%2Ffull-record%2FWOS:000345743700052","View Full Record in Web of Science")</f>
        <v>View Full Record in Web of Science</v>
      </c>
    </row>
    <row r="903" spans="1:72" x14ac:dyDescent="0.15">
      <c r="A903" t="s">
        <v>72</v>
      </c>
      <c r="B903" t="s">
        <v>16944</v>
      </c>
      <c r="C903" t="s">
        <v>74</v>
      </c>
      <c r="D903" t="s">
        <v>74</v>
      </c>
      <c r="E903" t="s">
        <v>74</v>
      </c>
      <c r="F903" t="s">
        <v>16945</v>
      </c>
      <c r="G903" t="s">
        <v>74</v>
      </c>
      <c r="H903" t="s">
        <v>74</v>
      </c>
      <c r="I903" t="s">
        <v>16946</v>
      </c>
      <c r="J903" t="s">
        <v>9084</v>
      </c>
      <c r="K903" t="s">
        <v>74</v>
      </c>
      <c r="L903" t="s">
        <v>74</v>
      </c>
      <c r="M903" t="s">
        <v>78</v>
      </c>
      <c r="N903" t="s">
        <v>99</v>
      </c>
      <c r="O903" t="s">
        <v>74</v>
      </c>
      <c r="P903" t="s">
        <v>74</v>
      </c>
      <c r="Q903" t="s">
        <v>74</v>
      </c>
      <c r="R903" t="s">
        <v>74</v>
      </c>
      <c r="S903" t="s">
        <v>74</v>
      </c>
      <c r="T903" t="s">
        <v>74</v>
      </c>
      <c r="U903" t="s">
        <v>16947</v>
      </c>
      <c r="V903" t="s">
        <v>16948</v>
      </c>
      <c r="W903" t="s">
        <v>16949</v>
      </c>
      <c r="X903" t="s">
        <v>16950</v>
      </c>
      <c r="Y903" t="s">
        <v>16951</v>
      </c>
      <c r="Z903" t="s">
        <v>16952</v>
      </c>
      <c r="AA903" t="s">
        <v>74</v>
      </c>
      <c r="AB903" t="s">
        <v>16953</v>
      </c>
      <c r="AC903" t="s">
        <v>16954</v>
      </c>
      <c r="AD903" t="s">
        <v>16955</v>
      </c>
      <c r="AE903" t="s">
        <v>16956</v>
      </c>
      <c r="AF903" t="s">
        <v>74</v>
      </c>
      <c r="AG903">
        <v>100</v>
      </c>
      <c r="AH903">
        <v>27</v>
      </c>
      <c r="AI903">
        <v>29</v>
      </c>
      <c r="AJ903">
        <v>0</v>
      </c>
      <c r="AK903">
        <v>25</v>
      </c>
      <c r="AL903" t="s">
        <v>9093</v>
      </c>
      <c r="AM903" t="s">
        <v>9094</v>
      </c>
      <c r="AN903" t="s">
        <v>9095</v>
      </c>
      <c r="AO903" t="s">
        <v>9096</v>
      </c>
      <c r="AP903" t="s">
        <v>74</v>
      </c>
      <c r="AQ903" t="s">
        <v>74</v>
      </c>
      <c r="AR903" t="s">
        <v>9084</v>
      </c>
      <c r="AS903" t="s">
        <v>9097</v>
      </c>
      <c r="AT903" t="s">
        <v>16938</v>
      </c>
      <c r="AU903">
        <v>2014</v>
      </c>
      <c r="AV903">
        <v>9</v>
      </c>
      <c r="AW903">
        <v>10</v>
      </c>
      <c r="AX903" t="s">
        <v>74</v>
      </c>
      <c r="AY903" t="s">
        <v>74</v>
      </c>
      <c r="AZ903" t="s">
        <v>74</v>
      </c>
      <c r="BA903" t="s">
        <v>74</v>
      </c>
      <c r="BB903" t="s">
        <v>74</v>
      </c>
      <c r="BC903" t="s">
        <v>74</v>
      </c>
      <c r="BD903" t="s">
        <v>16957</v>
      </c>
      <c r="BE903" t="s">
        <v>16958</v>
      </c>
      <c r="BF903" t="str">
        <f>HYPERLINK("http://dx.doi.org/10.1371/journal.pone.0108009","http://dx.doi.org/10.1371/journal.pone.0108009")</f>
        <v>http://dx.doi.org/10.1371/journal.pone.0108009</v>
      </c>
      <c r="BG903" t="s">
        <v>74</v>
      </c>
      <c r="BH903" t="s">
        <v>74</v>
      </c>
      <c r="BI903">
        <v>12</v>
      </c>
      <c r="BJ903" t="s">
        <v>201</v>
      </c>
      <c r="BK903" t="s">
        <v>91</v>
      </c>
      <c r="BL903" t="s">
        <v>203</v>
      </c>
      <c r="BM903" t="s">
        <v>16941</v>
      </c>
      <c r="BN903">
        <v>25285990</v>
      </c>
      <c r="BO903" t="s">
        <v>228</v>
      </c>
      <c r="BP903" t="s">
        <v>74</v>
      </c>
      <c r="BQ903" t="s">
        <v>74</v>
      </c>
      <c r="BR903" t="s">
        <v>93</v>
      </c>
      <c r="BS903" t="s">
        <v>16959</v>
      </c>
      <c r="BT903" t="str">
        <f>HYPERLINK("https%3A%2F%2Fwww.webofscience.com%2Fwos%2Fwoscc%2Ffull-record%2FWOS:000345743700012","View Full Record in Web of Science")</f>
        <v>View Full Record in Web of Science</v>
      </c>
    </row>
    <row r="904" spans="1:72" x14ac:dyDescent="0.15">
      <c r="A904" t="s">
        <v>72</v>
      </c>
      <c r="B904" t="s">
        <v>16960</v>
      </c>
      <c r="C904" t="s">
        <v>74</v>
      </c>
      <c r="D904" t="s">
        <v>74</v>
      </c>
      <c r="E904" t="s">
        <v>74</v>
      </c>
      <c r="F904" t="s">
        <v>16961</v>
      </c>
      <c r="G904" t="s">
        <v>74</v>
      </c>
      <c r="H904" t="s">
        <v>74</v>
      </c>
      <c r="I904" t="s">
        <v>16962</v>
      </c>
      <c r="J904" t="s">
        <v>16963</v>
      </c>
      <c r="K904" t="s">
        <v>74</v>
      </c>
      <c r="L904" t="s">
        <v>74</v>
      </c>
      <c r="M904" t="s">
        <v>78</v>
      </c>
      <c r="N904" t="s">
        <v>99</v>
      </c>
      <c r="O904" t="s">
        <v>74</v>
      </c>
      <c r="P904" t="s">
        <v>74</v>
      </c>
      <c r="Q904" t="s">
        <v>74</v>
      </c>
      <c r="R904" t="s">
        <v>74</v>
      </c>
      <c r="S904" t="s">
        <v>74</v>
      </c>
      <c r="T904" t="s">
        <v>16964</v>
      </c>
      <c r="U904" t="s">
        <v>16965</v>
      </c>
      <c r="V904" t="s">
        <v>16966</v>
      </c>
      <c r="W904" t="s">
        <v>16967</v>
      </c>
      <c r="X904" t="s">
        <v>16968</v>
      </c>
      <c r="Y904" t="s">
        <v>16969</v>
      </c>
      <c r="Z904" t="s">
        <v>16970</v>
      </c>
      <c r="AA904" t="s">
        <v>74</v>
      </c>
      <c r="AB904" t="s">
        <v>16971</v>
      </c>
      <c r="AC904" t="s">
        <v>16972</v>
      </c>
      <c r="AD904" t="s">
        <v>16973</v>
      </c>
      <c r="AE904" t="s">
        <v>16974</v>
      </c>
      <c r="AF904" t="s">
        <v>74</v>
      </c>
      <c r="AG904">
        <v>15</v>
      </c>
      <c r="AH904">
        <v>6</v>
      </c>
      <c r="AI904">
        <v>6</v>
      </c>
      <c r="AJ904">
        <v>0</v>
      </c>
      <c r="AK904">
        <v>11</v>
      </c>
      <c r="AL904" t="s">
        <v>82</v>
      </c>
      <c r="AM904" t="s">
        <v>83</v>
      </c>
      <c r="AN904" t="s">
        <v>150</v>
      </c>
      <c r="AO904" t="s">
        <v>16975</v>
      </c>
      <c r="AP904" t="s">
        <v>16976</v>
      </c>
      <c r="AQ904" t="s">
        <v>74</v>
      </c>
      <c r="AR904" t="s">
        <v>16977</v>
      </c>
      <c r="AS904" t="s">
        <v>16978</v>
      </c>
      <c r="AT904" t="s">
        <v>16979</v>
      </c>
      <c r="AU904">
        <v>2014</v>
      </c>
      <c r="AV904">
        <v>50</v>
      </c>
      <c r="AW904">
        <v>4</v>
      </c>
      <c r="AX904" t="s">
        <v>74</v>
      </c>
      <c r="AY904" t="s">
        <v>74</v>
      </c>
      <c r="AZ904" t="s">
        <v>74</v>
      </c>
      <c r="BA904" t="s">
        <v>74</v>
      </c>
      <c r="BB904">
        <v>442</v>
      </c>
      <c r="BC904">
        <v>447</v>
      </c>
      <c r="BD904" t="s">
        <v>74</v>
      </c>
      <c r="BE904" t="s">
        <v>16980</v>
      </c>
      <c r="BF904" t="str">
        <f>HYPERLINK("http://dx.doi.org/10.1080/10256016.2014.905555","http://dx.doi.org/10.1080/10256016.2014.905555")</f>
        <v>http://dx.doi.org/10.1080/10256016.2014.905555</v>
      </c>
      <c r="BG904" t="s">
        <v>74</v>
      </c>
      <c r="BH904" t="s">
        <v>74</v>
      </c>
      <c r="BI904">
        <v>6</v>
      </c>
      <c r="BJ904" t="s">
        <v>16981</v>
      </c>
      <c r="BK904" t="s">
        <v>91</v>
      </c>
      <c r="BL904" t="s">
        <v>572</v>
      </c>
      <c r="BM904" t="s">
        <v>16982</v>
      </c>
      <c r="BN904">
        <v>24735353</v>
      </c>
      <c r="BO904" t="s">
        <v>74</v>
      </c>
      <c r="BP904" t="s">
        <v>74</v>
      </c>
      <c r="BQ904" t="s">
        <v>74</v>
      </c>
      <c r="BR904" t="s">
        <v>93</v>
      </c>
      <c r="BS904" t="s">
        <v>16983</v>
      </c>
      <c r="BT904" t="str">
        <f>HYPERLINK("https%3A%2F%2Fwww.webofscience.com%2Fwos%2Fwoscc%2Ffull-record%2FWOS:000345571800003","View Full Record in Web of Science")</f>
        <v>View Full Record in Web of Science</v>
      </c>
    </row>
    <row r="905" spans="1:72" x14ac:dyDescent="0.15">
      <c r="A905" t="s">
        <v>72</v>
      </c>
      <c r="B905" t="s">
        <v>16984</v>
      </c>
      <c r="C905" t="s">
        <v>74</v>
      </c>
      <c r="D905" t="s">
        <v>74</v>
      </c>
      <c r="E905" t="s">
        <v>74</v>
      </c>
      <c r="F905" t="s">
        <v>16985</v>
      </c>
      <c r="G905" t="s">
        <v>74</v>
      </c>
      <c r="H905" t="s">
        <v>74</v>
      </c>
      <c r="I905" t="s">
        <v>16986</v>
      </c>
      <c r="J905" t="s">
        <v>16987</v>
      </c>
      <c r="K905" t="s">
        <v>74</v>
      </c>
      <c r="L905" t="s">
        <v>74</v>
      </c>
      <c r="M905" t="s">
        <v>78</v>
      </c>
      <c r="N905" t="s">
        <v>99</v>
      </c>
      <c r="O905" t="s">
        <v>74</v>
      </c>
      <c r="P905" t="s">
        <v>74</v>
      </c>
      <c r="Q905" t="s">
        <v>74</v>
      </c>
      <c r="R905" t="s">
        <v>74</v>
      </c>
      <c r="S905" t="s">
        <v>74</v>
      </c>
      <c r="T905" t="s">
        <v>16988</v>
      </c>
      <c r="U905" t="s">
        <v>16989</v>
      </c>
      <c r="V905" t="s">
        <v>16990</v>
      </c>
      <c r="W905" t="s">
        <v>16991</v>
      </c>
      <c r="X905" t="s">
        <v>16992</v>
      </c>
      <c r="Y905" t="s">
        <v>16993</v>
      </c>
      <c r="Z905" t="s">
        <v>16994</v>
      </c>
      <c r="AA905" t="s">
        <v>16995</v>
      </c>
      <c r="AB905" t="s">
        <v>16996</v>
      </c>
      <c r="AC905" t="s">
        <v>16997</v>
      </c>
      <c r="AD905" t="s">
        <v>16998</v>
      </c>
      <c r="AE905" t="s">
        <v>16999</v>
      </c>
      <c r="AF905" t="s">
        <v>74</v>
      </c>
      <c r="AG905">
        <v>54</v>
      </c>
      <c r="AH905">
        <v>8</v>
      </c>
      <c r="AI905">
        <v>9</v>
      </c>
      <c r="AJ905">
        <v>0</v>
      </c>
      <c r="AK905">
        <v>2</v>
      </c>
      <c r="AL905" t="s">
        <v>82</v>
      </c>
      <c r="AM905" t="s">
        <v>83</v>
      </c>
      <c r="AN905" t="s">
        <v>150</v>
      </c>
      <c r="AO905" t="s">
        <v>17000</v>
      </c>
      <c r="AP905" t="s">
        <v>17001</v>
      </c>
      <c r="AQ905" t="s">
        <v>74</v>
      </c>
      <c r="AR905" t="s">
        <v>16987</v>
      </c>
      <c r="AS905" t="s">
        <v>17002</v>
      </c>
      <c r="AT905" t="s">
        <v>16979</v>
      </c>
      <c r="AU905">
        <v>2014</v>
      </c>
      <c r="AV905">
        <v>38</v>
      </c>
      <c r="AW905">
        <v>4</v>
      </c>
      <c r="AX905" t="s">
        <v>74</v>
      </c>
      <c r="AY905" t="s">
        <v>74</v>
      </c>
      <c r="AZ905" t="s">
        <v>74</v>
      </c>
      <c r="BA905" t="s">
        <v>74</v>
      </c>
      <c r="BB905">
        <v>504</v>
      </c>
      <c r="BC905">
        <v>512</v>
      </c>
      <c r="BD905" t="s">
        <v>74</v>
      </c>
      <c r="BE905" t="s">
        <v>17003</v>
      </c>
      <c r="BF905" t="str">
        <f>HYPERLINK("http://dx.doi.org/10.1080/03115518.2014.908267","http://dx.doi.org/10.1080/03115518.2014.908267")</f>
        <v>http://dx.doi.org/10.1080/03115518.2014.908267</v>
      </c>
      <c r="BG905" t="s">
        <v>74</v>
      </c>
      <c r="BH905" t="s">
        <v>74</v>
      </c>
      <c r="BI905">
        <v>9</v>
      </c>
      <c r="BJ905" t="s">
        <v>447</v>
      </c>
      <c r="BK905" t="s">
        <v>91</v>
      </c>
      <c r="BL905" t="s">
        <v>447</v>
      </c>
      <c r="BM905" t="s">
        <v>17004</v>
      </c>
      <c r="BN905" t="s">
        <v>74</v>
      </c>
      <c r="BO905" t="s">
        <v>74</v>
      </c>
      <c r="BP905" t="s">
        <v>74</v>
      </c>
      <c r="BQ905" t="s">
        <v>74</v>
      </c>
      <c r="BR905" t="s">
        <v>93</v>
      </c>
      <c r="BS905" t="s">
        <v>17005</v>
      </c>
      <c r="BT905" t="str">
        <f>HYPERLINK("https%3A%2F%2Fwww.webofscience.com%2Fwos%2Fwoscc%2Ffull-record%2FWOS:000343419000004","View Full Record in Web of Science")</f>
        <v>View Full Record in Web of Science</v>
      </c>
    </row>
    <row r="906" spans="1:72" x14ac:dyDescent="0.15">
      <c r="A906" t="s">
        <v>72</v>
      </c>
      <c r="B906" t="s">
        <v>17006</v>
      </c>
      <c r="C906" t="s">
        <v>74</v>
      </c>
      <c r="D906" t="s">
        <v>74</v>
      </c>
      <c r="E906" t="s">
        <v>74</v>
      </c>
      <c r="F906" t="s">
        <v>17007</v>
      </c>
      <c r="G906" t="s">
        <v>74</v>
      </c>
      <c r="H906" t="s">
        <v>74</v>
      </c>
      <c r="I906" t="s">
        <v>17008</v>
      </c>
      <c r="J906" t="s">
        <v>17009</v>
      </c>
      <c r="K906" t="s">
        <v>74</v>
      </c>
      <c r="L906" t="s">
        <v>74</v>
      </c>
      <c r="M906" t="s">
        <v>78</v>
      </c>
      <c r="N906" t="s">
        <v>99</v>
      </c>
      <c r="O906" t="s">
        <v>74</v>
      </c>
      <c r="P906" t="s">
        <v>74</v>
      </c>
      <c r="Q906" t="s">
        <v>74</v>
      </c>
      <c r="R906" t="s">
        <v>74</v>
      </c>
      <c r="S906" t="s">
        <v>74</v>
      </c>
      <c r="T906" t="s">
        <v>17010</v>
      </c>
      <c r="U906" t="s">
        <v>74</v>
      </c>
      <c r="V906" t="s">
        <v>17011</v>
      </c>
      <c r="W906" t="s">
        <v>17012</v>
      </c>
      <c r="X906" t="s">
        <v>17013</v>
      </c>
      <c r="Y906" t="s">
        <v>17014</v>
      </c>
      <c r="Z906" t="s">
        <v>17015</v>
      </c>
      <c r="AA906" t="s">
        <v>17016</v>
      </c>
      <c r="AB906" t="s">
        <v>17017</v>
      </c>
      <c r="AC906" t="s">
        <v>74</v>
      </c>
      <c r="AD906" t="s">
        <v>74</v>
      </c>
      <c r="AE906" t="s">
        <v>74</v>
      </c>
      <c r="AF906" t="s">
        <v>74</v>
      </c>
      <c r="AG906">
        <v>10</v>
      </c>
      <c r="AH906">
        <v>10</v>
      </c>
      <c r="AI906">
        <v>10</v>
      </c>
      <c r="AJ906">
        <v>0</v>
      </c>
      <c r="AK906">
        <v>22</v>
      </c>
      <c r="AL906" t="s">
        <v>6525</v>
      </c>
      <c r="AM906" t="s">
        <v>6526</v>
      </c>
      <c r="AN906" t="s">
        <v>6527</v>
      </c>
      <c r="AO906" t="s">
        <v>17018</v>
      </c>
      <c r="AP906" t="s">
        <v>17019</v>
      </c>
      <c r="AQ906" t="s">
        <v>74</v>
      </c>
      <c r="AR906" t="s">
        <v>17020</v>
      </c>
      <c r="AS906" t="s">
        <v>17021</v>
      </c>
      <c r="AT906" t="s">
        <v>16979</v>
      </c>
      <c r="AU906">
        <v>2014</v>
      </c>
      <c r="AV906">
        <v>45</v>
      </c>
      <c r="AW906">
        <v>4</v>
      </c>
      <c r="AX906" t="s">
        <v>74</v>
      </c>
      <c r="AY906" t="s">
        <v>74</v>
      </c>
      <c r="AZ906" t="s">
        <v>74</v>
      </c>
      <c r="BA906" t="s">
        <v>74</v>
      </c>
      <c r="BB906">
        <v>328</v>
      </c>
      <c r="BC906">
        <v>340</v>
      </c>
      <c r="BD906" t="s">
        <v>74</v>
      </c>
      <c r="BE906" t="s">
        <v>17022</v>
      </c>
      <c r="BF906" t="str">
        <f>HYPERLINK("http://dx.doi.org/10.1080/00908320.2014.957970","http://dx.doi.org/10.1080/00908320.2014.957970")</f>
        <v>http://dx.doi.org/10.1080/00908320.2014.957970</v>
      </c>
      <c r="BG906" t="s">
        <v>74</v>
      </c>
      <c r="BH906" t="s">
        <v>74</v>
      </c>
      <c r="BI906">
        <v>13</v>
      </c>
      <c r="BJ906" t="s">
        <v>17023</v>
      </c>
      <c r="BK906" t="s">
        <v>891</v>
      </c>
      <c r="BL906" t="s">
        <v>6592</v>
      </c>
      <c r="BM906" t="s">
        <v>17024</v>
      </c>
      <c r="BN906" t="s">
        <v>74</v>
      </c>
      <c r="BO906" t="s">
        <v>4631</v>
      </c>
      <c r="BP906" t="s">
        <v>74</v>
      </c>
      <c r="BQ906" t="s">
        <v>74</v>
      </c>
      <c r="BR906" t="s">
        <v>93</v>
      </c>
      <c r="BS906" t="s">
        <v>17025</v>
      </c>
      <c r="BT906" t="str">
        <f>HYPERLINK("https%3A%2F%2Fwww.webofscience.com%2Fwos%2Fwoscc%2Ffull-record%2FWOS:000343302500002","View Full Record in Web of Science")</f>
        <v>View Full Record in Web of Science</v>
      </c>
    </row>
    <row r="907" spans="1:72" x14ac:dyDescent="0.15">
      <c r="A907" t="s">
        <v>72</v>
      </c>
      <c r="B907" t="s">
        <v>17026</v>
      </c>
      <c r="C907" t="s">
        <v>74</v>
      </c>
      <c r="D907" t="s">
        <v>74</v>
      </c>
      <c r="E907" t="s">
        <v>74</v>
      </c>
      <c r="F907" t="s">
        <v>17027</v>
      </c>
      <c r="G907" t="s">
        <v>74</v>
      </c>
      <c r="H907" t="s">
        <v>74</v>
      </c>
      <c r="I907" t="s">
        <v>17028</v>
      </c>
      <c r="J907" t="s">
        <v>17029</v>
      </c>
      <c r="K907" t="s">
        <v>74</v>
      </c>
      <c r="L907" t="s">
        <v>74</v>
      </c>
      <c r="M907" t="s">
        <v>78</v>
      </c>
      <c r="N907" t="s">
        <v>454</v>
      </c>
      <c r="O907" t="s">
        <v>74</v>
      </c>
      <c r="P907" t="s">
        <v>74</v>
      </c>
      <c r="Q907" t="s">
        <v>74</v>
      </c>
      <c r="R907" t="s">
        <v>74</v>
      </c>
      <c r="S907" t="s">
        <v>74</v>
      </c>
      <c r="T907" t="s">
        <v>17030</v>
      </c>
      <c r="U907" t="s">
        <v>17031</v>
      </c>
      <c r="V907" t="s">
        <v>17032</v>
      </c>
      <c r="W907" t="s">
        <v>17033</v>
      </c>
      <c r="X907" t="s">
        <v>17034</v>
      </c>
      <c r="Y907" t="s">
        <v>17035</v>
      </c>
      <c r="Z907" t="s">
        <v>17036</v>
      </c>
      <c r="AA907" t="s">
        <v>17037</v>
      </c>
      <c r="AB907" t="s">
        <v>17038</v>
      </c>
      <c r="AC907" t="s">
        <v>17039</v>
      </c>
      <c r="AD907" t="s">
        <v>17039</v>
      </c>
      <c r="AE907" t="s">
        <v>17040</v>
      </c>
      <c r="AF907" t="s">
        <v>74</v>
      </c>
      <c r="AG907">
        <v>71</v>
      </c>
      <c r="AH907">
        <v>23</v>
      </c>
      <c r="AI907">
        <v>26</v>
      </c>
      <c r="AJ907">
        <v>0</v>
      </c>
      <c r="AK907">
        <v>39</v>
      </c>
      <c r="AL907" t="s">
        <v>2439</v>
      </c>
      <c r="AM907" t="s">
        <v>1411</v>
      </c>
      <c r="AN907" t="s">
        <v>2440</v>
      </c>
      <c r="AO907" t="s">
        <v>17041</v>
      </c>
      <c r="AP907" t="s">
        <v>17042</v>
      </c>
      <c r="AQ907" t="s">
        <v>74</v>
      </c>
      <c r="AR907" t="s">
        <v>17043</v>
      </c>
      <c r="AS907" t="s">
        <v>17044</v>
      </c>
      <c r="AT907" t="s">
        <v>17045</v>
      </c>
      <c r="AU907">
        <v>2014</v>
      </c>
      <c r="AV907">
        <v>45</v>
      </c>
      <c r="AW907" t="s">
        <v>74</v>
      </c>
      <c r="AX907" t="s">
        <v>74</v>
      </c>
      <c r="AY907" t="s">
        <v>74</v>
      </c>
      <c r="AZ907" t="s">
        <v>74</v>
      </c>
      <c r="BA907" t="s">
        <v>74</v>
      </c>
      <c r="BB907">
        <v>117</v>
      </c>
      <c r="BC907">
        <v>123</v>
      </c>
      <c r="BD907" t="s">
        <v>74</v>
      </c>
      <c r="BE907" t="s">
        <v>17046</v>
      </c>
      <c r="BF907" t="str">
        <f>HYPERLINK("http://dx.doi.org/10.1016/j.jtherbio.2014.09.001","http://dx.doi.org/10.1016/j.jtherbio.2014.09.001")</f>
        <v>http://dx.doi.org/10.1016/j.jtherbio.2014.09.001</v>
      </c>
      <c r="BG907" t="s">
        <v>74</v>
      </c>
      <c r="BH907" t="s">
        <v>74</v>
      </c>
      <c r="BI907">
        <v>7</v>
      </c>
      <c r="BJ907" t="s">
        <v>17047</v>
      </c>
      <c r="BK907" t="s">
        <v>91</v>
      </c>
      <c r="BL907" t="s">
        <v>17048</v>
      </c>
      <c r="BM907" t="s">
        <v>17049</v>
      </c>
      <c r="BN907">
        <v>25436960</v>
      </c>
      <c r="BO907" t="s">
        <v>74</v>
      </c>
      <c r="BP907" t="s">
        <v>74</v>
      </c>
      <c r="BQ907" t="s">
        <v>74</v>
      </c>
      <c r="BR907" t="s">
        <v>93</v>
      </c>
      <c r="BS907" t="s">
        <v>17050</v>
      </c>
      <c r="BT907" t="str">
        <f>HYPERLINK("https%3A%2F%2Fwww.webofscience.com%2Fwos%2Fwoscc%2Ffull-record%2FWOS:000359750300017","View Full Record in Web of Science")</f>
        <v>View Full Record in Web of Science</v>
      </c>
    </row>
    <row r="908" spans="1:72" x14ac:dyDescent="0.15">
      <c r="A908" t="s">
        <v>72</v>
      </c>
      <c r="B908" t="s">
        <v>17051</v>
      </c>
      <c r="C908" t="s">
        <v>74</v>
      </c>
      <c r="D908" t="s">
        <v>74</v>
      </c>
      <c r="E908" t="s">
        <v>74</v>
      </c>
      <c r="F908" t="s">
        <v>17052</v>
      </c>
      <c r="G908" t="s">
        <v>74</v>
      </c>
      <c r="H908" t="s">
        <v>74</v>
      </c>
      <c r="I908" t="s">
        <v>17053</v>
      </c>
      <c r="J908" t="s">
        <v>17054</v>
      </c>
      <c r="K908" t="s">
        <v>74</v>
      </c>
      <c r="L908" t="s">
        <v>74</v>
      </c>
      <c r="M908" t="s">
        <v>78</v>
      </c>
      <c r="N908" t="s">
        <v>99</v>
      </c>
      <c r="O908" t="s">
        <v>74</v>
      </c>
      <c r="P908" t="s">
        <v>74</v>
      </c>
      <c r="Q908" t="s">
        <v>74</v>
      </c>
      <c r="R908" t="s">
        <v>74</v>
      </c>
      <c r="S908" t="s">
        <v>74</v>
      </c>
      <c r="T908" t="s">
        <v>74</v>
      </c>
      <c r="U908" t="s">
        <v>17055</v>
      </c>
      <c r="V908" t="s">
        <v>17056</v>
      </c>
      <c r="W908" t="s">
        <v>17057</v>
      </c>
      <c r="X908" t="s">
        <v>17058</v>
      </c>
      <c r="Y908" t="s">
        <v>17059</v>
      </c>
      <c r="Z908" t="s">
        <v>17060</v>
      </c>
      <c r="AA908" t="s">
        <v>17061</v>
      </c>
      <c r="AB908" t="s">
        <v>17062</v>
      </c>
      <c r="AC908" t="s">
        <v>17063</v>
      </c>
      <c r="AD908" t="s">
        <v>17064</v>
      </c>
      <c r="AE908" t="s">
        <v>17065</v>
      </c>
      <c r="AF908" t="s">
        <v>74</v>
      </c>
      <c r="AG908">
        <v>30</v>
      </c>
      <c r="AH908">
        <v>32</v>
      </c>
      <c r="AI908">
        <v>36</v>
      </c>
      <c r="AJ908">
        <v>1</v>
      </c>
      <c r="AK908">
        <v>62</v>
      </c>
      <c r="AL908" t="s">
        <v>12848</v>
      </c>
      <c r="AM908" t="s">
        <v>1946</v>
      </c>
      <c r="AN908" t="s">
        <v>12849</v>
      </c>
      <c r="AO908" t="s">
        <v>17066</v>
      </c>
      <c r="AP908" t="s">
        <v>74</v>
      </c>
      <c r="AQ908" t="s">
        <v>74</v>
      </c>
      <c r="AR908" t="s">
        <v>17067</v>
      </c>
      <c r="AS908" t="s">
        <v>17068</v>
      </c>
      <c r="AT908" t="s">
        <v>17045</v>
      </c>
      <c r="AU908">
        <v>2014</v>
      </c>
      <c r="AV908">
        <v>1</v>
      </c>
      <c r="AW908">
        <v>10</v>
      </c>
      <c r="AX908" t="s">
        <v>74</v>
      </c>
      <c r="AY908" t="s">
        <v>74</v>
      </c>
      <c r="AZ908" t="s">
        <v>74</v>
      </c>
      <c r="BA908" t="s">
        <v>74</v>
      </c>
      <c r="BB908">
        <v>387</v>
      </c>
      <c r="BC908">
        <v>392</v>
      </c>
      <c r="BD908" t="s">
        <v>74</v>
      </c>
      <c r="BE908" t="s">
        <v>17069</v>
      </c>
      <c r="BF908" t="str">
        <f>HYPERLINK("http://dx.doi.org/10.1021/ez500164v","http://dx.doi.org/10.1021/ez500164v")</f>
        <v>http://dx.doi.org/10.1021/ez500164v</v>
      </c>
      <c r="BG908" t="s">
        <v>74</v>
      </c>
      <c r="BH908" t="s">
        <v>74</v>
      </c>
      <c r="BI908">
        <v>6</v>
      </c>
      <c r="BJ908" t="s">
        <v>9006</v>
      </c>
      <c r="BK908" t="s">
        <v>91</v>
      </c>
      <c r="BL908" t="s">
        <v>9007</v>
      </c>
      <c r="BM908" t="s">
        <v>17070</v>
      </c>
      <c r="BN908" t="s">
        <v>74</v>
      </c>
      <c r="BO908" t="s">
        <v>4631</v>
      </c>
      <c r="BP908" t="s">
        <v>74</v>
      </c>
      <c r="BQ908" t="s">
        <v>74</v>
      </c>
      <c r="BR908" t="s">
        <v>93</v>
      </c>
      <c r="BS908" t="s">
        <v>17071</v>
      </c>
      <c r="BT908" t="str">
        <f>HYPERLINK("https%3A%2F%2Fwww.webofscience.com%2Fwos%2Fwoscc%2Ffull-record%2FWOS:000350831600002","View Full Record in Web of Science")</f>
        <v>View Full Record in Web of Science</v>
      </c>
    </row>
    <row r="909" spans="1:72" x14ac:dyDescent="0.15">
      <c r="A909" t="s">
        <v>72</v>
      </c>
      <c r="B909" t="s">
        <v>17072</v>
      </c>
      <c r="C909" t="s">
        <v>74</v>
      </c>
      <c r="D909" t="s">
        <v>74</v>
      </c>
      <c r="E909" t="s">
        <v>74</v>
      </c>
      <c r="F909" t="s">
        <v>17073</v>
      </c>
      <c r="G909" t="s">
        <v>74</v>
      </c>
      <c r="H909" t="s">
        <v>74</v>
      </c>
      <c r="I909" t="s">
        <v>17074</v>
      </c>
      <c r="J909" t="s">
        <v>17075</v>
      </c>
      <c r="K909" t="s">
        <v>74</v>
      </c>
      <c r="L909" t="s">
        <v>74</v>
      </c>
      <c r="M909" t="s">
        <v>78</v>
      </c>
      <c r="N909" t="s">
        <v>99</v>
      </c>
      <c r="O909" t="s">
        <v>74</v>
      </c>
      <c r="P909" t="s">
        <v>74</v>
      </c>
      <c r="Q909" t="s">
        <v>74</v>
      </c>
      <c r="R909" t="s">
        <v>74</v>
      </c>
      <c r="S909" t="s">
        <v>74</v>
      </c>
      <c r="T909" t="s">
        <v>17076</v>
      </c>
      <c r="U909" t="s">
        <v>17077</v>
      </c>
      <c r="V909" t="s">
        <v>17078</v>
      </c>
      <c r="W909" t="s">
        <v>17079</v>
      </c>
      <c r="X909" t="s">
        <v>17080</v>
      </c>
      <c r="Y909" t="s">
        <v>17081</v>
      </c>
      <c r="Z909" t="s">
        <v>17082</v>
      </c>
      <c r="AA909" t="s">
        <v>74</v>
      </c>
      <c r="AB909" t="s">
        <v>17083</v>
      </c>
      <c r="AC909" t="s">
        <v>17084</v>
      </c>
      <c r="AD909" t="s">
        <v>17084</v>
      </c>
      <c r="AE909" t="s">
        <v>17085</v>
      </c>
      <c r="AF909" t="s">
        <v>74</v>
      </c>
      <c r="AG909">
        <v>17</v>
      </c>
      <c r="AH909">
        <v>3</v>
      </c>
      <c r="AI909">
        <v>3</v>
      </c>
      <c r="AJ909">
        <v>0</v>
      </c>
      <c r="AK909">
        <v>2</v>
      </c>
      <c r="AL909" t="s">
        <v>17086</v>
      </c>
      <c r="AM909" t="s">
        <v>15541</v>
      </c>
      <c r="AN909" t="s">
        <v>17087</v>
      </c>
      <c r="AO909" t="s">
        <v>17088</v>
      </c>
      <c r="AP909" t="s">
        <v>74</v>
      </c>
      <c r="AQ909" t="s">
        <v>74</v>
      </c>
      <c r="AR909" t="s">
        <v>17089</v>
      </c>
      <c r="AS909" t="s">
        <v>17090</v>
      </c>
      <c r="AT909" t="s">
        <v>17045</v>
      </c>
      <c r="AU909">
        <v>2014</v>
      </c>
      <c r="AV909">
        <v>140</v>
      </c>
      <c r="AW909" t="s">
        <v>74</v>
      </c>
      <c r="AX909" t="s">
        <v>74</v>
      </c>
      <c r="AY909" t="s">
        <v>74</v>
      </c>
      <c r="AZ909" t="s">
        <v>74</v>
      </c>
      <c r="BA909" t="s">
        <v>74</v>
      </c>
      <c r="BB909">
        <v>520</v>
      </c>
      <c r="BC909">
        <v>523</v>
      </c>
      <c r="BD909" t="s">
        <v>74</v>
      </c>
      <c r="BE909" t="s">
        <v>74</v>
      </c>
      <c r="BF909" t="s">
        <v>74</v>
      </c>
      <c r="BG909" t="s">
        <v>74</v>
      </c>
      <c r="BH909" t="s">
        <v>74</v>
      </c>
      <c r="BI909">
        <v>4</v>
      </c>
      <c r="BJ909" t="s">
        <v>17091</v>
      </c>
      <c r="BK909" t="s">
        <v>91</v>
      </c>
      <c r="BL909" t="s">
        <v>17092</v>
      </c>
      <c r="BM909" t="s">
        <v>17093</v>
      </c>
      <c r="BN909">
        <v>25488446</v>
      </c>
      <c r="BO909" t="s">
        <v>74</v>
      </c>
      <c r="BP909" t="s">
        <v>74</v>
      </c>
      <c r="BQ909" t="s">
        <v>74</v>
      </c>
      <c r="BR909" t="s">
        <v>93</v>
      </c>
      <c r="BS909" t="s">
        <v>17094</v>
      </c>
      <c r="BT909" t="str">
        <f>HYPERLINK("https%3A%2F%2Fwww.webofscience.com%2Fwos%2Fwoscc%2Ffull-record%2FWOS:000346259000011","View Full Record in Web of Science")</f>
        <v>View Full Record in Web of Science</v>
      </c>
    </row>
    <row r="910" spans="1:72" x14ac:dyDescent="0.15">
      <c r="A910" t="s">
        <v>72</v>
      </c>
      <c r="B910" t="s">
        <v>17095</v>
      </c>
      <c r="C910" t="s">
        <v>74</v>
      </c>
      <c r="D910" t="s">
        <v>74</v>
      </c>
      <c r="E910" t="s">
        <v>74</v>
      </c>
      <c r="F910" t="s">
        <v>17096</v>
      </c>
      <c r="G910" t="s">
        <v>74</v>
      </c>
      <c r="H910" t="s">
        <v>74</v>
      </c>
      <c r="I910" t="s">
        <v>17097</v>
      </c>
      <c r="J910" t="s">
        <v>17098</v>
      </c>
      <c r="K910" t="s">
        <v>74</v>
      </c>
      <c r="L910" t="s">
        <v>74</v>
      </c>
      <c r="M910" t="s">
        <v>78</v>
      </c>
      <c r="N910" t="s">
        <v>454</v>
      </c>
      <c r="O910" t="s">
        <v>74</v>
      </c>
      <c r="P910" t="s">
        <v>74</v>
      </c>
      <c r="Q910" t="s">
        <v>74</v>
      </c>
      <c r="R910" t="s">
        <v>74</v>
      </c>
      <c r="S910" t="s">
        <v>74</v>
      </c>
      <c r="T910" t="s">
        <v>17099</v>
      </c>
      <c r="U910" t="s">
        <v>17100</v>
      </c>
      <c r="V910" t="s">
        <v>17101</v>
      </c>
      <c r="W910" t="s">
        <v>17102</v>
      </c>
      <c r="X910" t="s">
        <v>17103</v>
      </c>
      <c r="Y910" t="s">
        <v>17104</v>
      </c>
      <c r="Z910" t="s">
        <v>17105</v>
      </c>
      <c r="AA910" t="s">
        <v>17106</v>
      </c>
      <c r="AB910" t="s">
        <v>74</v>
      </c>
      <c r="AC910" t="s">
        <v>17107</v>
      </c>
      <c r="AD910" t="s">
        <v>17108</v>
      </c>
      <c r="AE910" t="s">
        <v>17109</v>
      </c>
      <c r="AF910" t="s">
        <v>74</v>
      </c>
      <c r="AG910">
        <v>114</v>
      </c>
      <c r="AH910">
        <v>120</v>
      </c>
      <c r="AI910">
        <v>128</v>
      </c>
      <c r="AJ910">
        <v>4</v>
      </c>
      <c r="AK910">
        <v>109</v>
      </c>
      <c r="AL910" t="s">
        <v>2006</v>
      </c>
      <c r="AM910" t="s">
        <v>2007</v>
      </c>
      <c r="AN910" t="s">
        <v>2008</v>
      </c>
      <c r="AO910" t="s">
        <v>17110</v>
      </c>
      <c r="AP910" t="s">
        <v>17111</v>
      </c>
      <c r="AQ910" t="s">
        <v>74</v>
      </c>
      <c r="AR910" t="s">
        <v>17112</v>
      </c>
      <c r="AS910" t="s">
        <v>17113</v>
      </c>
      <c r="AT910" t="s">
        <v>17045</v>
      </c>
      <c r="AU910">
        <v>2014</v>
      </c>
      <c r="AV910">
        <v>140</v>
      </c>
      <c r="AW910">
        <v>685</v>
      </c>
      <c r="AX910" t="s">
        <v>1395</v>
      </c>
      <c r="AY910" t="s">
        <v>74</v>
      </c>
      <c r="AZ910" t="s">
        <v>74</v>
      </c>
      <c r="BA910" t="s">
        <v>74</v>
      </c>
      <c r="BB910">
        <v>2401</v>
      </c>
      <c r="BC910">
        <v>2419</v>
      </c>
      <c r="BD910" t="s">
        <v>74</v>
      </c>
      <c r="BE910" t="s">
        <v>17114</v>
      </c>
      <c r="BF910" t="str">
        <f>HYPERLINK("http://dx.doi.org/10.1002/qj.2330","http://dx.doi.org/10.1002/qj.2330")</f>
        <v>http://dx.doi.org/10.1002/qj.2330</v>
      </c>
      <c r="BG910" t="s">
        <v>74</v>
      </c>
      <c r="BH910" t="s">
        <v>74</v>
      </c>
      <c r="BI910">
        <v>19</v>
      </c>
      <c r="BJ910" t="s">
        <v>226</v>
      </c>
      <c r="BK910" t="s">
        <v>91</v>
      </c>
      <c r="BL910" t="s">
        <v>226</v>
      </c>
      <c r="BM910" t="s">
        <v>17115</v>
      </c>
      <c r="BN910" t="s">
        <v>74</v>
      </c>
      <c r="BO910" t="s">
        <v>375</v>
      </c>
      <c r="BP910" t="s">
        <v>74</v>
      </c>
      <c r="BQ910" t="s">
        <v>74</v>
      </c>
      <c r="BR910" t="s">
        <v>93</v>
      </c>
      <c r="BS910" t="s">
        <v>17116</v>
      </c>
      <c r="BT910" t="str">
        <f>HYPERLINK("https%3A%2F%2Fwww.webofscience.com%2Fwos%2Fwoscc%2Ffull-record%2FWOS:000346346700002","View Full Record in Web of Science")</f>
        <v>View Full Record in Web of Science</v>
      </c>
    </row>
    <row r="911" spans="1:72" x14ac:dyDescent="0.15">
      <c r="A911" t="s">
        <v>72</v>
      </c>
      <c r="B911" t="s">
        <v>17117</v>
      </c>
      <c r="C911" t="s">
        <v>74</v>
      </c>
      <c r="D911" t="s">
        <v>74</v>
      </c>
      <c r="E911" t="s">
        <v>74</v>
      </c>
      <c r="F911" t="s">
        <v>17118</v>
      </c>
      <c r="G911" t="s">
        <v>74</v>
      </c>
      <c r="H911" t="s">
        <v>74</v>
      </c>
      <c r="I911" t="s">
        <v>17119</v>
      </c>
      <c r="J911" t="s">
        <v>17120</v>
      </c>
      <c r="K911" t="s">
        <v>74</v>
      </c>
      <c r="L911" t="s">
        <v>74</v>
      </c>
      <c r="M911" t="s">
        <v>78</v>
      </c>
      <c r="N911" t="s">
        <v>99</v>
      </c>
      <c r="O911" t="s">
        <v>74</v>
      </c>
      <c r="P911" t="s">
        <v>74</v>
      </c>
      <c r="Q911" t="s">
        <v>74</v>
      </c>
      <c r="R911" t="s">
        <v>74</v>
      </c>
      <c r="S911" t="s">
        <v>74</v>
      </c>
      <c r="T911" t="s">
        <v>17121</v>
      </c>
      <c r="U911" t="s">
        <v>17122</v>
      </c>
      <c r="V911" t="s">
        <v>17123</v>
      </c>
      <c r="W911" t="s">
        <v>17124</v>
      </c>
      <c r="X911" t="s">
        <v>17125</v>
      </c>
      <c r="Y911" t="s">
        <v>17126</v>
      </c>
      <c r="Z911" t="s">
        <v>17127</v>
      </c>
      <c r="AA911" t="s">
        <v>17128</v>
      </c>
      <c r="AB911" t="s">
        <v>17129</v>
      </c>
      <c r="AC911" t="s">
        <v>17130</v>
      </c>
      <c r="AD911" t="s">
        <v>17131</v>
      </c>
      <c r="AE911" t="s">
        <v>17132</v>
      </c>
      <c r="AF911" t="s">
        <v>74</v>
      </c>
      <c r="AG911">
        <v>34</v>
      </c>
      <c r="AH911">
        <v>14</v>
      </c>
      <c r="AI911">
        <v>14</v>
      </c>
      <c r="AJ911">
        <v>0</v>
      </c>
      <c r="AK911">
        <v>22</v>
      </c>
      <c r="AL911" t="s">
        <v>2006</v>
      </c>
      <c r="AM911" t="s">
        <v>2007</v>
      </c>
      <c r="AN911" t="s">
        <v>2008</v>
      </c>
      <c r="AO911" t="s">
        <v>17133</v>
      </c>
      <c r="AP911" t="s">
        <v>17134</v>
      </c>
      <c r="AQ911" t="s">
        <v>74</v>
      </c>
      <c r="AR911" t="s">
        <v>17135</v>
      </c>
      <c r="AS911" t="s">
        <v>17136</v>
      </c>
      <c r="AT911" t="s">
        <v>17137</v>
      </c>
      <c r="AU911">
        <v>2014</v>
      </c>
      <c r="AV911">
        <v>25</v>
      </c>
      <c r="AW911">
        <v>4</v>
      </c>
      <c r="AX911" t="s">
        <v>74</v>
      </c>
      <c r="AY911" t="s">
        <v>74</v>
      </c>
      <c r="AZ911" t="s">
        <v>74</v>
      </c>
      <c r="BA911" t="s">
        <v>74</v>
      </c>
      <c r="BB911">
        <v>233</v>
      </c>
      <c r="BC911">
        <v>242</v>
      </c>
      <c r="BD911" t="s">
        <v>74</v>
      </c>
      <c r="BE911" t="s">
        <v>17138</v>
      </c>
      <c r="BF911" t="str">
        <f>HYPERLINK("http://dx.doi.org/10.1002/ppp.1818","http://dx.doi.org/10.1002/ppp.1818")</f>
        <v>http://dx.doi.org/10.1002/ppp.1818</v>
      </c>
      <c r="BG911" t="s">
        <v>74</v>
      </c>
      <c r="BH911" t="s">
        <v>74</v>
      </c>
      <c r="BI911">
        <v>10</v>
      </c>
      <c r="BJ911" t="s">
        <v>17139</v>
      </c>
      <c r="BK911" t="s">
        <v>91</v>
      </c>
      <c r="BL911" t="s">
        <v>373</v>
      </c>
      <c r="BM911" t="s">
        <v>17140</v>
      </c>
      <c r="BN911" t="s">
        <v>74</v>
      </c>
      <c r="BO911" t="s">
        <v>74</v>
      </c>
      <c r="BP911" t="s">
        <v>74</v>
      </c>
      <c r="BQ911" t="s">
        <v>74</v>
      </c>
      <c r="BR911" t="s">
        <v>93</v>
      </c>
      <c r="BS911" t="s">
        <v>17141</v>
      </c>
      <c r="BT911" t="str">
        <f>HYPERLINK("https%3A%2F%2Fwww.webofscience.com%2Fwos%2Fwoscc%2Ffull-record%2FWOS:000345992700002","View Full Record in Web of Science")</f>
        <v>View Full Record in Web of Science</v>
      </c>
    </row>
    <row r="912" spans="1:72" x14ac:dyDescent="0.15">
      <c r="A912" t="s">
        <v>72</v>
      </c>
      <c r="B912" t="s">
        <v>17142</v>
      </c>
      <c r="C912" t="s">
        <v>74</v>
      </c>
      <c r="D912" t="s">
        <v>74</v>
      </c>
      <c r="E912" t="s">
        <v>74</v>
      </c>
      <c r="F912" t="s">
        <v>17143</v>
      </c>
      <c r="G912" t="s">
        <v>74</v>
      </c>
      <c r="H912" t="s">
        <v>74</v>
      </c>
      <c r="I912" t="s">
        <v>17144</v>
      </c>
      <c r="J912" t="s">
        <v>17120</v>
      </c>
      <c r="K912" t="s">
        <v>74</v>
      </c>
      <c r="L912" t="s">
        <v>74</v>
      </c>
      <c r="M912" t="s">
        <v>78</v>
      </c>
      <c r="N912" t="s">
        <v>99</v>
      </c>
      <c r="O912" t="s">
        <v>74</v>
      </c>
      <c r="P912" t="s">
        <v>74</v>
      </c>
      <c r="Q912" t="s">
        <v>74</v>
      </c>
      <c r="R912" t="s">
        <v>74</v>
      </c>
      <c r="S912" t="s">
        <v>74</v>
      </c>
      <c r="T912" t="s">
        <v>74</v>
      </c>
      <c r="U912" t="s">
        <v>74</v>
      </c>
      <c r="V912" t="s">
        <v>74</v>
      </c>
      <c r="W912" t="s">
        <v>17145</v>
      </c>
      <c r="X912" t="s">
        <v>17146</v>
      </c>
      <c r="Y912" t="s">
        <v>17147</v>
      </c>
      <c r="Z912" t="s">
        <v>17148</v>
      </c>
      <c r="AA912" t="s">
        <v>13340</v>
      </c>
      <c r="AB912" t="s">
        <v>17149</v>
      </c>
      <c r="AC912" t="s">
        <v>17150</v>
      </c>
      <c r="AD912" t="s">
        <v>17151</v>
      </c>
      <c r="AE912" t="s">
        <v>17152</v>
      </c>
      <c r="AF912" t="s">
        <v>74</v>
      </c>
      <c r="AG912">
        <v>2</v>
      </c>
      <c r="AH912">
        <v>2</v>
      </c>
      <c r="AI912">
        <v>2</v>
      </c>
      <c r="AJ912">
        <v>0</v>
      </c>
      <c r="AK912">
        <v>8</v>
      </c>
      <c r="AL912" t="s">
        <v>4624</v>
      </c>
      <c r="AM912" t="s">
        <v>2007</v>
      </c>
      <c r="AN912" t="s">
        <v>2008</v>
      </c>
      <c r="AO912" t="s">
        <v>17133</v>
      </c>
      <c r="AP912" t="s">
        <v>17134</v>
      </c>
      <c r="AQ912" t="s">
        <v>74</v>
      </c>
      <c r="AR912" t="s">
        <v>17135</v>
      </c>
      <c r="AS912" t="s">
        <v>17136</v>
      </c>
      <c r="AT912" t="s">
        <v>17137</v>
      </c>
      <c r="AU912">
        <v>2014</v>
      </c>
      <c r="AV912">
        <v>25</v>
      </c>
      <c r="AW912">
        <v>4</v>
      </c>
      <c r="AX912" t="s">
        <v>74</v>
      </c>
      <c r="AY912" t="s">
        <v>74</v>
      </c>
      <c r="AZ912" t="s">
        <v>74</v>
      </c>
      <c r="BA912" t="s">
        <v>74</v>
      </c>
      <c r="BB912">
        <v>344</v>
      </c>
      <c r="BC912">
        <v>348</v>
      </c>
      <c r="BD912" t="s">
        <v>74</v>
      </c>
      <c r="BE912" t="s">
        <v>17153</v>
      </c>
      <c r="BF912" t="str">
        <f>HYPERLINK("http://dx.doi.org/10.1002/ppp.1828","http://dx.doi.org/10.1002/ppp.1828")</f>
        <v>http://dx.doi.org/10.1002/ppp.1828</v>
      </c>
      <c r="BG912" t="s">
        <v>74</v>
      </c>
      <c r="BH912" t="s">
        <v>74</v>
      </c>
      <c r="BI912">
        <v>5</v>
      </c>
      <c r="BJ912" t="s">
        <v>17139</v>
      </c>
      <c r="BK912" t="s">
        <v>91</v>
      </c>
      <c r="BL912" t="s">
        <v>373</v>
      </c>
      <c r="BM912" t="s">
        <v>17140</v>
      </c>
      <c r="BN912" t="s">
        <v>74</v>
      </c>
      <c r="BO912" t="s">
        <v>74</v>
      </c>
      <c r="BP912" t="s">
        <v>74</v>
      </c>
      <c r="BQ912" t="s">
        <v>74</v>
      </c>
      <c r="BR912" t="s">
        <v>93</v>
      </c>
      <c r="BS912" t="s">
        <v>17154</v>
      </c>
      <c r="BT912" t="str">
        <f>HYPERLINK("https%3A%2F%2Fwww.webofscience.com%2Fwos%2Fwoscc%2Ffull-record%2FWOS:000345992700011","View Full Record in Web of Science")</f>
        <v>View Full Record in Web of Science</v>
      </c>
    </row>
    <row r="913" spans="1:72" x14ac:dyDescent="0.15">
      <c r="A913" t="s">
        <v>72</v>
      </c>
      <c r="B913" t="s">
        <v>17155</v>
      </c>
      <c r="C913" t="s">
        <v>74</v>
      </c>
      <c r="D913" t="s">
        <v>74</v>
      </c>
      <c r="E913" t="s">
        <v>74</v>
      </c>
      <c r="F913" t="s">
        <v>17156</v>
      </c>
      <c r="G913" t="s">
        <v>74</v>
      </c>
      <c r="H913" t="s">
        <v>74</v>
      </c>
      <c r="I913" t="s">
        <v>17157</v>
      </c>
      <c r="J913" t="s">
        <v>14132</v>
      </c>
      <c r="K913" t="s">
        <v>74</v>
      </c>
      <c r="L913" t="s">
        <v>74</v>
      </c>
      <c r="M913" t="s">
        <v>78</v>
      </c>
      <c r="N913" t="s">
        <v>99</v>
      </c>
      <c r="O913" t="s">
        <v>74</v>
      </c>
      <c r="P913" t="s">
        <v>74</v>
      </c>
      <c r="Q913" t="s">
        <v>74</v>
      </c>
      <c r="R913" t="s">
        <v>74</v>
      </c>
      <c r="S913" t="s">
        <v>74</v>
      </c>
      <c r="T913" t="s">
        <v>74</v>
      </c>
      <c r="U913" t="s">
        <v>17158</v>
      </c>
      <c r="V913" t="s">
        <v>17159</v>
      </c>
      <c r="W913" t="s">
        <v>17160</v>
      </c>
      <c r="X913" t="s">
        <v>17161</v>
      </c>
      <c r="Y913" t="s">
        <v>17162</v>
      </c>
      <c r="Z913" t="s">
        <v>74</v>
      </c>
      <c r="AA913" t="s">
        <v>74</v>
      </c>
      <c r="AB913" t="s">
        <v>74</v>
      </c>
      <c r="AC913" t="s">
        <v>17163</v>
      </c>
      <c r="AD913" t="s">
        <v>2029</v>
      </c>
      <c r="AE913" t="s">
        <v>17164</v>
      </c>
      <c r="AF913" t="s">
        <v>74</v>
      </c>
      <c r="AG913">
        <v>26</v>
      </c>
      <c r="AH913">
        <v>14</v>
      </c>
      <c r="AI913">
        <v>17</v>
      </c>
      <c r="AJ913">
        <v>3</v>
      </c>
      <c r="AK913">
        <v>11</v>
      </c>
      <c r="AL913" t="s">
        <v>6201</v>
      </c>
      <c r="AM913" t="s">
        <v>6202</v>
      </c>
      <c r="AN913" t="s">
        <v>6203</v>
      </c>
      <c r="AO913" t="s">
        <v>14142</v>
      </c>
      <c r="AP913" t="s">
        <v>14143</v>
      </c>
      <c r="AQ913" t="s">
        <v>74</v>
      </c>
      <c r="AR913" t="s">
        <v>14132</v>
      </c>
      <c r="AS913" t="s">
        <v>1954</v>
      </c>
      <c r="AT913" t="s">
        <v>17045</v>
      </c>
      <c r="AU913">
        <v>2014</v>
      </c>
      <c r="AV913">
        <v>42</v>
      </c>
      <c r="AW913">
        <v>10</v>
      </c>
      <c r="AX913" t="s">
        <v>74</v>
      </c>
      <c r="AY913" t="s">
        <v>74</v>
      </c>
      <c r="AZ913" t="s">
        <v>74</v>
      </c>
      <c r="BA913" t="s">
        <v>74</v>
      </c>
      <c r="BB913">
        <v>847</v>
      </c>
      <c r="BC913">
        <v>850</v>
      </c>
      <c r="BD913" t="s">
        <v>74</v>
      </c>
      <c r="BE913" t="s">
        <v>17165</v>
      </c>
      <c r="BF913" t="str">
        <f>HYPERLINK("http://dx.doi.org/10.1130/G35874.1","http://dx.doi.org/10.1130/G35874.1")</f>
        <v>http://dx.doi.org/10.1130/G35874.1</v>
      </c>
      <c r="BG913" t="s">
        <v>74</v>
      </c>
      <c r="BH913" t="s">
        <v>74</v>
      </c>
      <c r="BI913">
        <v>4</v>
      </c>
      <c r="BJ913" t="s">
        <v>1954</v>
      </c>
      <c r="BK913" t="s">
        <v>91</v>
      </c>
      <c r="BL913" t="s">
        <v>1954</v>
      </c>
      <c r="BM913" t="s">
        <v>17166</v>
      </c>
      <c r="BN913" t="s">
        <v>74</v>
      </c>
      <c r="BO913" t="s">
        <v>74</v>
      </c>
      <c r="BP913" t="s">
        <v>74</v>
      </c>
      <c r="BQ913" t="s">
        <v>74</v>
      </c>
      <c r="BR913" t="s">
        <v>93</v>
      </c>
      <c r="BS913" t="s">
        <v>17167</v>
      </c>
      <c r="BT913" t="str">
        <f>HYPERLINK("https%3A%2F%2Fwww.webofscience.com%2Fwos%2Fwoscc%2Ffull-record%2FWOS:000345363700004","View Full Record in Web of Science")</f>
        <v>View Full Record in Web of Science</v>
      </c>
    </row>
    <row r="914" spans="1:72" x14ac:dyDescent="0.15">
      <c r="A914" t="s">
        <v>72</v>
      </c>
      <c r="B914" t="s">
        <v>17168</v>
      </c>
      <c r="C914" t="s">
        <v>74</v>
      </c>
      <c r="D914" t="s">
        <v>74</v>
      </c>
      <c r="E914" t="s">
        <v>74</v>
      </c>
      <c r="F914" t="s">
        <v>17169</v>
      </c>
      <c r="G914" t="s">
        <v>74</v>
      </c>
      <c r="H914" t="s">
        <v>74</v>
      </c>
      <c r="I914" t="s">
        <v>17170</v>
      </c>
      <c r="J914" t="s">
        <v>2036</v>
      </c>
      <c r="K914" t="s">
        <v>74</v>
      </c>
      <c r="L914" t="s">
        <v>74</v>
      </c>
      <c r="M914" t="s">
        <v>78</v>
      </c>
      <c r="N914" t="s">
        <v>99</v>
      </c>
      <c r="O914" t="s">
        <v>74</v>
      </c>
      <c r="P914" t="s">
        <v>74</v>
      </c>
      <c r="Q914" t="s">
        <v>74</v>
      </c>
      <c r="R914" t="s">
        <v>74</v>
      </c>
      <c r="S914" t="s">
        <v>74</v>
      </c>
      <c r="T914" t="s">
        <v>17171</v>
      </c>
      <c r="U914" t="s">
        <v>17172</v>
      </c>
      <c r="V914" t="s">
        <v>17173</v>
      </c>
      <c r="W914" t="s">
        <v>17174</v>
      </c>
      <c r="X914" t="s">
        <v>17175</v>
      </c>
      <c r="Y914" t="s">
        <v>17176</v>
      </c>
      <c r="Z914" t="s">
        <v>17177</v>
      </c>
      <c r="AA914" t="s">
        <v>17178</v>
      </c>
      <c r="AB914" t="s">
        <v>17179</v>
      </c>
      <c r="AC914" t="s">
        <v>17180</v>
      </c>
      <c r="AD914" t="s">
        <v>17181</v>
      </c>
      <c r="AE914" t="s">
        <v>17182</v>
      </c>
      <c r="AF914" t="s">
        <v>74</v>
      </c>
      <c r="AG914">
        <v>25</v>
      </c>
      <c r="AH914">
        <v>89</v>
      </c>
      <c r="AI914">
        <v>91</v>
      </c>
      <c r="AJ914">
        <v>0</v>
      </c>
      <c r="AK914">
        <v>29</v>
      </c>
      <c r="AL914" t="s">
        <v>1945</v>
      </c>
      <c r="AM914" t="s">
        <v>1946</v>
      </c>
      <c r="AN914" t="s">
        <v>1947</v>
      </c>
      <c r="AO914" t="s">
        <v>2049</v>
      </c>
      <c r="AP914" t="s">
        <v>2050</v>
      </c>
      <c r="AQ914" t="s">
        <v>74</v>
      </c>
      <c r="AR914" t="s">
        <v>2051</v>
      </c>
      <c r="AS914" t="s">
        <v>2052</v>
      </c>
      <c r="AT914" t="s">
        <v>17045</v>
      </c>
      <c r="AU914">
        <v>2014</v>
      </c>
      <c r="AV914">
        <v>119</v>
      </c>
      <c r="AW914">
        <v>10</v>
      </c>
      <c r="AX914" t="s">
        <v>74</v>
      </c>
      <c r="AY914" t="s">
        <v>74</v>
      </c>
      <c r="AZ914" t="s">
        <v>74</v>
      </c>
      <c r="BA914" t="s">
        <v>74</v>
      </c>
      <c r="BB914">
        <v>6575</v>
      </c>
      <c r="BC914">
        <v>6592</v>
      </c>
      <c r="BD914" t="s">
        <v>74</v>
      </c>
      <c r="BE914" t="s">
        <v>17183</v>
      </c>
      <c r="BF914" t="str">
        <f>HYPERLINK("http://dx.doi.org/10.1002/2014JC010061","http://dx.doi.org/10.1002/2014JC010061")</f>
        <v>http://dx.doi.org/10.1002/2014JC010061</v>
      </c>
      <c r="BG914" t="s">
        <v>74</v>
      </c>
      <c r="BH914" t="s">
        <v>74</v>
      </c>
      <c r="BI914">
        <v>18</v>
      </c>
      <c r="BJ914" t="s">
        <v>2054</v>
      </c>
      <c r="BK914" t="s">
        <v>91</v>
      </c>
      <c r="BL914" t="s">
        <v>2054</v>
      </c>
      <c r="BM914" t="s">
        <v>17184</v>
      </c>
      <c r="BN914" t="s">
        <v>74</v>
      </c>
      <c r="BO914" t="s">
        <v>2544</v>
      </c>
      <c r="BP914" t="s">
        <v>74</v>
      </c>
      <c r="BQ914" t="s">
        <v>74</v>
      </c>
      <c r="BR914" t="s">
        <v>93</v>
      </c>
      <c r="BS914" t="s">
        <v>17185</v>
      </c>
      <c r="BT914" t="str">
        <f>HYPERLINK("https%3A%2F%2Fwww.webofscience.com%2Fwos%2Fwoscc%2Ffull-record%2FWOS:000345499700003","View Full Record in Web of Science")</f>
        <v>View Full Record in Web of Science</v>
      </c>
    </row>
    <row r="915" spans="1:72" x14ac:dyDescent="0.15">
      <c r="A915" t="s">
        <v>72</v>
      </c>
      <c r="B915" t="s">
        <v>17186</v>
      </c>
      <c r="C915" t="s">
        <v>74</v>
      </c>
      <c r="D915" t="s">
        <v>74</v>
      </c>
      <c r="E915" t="s">
        <v>74</v>
      </c>
      <c r="F915" t="s">
        <v>17187</v>
      </c>
      <c r="G915" t="s">
        <v>74</v>
      </c>
      <c r="H915" t="s">
        <v>74</v>
      </c>
      <c r="I915" t="s">
        <v>17188</v>
      </c>
      <c r="J915" t="s">
        <v>2036</v>
      </c>
      <c r="K915" t="s">
        <v>74</v>
      </c>
      <c r="L915" t="s">
        <v>74</v>
      </c>
      <c r="M915" t="s">
        <v>78</v>
      </c>
      <c r="N915" t="s">
        <v>99</v>
      </c>
      <c r="O915" t="s">
        <v>74</v>
      </c>
      <c r="P915" t="s">
        <v>74</v>
      </c>
      <c r="Q915" t="s">
        <v>74</v>
      </c>
      <c r="R915" t="s">
        <v>74</v>
      </c>
      <c r="S915" t="s">
        <v>74</v>
      </c>
      <c r="T915" t="s">
        <v>17189</v>
      </c>
      <c r="U915" t="s">
        <v>17190</v>
      </c>
      <c r="V915" t="s">
        <v>17191</v>
      </c>
      <c r="W915" t="s">
        <v>17192</v>
      </c>
      <c r="X915" t="s">
        <v>17193</v>
      </c>
      <c r="Y915" t="s">
        <v>17194</v>
      </c>
      <c r="Z915" t="s">
        <v>17195</v>
      </c>
      <c r="AA915" t="s">
        <v>17196</v>
      </c>
      <c r="AB915" t="s">
        <v>17197</v>
      </c>
      <c r="AC915" t="s">
        <v>17198</v>
      </c>
      <c r="AD915" t="s">
        <v>17199</v>
      </c>
      <c r="AE915" t="s">
        <v>17200</v>
      </c>
      <c r="AF915" t="s">
        <v>74</v>
      </c>
      <c r="AG915">
        <v>52</v>
      </c>
      <c r="AH915">
        <v>55</v>
      </c>
      <c r="AI915">
        <v>56</v>
      </c>
      <c r="AJ915">
        <v>1</v>
      </c>
      <c r="AK915">
        <v>21</v>
      </c>
      <c r="AL915" t="s">
        <v>1945</v>
      </c>
      <c r="AM915" t="s">
        <v>1946</v>
      </c>
      <c r="AN915" t="s">
        <v>1947</v>
      </c>
      <c r="AO915" t="s">
        <v>2049</v>
      </c>
      <c r="AP915" t="s">
        <v>2050</v>
      </c>
      <c r="AQ915" t="s">
        <v>74</v>
      </c>
      <c r="AR915" t="s">
        <v>2051</v>
      </c>
      <c r="AS915" t="s">
        <v>2052</v>
      </c>
      <c r="AT915" t="s">
        <v>17045</v>
      </c>
      <c r="AU915">
        <v>2014</v>
      </c>
      <c r="AV915">
        <v>119</v>
      </c>
      <c r="AW915">
        <v>10</v>
      </c>
      <c r="AX915" t="s">
        <v>74</v>
      </c>
      <c r="AY915" t="s">
        <v>74</v>
      </c>
      <c r="AZ915" t="s">
        <v>74</v>
      </c>
      <c r="BA915" t="s">
        <v>74</v>
      </c>
      <c r="BB915">
        <v>6763</v>
      </c>
      <c r="BC915">
        <v>6791</v>
      </c>
      <c r="BD915" t="s">
        <v>74</v>
      </c>
      <c r="BE915" t="s">
        <v>17201</v>
      </c>
      <c r="BF915" t="str">
        <f>HYPERLINK("http://dx.doi.org/10.1002/2014JC010076","http://dx.doi.org/10.1002/2014JC010076")</f>
        <v>http://dx.doi.org/10.1002/2014JC010076</v>
      </c>
      <c r="BG915" t="s">
        <v>74</v>
      </c>
      <c r="BH915" t="s">
        <v>74</v>
      </c>
      <c r="BI915">
        <v>29</v>
      </c>
      <c r="BJ915" t="s">
        <v>2054</v>
      </c>
      <c r="BK915" t="s">
        <v>91</v>
      </c>
      <c r="BL915" t="s">
        <v>2054</v>
      </c>
      <c r="BM915" t="s">
        <v>17184</v>
      </c>
      <c r="BN915" t="s">
        <v>74</v>
      </c>
      <c r="BO915" t="s">
        <v>74</v>
      </c>
      <c r="BP915" t="s">
        <v>74</v>
      </c>
      <c r="BQ915" t="s">
        <v>74</v>
      </c>
      <c r="BR915" t="s">
        <v>93</v>
      </c>
      <c r="BS915" t="s">
        <v>17202</v>
      </c>
      <c r="BT915" t="str">
        <f>HYPERLINK("https%3A%2F%2Fwww.webofscience.com%2Fwos%2Fwoscc%2Ffull-record%2FWOS:000345499700015","View Full Record in Web of Science")</f>
        <v>View Full Record in Web of Science</v>
      </c>
    </row>
    <row r="916" spans="1:72" x14ac:dyDescent="0.15">
      <c r="A916" t="s">
        <v>72</v>
      </c>
      <c r="B916" t="s">
        <v>17203</v>
      </c>
      <c r="C916" t="s">
        <v>74</v>
      </c>
      <c r="D916" t="s">
        <v>74</v>
      </c>
      <c r="E916" t="s">
        <v>74</v>
      </c>
      <c r="F916" t="s">
        <v>17204</v>
      </c>
      <c r="G916" t="s">
        <v>74</v>
      </c>
      <c r="H916" t="s">
        <v>74</v>
      </c>
      <c r="I916" t="s">
        <v>17205</v>
      </c>
      <c r="J916" t="s">
        <v>2061</v>
      </c>
      <c r="K916" t="s">
        <v>74</v>
      </c>
      <c r="L916" t="s">
        <v>74</v>
      </c>
      <c r="M916" t="s">
        <v>78</v>
      </c>
      <c r="N916" t="s">
        <v>99</v>
      </c>
      <c r="O916" t="s">
        <v>74</v>
      </c>
      <c r="P916" t="s">
        <v>74</v>
      </c>
      <c r="Q916" t="s">
        <v>74</v>
      </c>
      <c r="R916" t="s">
        <v>74</v>
      </c>
      <c r="S916" t="s">
        <v>74</v>
      </c>
      <c r="T916" t="s">
        <v>17206</v>
      </c>
      <c r="U916" t="s">
        <v>17207</v>
      </c>
      <c r="V916" t="s">
        <v>17208</v>
      </c>
      <c r="W916" t="s">
        <v>17209</v>
      </c>
      <c r="X916" t="s">
        <v>17210</v>
      </c>
      <c r="Y916" t="s">
        <v>17211</v>
      </c>
      <c r="Z916" t="s">
        <v>17212</v>
      </c>
      <c r="AA916" t="s">
        <v>74</v>
      </c>
      <c r="AB916" t="s">
        <v>17213</v>
      </c>
      <c r="AC916" t="s">
        <v>17214</v>
      </c>
      <c r="AD916" t="s">
        <v>12674</v>
      </c>
      <c r="AE916" t="s">
        <v>17215</v>
      </c>
      <c r="AF916" t="s">
        <v>74</v>
      </c>
      <c r="AG916">
        <v>73</v>
      </c>
      <c r="AH916">
        <v>16</v>
      </c>
      <c r="AI916">
        <v>17</v>
      </c>
      <c r="AJ916">
        <v>0</v>
      </c>
      <c r="AK916">
        <v>3</v>
      </c>
      <c r="AL916" t="s">
        <v>1945</v>
      </c>
      <c r="AM916" t="s">
        <v>1946</v>
      </c>
      <c r="AN916" t="s">
        <v>1947</v>
      </c>
      <c r="AO916" t="s">
        <v>2074</v>
      </c>
      <c r="AP916" t="s">
        <v>2075</v>
      </c>
      <c r="AQ916" t="s">
        <v>74</v>
      </c>
      <c r="AR916" t="s">
        <v>2076</v>
      </c>
      <c r="AS916" t="s">
        <v>2077</v>
      </c>
      <c r="AT916" t="s">
        <v>17045</v>
      </c>
      <c r="AU916">
        <v>2014</v>
      </c>
      <c r="AV916">
        <v>119</v>
      </c>
      <c r="AW916">
        <v>10</v>
      </c>
      <c r="AX916" t="s">
        <v>74</v>
      </c>
      <c r="AY916" t="s">
        <v>74</v>
      </c>
      <c r="AZ916" t="s">
        <v>74</v>
      </c>
      <c r="BA916" t="s">
        <v>74</v>
      </c>
      <c r="BB916">
        <v>8299</v>
      </c>
      <c r="BC916">
        <v>8317</v>
      </c>
      <c r="BD916" t="s">
        <v>74</v>
      </c>
      <c r="BE916" t="s">
        <v>17216</v>
      </c>
      <c r="BF916" t="str">
        <f>HYPERLINK("http://dx.doi.org/10.1002/2014JA019975","http://dx.doi.org/10.1002/2014JA019975")</f>
        <v>http://dx.doi.org/10.1002/2014JA019975</v>
      </c>
      <c r="BG916" t="s">
        <v>74</v>
      </c>
      <c r="BH916" t="s">
        <v>74</v>
      </c>
      <c r="BI916">
        <v>19</v>
      </c>
      <c r="BJ916" t="s">
        <v>2079</v>
      </c>
      <c r="BK916" t="s">
        <v>91</v>
      </c>
      <c r="BL916" t="s">
        <v>2079</v>
      </c>
      <c r="BM916" t="s">
        <v>17217</v>
      </c>
      <c r="BN916" t="s">
        <v>74</v>
      </c>
      <c r="BO916" t="s">
        <v>375</v>
      </c>
      <c r="BP916" t="s">
        <v>74</v>
      </c>
      <c r="BQ916" t="s">
        <v>74</v>
      </c>
      <c r="BR916" t="s">
        <v>93</v>
      </c>
      <c r="BS916" t="s">
        <v>17218</v>
      </c>
      <c r="BT916" t="str">
        <f>HYPERLINK("https%3A%2F%2Fwww.webofscience.com%2Fwos%2Fwoscc%2Ffull-record%2FWOS:000345445400024","View Full Record in Web of Science")</f>
        <v>View Full Record in Web of Science</v>
      </c>
    </row>
    <row r="917" spans="1:72" x14ac:dyDescent="0.15">
      <c r="A917" t="s">
        <v>72</v>
      </c>
      <c r="B917" t="s">
        <v>17219</v>
      </c>
      <c r="C917" t="s">
        <v>74</v>
      </c>
      <c r="D917" t="s">
        <v>74</v>
      </c>
      <c r="E917" t="s">
        <v>74</v>
      </c>
      <c r="F917" t="s">
        <v>17220</v>
      </c>
      <c r="G917" t="s">
        <v>74</v>
      </c>
      <c r="H917" t="s">
        <v>74</v>
      </c>
      <c r="I917" t="s">
        <v>17221</v>
      </c>
      <c r="J917" t="s">
        <v>9993</v>
      </c>
      <c r="K917" t="s">
        <v>74</v>
      </c>
      <c r="L917" t="s">
        <v>74</v>
      </c>
      <c r="M917" t="s">
        <v>78</v>
      </c>
      <c r="N917" t="s">
        <v>99</v>
      </c>
      <c r="O917" t="s">
        <v>74</v>
      </c>
      <c r="P917" t="s">
        <v>74</v>
      </c>
      <c r="Q917" t="s">
        <v>74</v>
      </c>
      <c r="R917" t="s">
        <v>74</v>
      </c>
      <c r="S917" t="s">
        <v>74</v>
      </c>
      <c r="T917" t="s">
        <v>17222</v>
      </c>
      <c r="U917" t="s">
        <v>17223</v>
      </c>
      <c r="V917" t="s">
        <v>17224</v>
      </c>
      <c r="W917" t="s">
        <v>17225</v>
      </c>
      <c r="X917" t="s">
        <v>17226</v>
      </c>
      <c r="Y917" t="s">
        <v>17227</v>
      </c>
      <c r="Z917" t="s">
        <v>17228</v>
      </c>
      <c r="AA917" t="s">
        <v>74</v>
      </c>
      <c r="AB917" t="s">
        <v>17229</v>
      </c>
      <c r="AC917" t="s">
        <v>74</v>
      </c>
      <c r="AD917" t="s">
        <v>74</v>
      </c>
      <c r="AE917" t="s">
        <v>74</v>
      </c>
      <c r="AF917" t="s">
        <v>74</v>
      </c>
      <c r="AG917">
        <v>34</v>
      </c>
      <c r="AH917">
        <v>7</v>
      </c>
      <c r="AI917">
        <v>8</v>
      </c>
      <c r="AJ917">
        <v>1</v>
      </c>
      <c r="AK917">
        <v>28</v>
      </c>
      <c r="AL917" t="s">
        <v>2640</v>
      </c>
      <c r="AM917" t="s">
        <v>1176</v>
      </c>
      <c r="AN917" t="s">
        <v>2641</v>
      </c>
      <c r="AO917" t="s">
        <v>10006</v>
      </c>
      <c r="AP917" t="s">
        <v>10007</v>
      </c>
      <c r="AQ917" t="s">
        <v>74</v>
      </c>
      <c r="AR917" t="s">
        <v>10008</v>
      </c>
      <c r="AS917" t="s">
        <v>10009</v>
      </c>
      <c r="AT917" t="s">
        <v>17045</v>
      </c>
      <c r="AU917">
        <v>2014</v>
      </c>
      <c r="AV917">
        <v>17</v>
      </c>
      <c r="AW917" t="s">
        <v>74</v>
      </c>
      <c r="AX917" t="s">
        <v>74</v>
      </c>
      <c r="AY917" t="s">
        <v>74</v>
      </c>
      <c r="AZ917" t="s">
        <v>1437</v>
      </c>
      <c r="BA917" t="s">
        <v>74</v>
      </c>
      <c r="BB917">
        <v>73</v>
      </c>
      <c r="BC917">
        <v>78</v>
      </c>
      <c r="BD917" t="s">
        <v>74</v>
      </c>
      <c r="BE917" t="s">
        <v>17230</v>
      </c>
      <c r="BF917" t="str">
        <f>HYPERLINK("http://dx.doi.org/10.1016/j.margen.2014.04.008","http://dx.doi.org/10.1016/j.margen.2014.04.008")</f>
        <v>http://dx.doi.org/10.1016/j.margen.2014.04.008</v>
      </c>
      <c r="BG917" t="s">
        <v>74</v>
      </c>
      <c r="BH917" t="s">
        <v>74</v>
      </c>
      <c r="BI917">
        <v>6</v>
      </c>
      <c r="BJ917" t="s">
        <v>10011</v>
      </c>
      <c r="BK917" t="s">
        <v>91</v>
      </c>
      <c r="BL917" t="s">
        <v>10011</v>
      </c>
      <c r="BM917" t="s">
        <v>17231</v>
      </c>
      <c r="BN917">
        <v>24882807</v>
      </c>
      <c r="BO917" t="s">
        <v>74</v>
      </c>
      <c r="BP917" t="s">
        <v>74</v>
      </c>
      <c r="BQ917" t="s">
        <v>74</v>
      </c>
      <c r="BR917" t="s">
        <v>93</v>
      </c>
      <c r="BS917" t="s">
        <v>17232</v>
      </c>
      <c r="BT917" t="str">
        <f>HYPERLINK("https%3A%2F%2Fwww.webofscience.com%2Fwos%2Fwoscc%2Ffull-record%2FWOS:000345476000012","View Full Record in Web of Science")</f>
        <v>View Full Record in Web of Science</v>
      </c>
    </row>
    <row r="918" spans="1:72" x14ac:dyDescent="0.15">
      <c r="A918" t="s">
        <v>72</v>
      </c>
      <c r="B918" t="s">
        <v>17233</v>
      </c>
      <c r="C918" t="s">
        <v>74</v>
      </c>
      <c r="D918" t="s">
        <v>74</v>
      </c>
      <c r="E918" t="s">
        <v>74</v>
      </c>
      <c r="F918" t="s">
        <v>17234</v>
      </c>
      <c r="G918" t="s">
        <v>74</v>
      </c>
      <c r="H918" t="s">
        <v>74</v>
      </c>
      <c r="I918" t="s">
        <v>17235</v>
      </c>
      <c r="J918" t="s">
        <v>5464</v>
      </c>
      <c r="K918" t="s">
        <v>74</v>
      </c>
      <c r="L918" t="s">
        <v>74</v>
      </c>
      <c r="M918" t="s">
        <v>78</v>
      </c>
      <c r="N918" t="s">
        <v>99</v>
      </c>
      <c r="O918" t="s">
        <v>74</v>
      </c>
      <c r="P918" t="s">
        <v>74</v>
      </c>
      <c r="Q918" t="s">
        <v>74</v>
      </c>
      <c r="R918" t="s">
        <v>74</v>
      </c>
      <c r="S918" t="s">
        <v>74</v>
      </c>
      <c r="T918" t="s">
        <v>17236</v>
      </c>
      <c r="U918" t="s">
        <v>17237</v>
      </c>
      <c r="V918" t="s">
        <v>17238</v>
      </c>
      <c r="W918" t="s">
        <v>17239</v>
      </c>
      <c r="X918" t="s">
        <v>17240</v>
      </c>
      <c r="Y918" t="s">
        <v>17241</v>
      </c>
      <c r="Z918" t="s">
        <v>17242</v>
      </c>
      <c r="AA918" t="s">
        <v>17243</v>
      </c>
      <c r="AB918" t="s">
        <v>17244</v>
      </c>
      <c r="AC918" t="s">
        <v>17245</v>
      </c>
      <c r="AD918" t="s">
        <v>17246</v>
      </c>
      <c r="AE918" t="s">
        <v>17247</v>
      </c>
      <c r="AF918" t="s">
        <v>74</v>
      </c>
      <c r="AG918">
        <v>69</v>
      </c>
      <c r="AH918">
        <v>4</v>
      </c>
      <c r="AI918">
        <v>5</v>
      </c>
      <c r="AJ918">
        <v>0</v>
      </c>
      <c r="AK918">
        <v>20</v>
      </c>
      <c r="AL918" t="s">
        <v>2439</v>
      </c>
      <c r="AM918" t="s">
        <v>1411</v>
      </c>
      <c r="AN918" t="s">
        <v>2440</v>
      </c>
      <c r="AO918" t="s">
        <v>5477</v>
      </c>
      <c r="AP918" t="s">
        <v>5478</v>
      </c>
      <c r="AQ918" t="s">
        <v>74</v>
      </c>
      <c r="AR918" t="s">
        <v>5479</v>
      </c>
      <c r="AS918" t="s">
        <v>5480</v>
      </c>
      <c r="AT918" t="s">
        <v>17045</v>
      </c>
      <c r="AU918">
        <v>2014</v>
      </c>
      <c r="AV918">
        <v>108</v>
      </c>
      <c r="AW918" t="s">
        <v>74</v>
      </c>
      <c r="AX918" t="s">
        <v>74</v>
      </c>
      <c r="AY918" t="s">
        <v>74</v>
      </c>
      <c r="AZ918" t="s">
        <v>1437</v>
      </c>
      <c r="BA918" t="s">
        <v>74</v>
      </c>
      <c r="BB918">
        <v>27</v>
      </c>
      <c r="BC918">
        <v>32</v>
      </c>
      <c r="BD918" t="s">
        <v>74</v>
      </c>
      <c r="BE918" t="s">
        <v>17248</v>
      </c>
      <c r="BF918" t="str">
        <f>HYPERLINK("http://dx.doi.org/10.1016/j.dsr2.2014.07.017","http://dx.doi.org/10.1016/j.dsr2.2014.07.017")</f>
        <v>http://dx.doi.org/10.1016/j.dsr2.2014.07.017</v>
      </c>
      <c r="BG918" t="s">
        <v>74</v>
      </c>
      <c r="BH918" t="s">
        <v>74</v>
      </c>
      <c r="BI918">
        <v>6</v>
      </c>
      <c r="BJ918" t="s">
        <v>2054</v>
      </c>
      <c r="BK918" t="s">
        <v>91</v>
      </c>
      <c r="BL918" t="s">
        <v>2054</v>
      </c>
      <c r="BM918" t="s">
        <v>17249</v>
      </c>
      <c r="BN918" t="s">
        <v>74</v>
      </c>
      <c r="BO918" t="s">
        <v>2056</v>
      </c>
      <c r="BP918" t="s">
        <v>74</v>
      </c>
      <c r="BQ918" t="s">
        <v>74</v>
      </c>
      <c r="BR918" t="s">
        <v>93</v>
      </c>
      <c r="BS918" t="s">
        <v>17250</v>
      </c>
      <c r="BT918" t="str">
        <f>HYPERLINK("https%3A%2F%2Fwww.webofscience.com%2Fwos%2Fwoscc%2Ffull-record%2FWOS:000345110800004","View Full Record in Web of Science")</f>
        <v>View Full Record in Web of Science</v>
      </c>
    </row>
    <row r="919" spans="1:72" x14ac:dyDescent="0.15">
      <c r="A919" t="s">
        <v>72</v>
      </c>
      <c r="B919" t="s">
        <v>17251</v>
      </c>
      <c r="C919" t="s">
        <v>74</v>
      </c>
      <c r="D919" t="s">
        <v>74</v>
      </c>
      <c r="E919" t="s">
        <v>74</v>
      </c>
      <c r="F919" t="s">
        <v>17252</v>
      </c>
      <c r="G919" t="s">
        <v>74</v>
      </c>
      <c r="H919" t="s">
        <v>74</v>
      </c>
      <c r="I919" t="s">
        <v>17253</v>
      </c>
      <c r="J919" t="s">
        <v>5464</v>
      </c>
      <c r="K919" t="s">
        <v>74</v>
      </c>
      <c r="L919" t="s">
        <v>74</v>
      </c>
      <c r="M919" t="s">
        <v>78</v>
      </c>
      <c r="N919" t="s">
        <v>99</v>
      </c>
      <c r="O919" t="s">
        <v>74</v>
      </c>
      <c r="P919" t="s">
        <v>74</v>
      </c>
      <c r="Q919" t="s">
        <v>74</v>
      </c>
      <c r="R919" t="s">
        <v>74</v>
      </c>
      <c r="S919" t="s">
        <v>74</v>
      </c>
      <c r="T919" t="s">
        <v>17254</v>
      </c>
      <c r="U919" t="s">
        <v>17255</v>
      </c>
      <c r="V919" t="s">
        <v>17256</v>
      </c>
      <c r="W919" t="s">
        <v>17257</v>
      </c>
      <c r="X919" t="s">
        <v>17258</v>
      </c>
      <c r="Y919" t="s">
        <v>17259</v>
      </c>
      <c r="Z919" t="s">
        <v>17260</v>
      </c>
      <c r="AA919" t="s">
        <v>17261</v>
      </c>
      <c r="AB919" t="s">
        <v>74</v>
      </c>
      <c r="AC919" t="s">
        <v>17262</v>
      </c>
      <c r="AD919" t="s">
        <v>17263</v>
      </c>
      <c r="AE919" t="s">
        <v>17264</v>
      </c>
      <c r="AF919" t="s">
        <v>74</v>
      </c>
      <c r="AG919">
        <v>46</v>
      </c>
      <c r="AH919">
        <v>6</v>
      </c>
      <c r="AI919">
        <v>6</v>
      </c>
      <c r="AJ919">
        <v>1</v>
      </c>
      <c r="AK919">
        <v>14</v>
      </c>
      <c r="AL919" t="s">
        <v>2439</v>
      </c>
      <c r="AM919" t="s">
        <v>1411</v>
      </c>
      <c r="AN919" t="s">
        <v>2440</v>
      </c>
      <c r="AO919" t="s">
        <v>5477</v>
      </c>
      <c r="AP919" t="s">
        <v>5478</v>
      </c>
      <c r="AQ919" t="s">
        <v>74</v>
      </c>
      <c r="AR919" t="s">
        <v>5479</v>
      </c>
      <c r="AS919" t="s">
        <v>5480</v>
      </c>
      <c r="AT919" t="s">
        <v>17045</v>
      </c>
      <c r="AU919">
        <v>2014</v>
      </c>
      <c r="AV919">
        <v>108</v>
      </c>
      <c r="AW919" t="s">
        <v>74</v>
      </c>
      <c r="AX919" t="s">
        <v>74</v>
      </c>
      <c r="AY919" t="s">
        <v>74</v>
      </c>
      <c r="AZ919" t="s">
        <v>1437</v>
      </c>
      <c r="BA919" t="s">
        <v>74</v>
      </c>
      <c r="BB919">
        <v>85</v>
      </c>
      <c r="BC919">
        <v>92</v>
      </c>
      <c r="BD919" t="s">
        <v>74</v>
      </c>
      <c r="BE919" t="s">
        <v>17265</v>
      </c>
      <c r="BF919" t="str">
        <f>HYPERLINK("http://dx.doi.org/10.1016/j.dsr2.2014.09.003","http://dx.doi.org/10.1016/j.dsr2.2014.09.003")</f>
        <v>http://dx.doi.org/10.1016/j.dsr2.2014.09.003</v>
      </c>
      <c r="BG919" t="s">
        <v>74</v>
      </c>
      <c r="BH919" t="s">
        <v>74</v>
      </c>
      <c r="BI919">
        <v>8</v>
      </c>
      <c r="BJ919" t="s">
        <v>2054</v>
      </c>
      <c r="BK919" t="s">
        <v>91</v>
      </c>
      <c r="BL919" t="s">
        <v>2054</v>
      </c>
      <c r="BM919" t="s">
        <v>17249</v>
      </c>
      <c r="BN919" t="s">
        <v>74</v>
      </c>
      <c r="BO919" t="s">
        <v>74</v>
      </c>
      <c r="BP919" t="s">
        <v>74</v>
      </c>
      <c r="BQ919" t="s">
        <v>74</v>
      </c>
      <c r="BR919" t="s">
        <v>93</v>
      </c>
      <c r="BS919" t="s">
        <v>17266</v>
      </c>
      <c r="BT919" t="str">
        <f>HYPERLINK("https%3A%2F%2Fwww.webofscience.com%2Fwos%2Fwoscc%2Ffull-record%2FWOS:000345110800010","View Full Record in Web of Science")</f>
        <v>View Full Record in Web of Science</v>
      </c>
    </row>
    <row r="920" spans="1:72" x14ac:dyDescent="0.15">
      <c r="A920" t="s">
        <v>72</v>
      </c>
      <c r="B920" t="s">
        <v>17267</v>
      </c>
      <c r="C920" t="s">
        <v>74</v>
      </c>
      <c r="D920" t="s">
        <v>74</v>
      </c>
      <c r="E920" t="s">
        <v>74</v>
      </c>
      <c r="F920" t="s">
        <v>17268</v>
      </c>
      <c r="G920" t="s">
        <v>74</v>
      </c>
      <c r="H920" t="s">
        <v>74</v>
      </c>
      <c r="I920" t="s">
        <v>17269</v>
      </c>
      <c r="J920" t="s">
        <v>5464</v>
      </c>
      <c r="K920" t="s">
        <v>74</v>
      </c>
      <c r="L920" t="s">
        <v>74</v>
      </c>
      <c r="M920" t="s">
        <v>78</v>
      </c>
      <c r="N920" t="s">
        <v>99</v>
      </c>
      <c r="O920" t="s">
        <v>74</v>
      </c>
      <c r="P920" t="s">
        <v>74</v>
      </c>
      <c r="Q920" t="s">
        <v>74</v>
      </c>
      <c r="R920" t="s">
        <v>74</v>
      </c>
      <c r="S920" t="s">
        <v>74</v>
      </c>
      <c r="T920" t="s">
        <v>17270</v>
      </c>
      <c r="U920" t="s">
        <v>17271</v>
      </c>
      <c r="V920" t="s">
        <v>17272</v>
      </c>
      <c r="W920" t="s">
        <v>17273</v>
      </c>
      <c r="X920" t="s">
        <v>17274</v>
      </c>
      <c r="Y920" t="s">
        <v>17275</v>
      </c>
      <c r="Z920" t="s">
        <v>17276</v>
      </c>
      <c r="AA920" t="s">
        <v>17277</v>
      </c>
      <c r="AB920" t="s">
        <v>17278</v>
      </c>
      <c r="AC920" t="s">
        <v>17279</v>
      </c>
      <c r="AD920" t="s">
        <v>17280</v>
      </c>
      <c r="AE920" t="s">
        <v>17281</v>
      </c>
      <c r="AF920" t="s">
        <v>74</v>
      </c>
      <c r="AG920">
        <v>62</v>
      </c>
      <c r="AH920">
        <v>19</v>
      </c>
      <c r="AI920">
        <v>22</v>
      </c>
      <c r="AJ920">
        <v>0</v>
      </c>
      <c r="AK920">
        <v>41</v>
      </c>
      <c r="AL920" t="s">
        <v>2439</v>
      </c>
      <c r="AM920" t="s">
        <v>1411</v>
      </c>
      <c r="AN920" t="s">
        <v>2440</v>
      </c>
      <c r="AO920" t="s">
        <v>5477</v>
      </c>
      <c r="AP920" t="s">
        <v>5478</v>
      </c>
      <c r="AQ920" t="s">
        <v>74</v>
      </c>
      <c r="AR920" t="s">
        <v>5479</v>
      </c>
      <c r="AS920" t="s">
        <v>5480</v>
      </c>
      <c r="AT920" t="s">
        <v>17045</v>
      </c>
      <c r="AU920">
        <v>2014</v>
      </c>
      <c r="AV920">
        <v>108</v>
      </c>
      <c r="AW920" t="s">
        <v>74</v>
      </c>
      <c r="AX920" t="s">
        <v>74</v>
      </c>
      <c r="AY920" t="s">
        <v>74</v>
      </c>
      <c r="AZ920" t="s">
        <v>1437</v>
      </c>
      <c r="BA920" t="s">
        <v>74</v>
      </c>
      <c r="BB920">
        <v>101</v>
      </c>
      <c r="BC920">
        <v>112</v>
      </c>
      <c r="BD920" t="s">
        <v>74</v>
      </c>
      <c r="BE920" t="s">
        <v>17282</v>
      </c>
      <c r="BF920" t="str">
        <f>HYPERLINK("http://dx.doi.org/10.1016/j.dsr2.2014.06.005","http://dx.doi.org/10.1016/j.dsr2.2014.06.005")</f>
        <v>http://dx.doi.org/10.1016/j.dsr2.2014.06.005</v>
      </c>
      <c r="BG920" t="s">
        <v>74</v>
      </c>
      <c r="BH920" t="s">
        <v>74</v>
      </c>
      <c r="BI920">
        <v>12</v>
      </c>
      <c r="BJ920" t="s">
        <v>2054</v>
      </c>
      <c r="BK920" t="s">
        <v>91</v>
      </c>
      <c r="BL920" t="s">
        <v>2054</v>
      </c>
      <c r="BM920" t="s">
        <v>17249</v>
      </c>
      <c r="BN920" t="s">
        <v>74</v>
      </c>
      <c r="BO920" t="s">
        <v>74</v>
      </c>
      <c r="BP920" t="s">
        <v>74</v>
      </c>
      <c r="BQ920" t="s">
        <v>74</v>
      </c>
      <c r="BR920" t="s">
        <v>93</v>
      </c>
      <c r="BS920" t="s">
        <v>17283</v>
      </c>
      <c r="BT920" t="str">
        <f>HYPERLINK("https%3A%2F%2Fwww.webofscience.com%2Fwos%2Fwoscc%2Ffull-record%2FWOS:000345110800012","View Full Record in Web of Science")</f>
        <v>View Full Record in Web of Science</v>
      </c>
    </row>
    <row r="921" spans="1:72" x14ac:dyDescent="0.15">
      <c r="A921" t="s">
        <v>72</v>
      </c>
      <c r="B921" t="s">
        <v>17284</v>
      </c>
      <c r="C921" t="s">
        <v>74</v>
      </c>
      <c r="D921" t="s">
        <v>74</v>
      </c>
      <c r="E921" t="s">
        <v>74</v>
      </c>
      <c r="F921" t="s">
        <v>17285</v>
      </c>
      <c r="G921" t="s">
        <v>74</v>
      </c>
      <c r="H921" t="s">
        <v>74</v>
      </c>
      <c r="I921" t="s">
        <v>17286</v>
      </c>
      <c r="J921" t="s">
        <v>6167</v>
      </c>
      <c r="K921" t="s">
        <v>74</v>
      </c>
      <c r="L921" t="s">
        <v>74</v>
      </c>
      <c r="M921" t="s">
        <v>78</v>
      </c>
      <c r="N921" t="s">
        <v>99</v>
      </c>
      <c r="O921" t="s">
        <v>74</v>
      </c>
      <c r="P921" t="s">
        <v>74</v>
      </c>
      <c r="Q921" t="s">
        <v>74</v>
      </c>
      <c r="R921" t="s">
        <v>74</v>
      </c>
      <c r="S921" t="s">
        <v>74</v>
      </c>
      <c r="T921" t="s">
        <v>17287</v>
      </c>
      <c r="U921" t="s">
        <v>17288</v>
      </c>
      <c r="V921" t="s">
        <v>17289</v>
      </c>
      <c r="W921" t="s">
        <v>17290</v>
      </c>
      <c r="X921" t="s">
        <v>17291</v>
      </c>
      <c r="Y921" t="s">
        <v>17292</v>
      </c>
      <c r="Z921" t="s">
        <v>17293</v>
      </c>
      <c r="AA921" t="s">
        <v>17294</v>
      </c>
      <c r="AB921" t="s">
        <v>17295</v>
      </c>
      <c r="AC921" t="s">
        <v>17296</v>
      </c>
      <c r="AD921" t="s">
        <v>17297</v>
      </c>
      <c r="AE921" t="s">
        <v>17298</v>
      </c>
      <c r="AF921" t="s">
        <v>74</v>
      </c>
      <c r="AG921">
        <v>61</v>
      </c>
      <c r="AH921">
        <v>57</v>
      </c>
      <c r="AI921">
        <v>63</v>
      </c>
      <c r="AJ921">
        <v>1</v>
      </c>
      <c r="AK921">
        <v>57</v>
      </c>
      <c r="AL921" t="s">
        <v>1945</v>
      </c>
      <c r="AM921" t="s">
        <v>1946</v>
      </c>
      <c r="AN921" t="s">
        <v>1947</v>
      </c>
      <c r="AO921" t="s">
        <v>6179</v>
      </c>
      <c r="AP921" t="s">
        <v>74</v>
      </c>
      <c r="AQ921" t="s">
        <v>74</v>
      </c>
      <c r="AR921" t="s">
        <v>6180</v>
      </c>
      <c r="AS921" t="s">
        <v>6181</v>
      </c>
      <c r="AT921" t="s">
        <v>17045</v>
      </c>
      <c r="AU921">
        <v>2014</v>
      </c>
      <c r="AV921">
        <v>15</v>
      </c>
      <c r="AW921">
        <v>10</v>
      </c>
      <c r="AX921" t="s">
        <v>74</v>
      </c>
      <c r="AY921" t="s">
        <v>74</v>
      </c>
      <c r="AZ921" t="s">
        <v>74</v>
      </c>
      <c r="BA921" t="s">
        <v>74</v>
      </c>
      <c r="BB921">
        <v>3890</v>
      </c>
      <c r="BC921">
        <v>3906</v>
      </c>
      <c r="BD921" t="s">
        <v>74</v>
      </c>
      <c r="BE921" t="s">
        <v>17299</v>
      </c>
      <c r="BF921" t="str">
        <f>HYPERLINK("http://dx.doi.org/10.1002/2014GC005462","http://dx.doi.org/10.1002/2014GC005462")</f>
        <v>http://dx.doi.org/10.1002/2014GC005462</v>
      </c>
      <c r="BG921" t="s">
        <v>74</v>
      </c>
      <c r="BH921" t="s">
        <v>74</v>
      </c>
      <c r="BI921">
        <v>17</v>
      </c>
      <c r="BJ921" t="s">
        <v>1902</v>
      </c>
      <c r="BK921" t="s">
        <v>91</v>
      </c>
      <c r="BL921" t="s">
        <v>1902</v>
      </c>
      <c r="BM921" t="s">
        <v>17300</v>
      </c>
      <c r="BN921" t="s">
        <v>74</v>
      </c>
      <c r="BO921" t="s">
        <v>375</v>
      </c>
      <c r="BP921" t="s">
        <v>74</v>
      </c>
      <c r="BQ921" t="s">
        <v>74</v>
      </c>
      <c r="BR921" t="s">
        <v>93</v>
      </c>
      <c r="BS921" t="s">
        <v>17301</v>
      </c>
      <c r="BT921" t="str">
        <f>HYPERLINK("https%3A%2F%2Fwww.webofscience.com%2Fwos%2Fwoscc%2Ffull-record%2FWOS:000345320100008","View Full Record in Web of Science")</f>
        <v>View Full Record in Web of Science</v>
      </c>
    </row>
    <row r="922" spans="1:72" x14ac:dyDescent="0.15">
      <c r="A922" t="s">
        <v>72</v>
      </c>
      <c r="B922" t="s">
        <v>17302</v>
      </c>
      <c r="C922" t="s">
        <v>74</v>
      </c>
      <c r="D922" t="s">
        <v>74</v>
      </c>
      <c r="E922" t="s">
        <v>74</v>
      </c>
      <c r="F922" t="s">
        <v>17303</v>
      </c>
      <c r="G922" t="s">
        <v>74</v>
      </c>
      <c r="H922" t="s">
        <v>74</v>
      </c>
      <c r="I922" t="s">
        <v>17304</v>
      </c>
      <c r="J922" t="s">
        <v>10938</v>
      </c>
      <c r="K922" t="s">
        <v>74</v>
      </c>
      <c r="L922" t="s">
        <v>74</v>
      </c>
      <c r="M922" t="s">
        <v>78</v>
      </c>
      <c r="N922" t="s">
        <v>99</v>
      </c>
      <c r="O922" t="s">
        <v>74</v>
      </c>
      <c r="P922" t="s">
        <v>74</v>
      </c>
      <c r="Q922" t="s">
        <v>74</v>
      </c>
      <c r="R922" t="s">
        <v>74</v>
      </c>
      <c r="S922" t="s">
        <v>74</v>
      </c>
      <c r="T922" t="s">
        <v>17305</v>
      </c>
      <c r="U922" t="s">
        <v>17306</v>
      </c>
      <c r="V922" t="s">
        <v>17307</v>
      </c>
      <c r="W922" t="s">
        <v>17308</v>
      </c>
      <c r="X922" t="s">
        <v>17309</v>
      </c>
      <c r="Y922" t="s">
        <v>17310</v>
      </c>
      <c r="Z922" t="s">
        <v>10921</v>
      </c>
      <c r="AA922" t="s">
        <v>10922</v>
      </c>
      <c r="AB922" t="s">
        <v>10923</v>
      </c>
      <c r="AC922" t="s">
        <v>17311</v>
      </c>
      <c r="AD922" t="s">
        <v>17312</v>
      </c>
      <c r="AE922" t="s">
        <v>17313</v>
      </c>
      <c r="AF922" t="s">
        <v>74</v>
      </c>
      <c r="AG922">
        <v>28</v>
      </c>
      <c r="AH922">
        <v>3</v>
      </c>
      <c r="AI922">
        <v>5</v>
      </c>
      <c r="AJ922">
        <v>0</v>
      </c>
      <c r="AK922">
        <v>27</v>
      </c>
      <c r="AL922" t="s">
        <v>365</v>
      </c>
      <c r="AM922" t="s">
        <v>342</v>
      </c>
      <c r="AN922" t="s">
        <v>2314</v>
      </c>
      <c r="AO922" t="s">
        <v>10944</v>
      </c>
      <c r="AP922" t="s">
        <v>10945</v>
      </c>
      <c r="AQ922" t="s">
        <v>74</v>
      </c>
      <c r="AR922" t="s">
        <v>10946</v>
      </c>
      <c r="AS922" t="s">
        <v>10947</v>
      </c>
      <c r="AT922" t="s">
        <v>17045</v>
      </c>
      <c r="AU922">
        <v>2014</v>
      </c>
      <c r="AV922">
        <v>26</v>
      </c>
      <c r="AW922">
        <v>5</v>
      </c>
      <c r="AX922" t="s">
        <v>74</v>
      </c>
      <c r="AY922" t="s">
        <v>74</v>
      </c>
      <c r="AZ922" t="s">
        <v>74</v>
      </c>
      <c r="BA922" t="s">
        <v>74</v>
      </c>
      <c r="BB922">
        <v>479</v>
      </c>
      <c r="BC922">
        <v>490</v>
      </c>
      <c r="BD922" t="s">
        <v>74</v>
      </c>
      <c r="BE922" t="s">
        <v>17314</v>
      </c>
      <c r="BF922" t="str">
        <f>HYPERLINK("http://dx.doi.org/10.1017/S0954102013000965","http://dx.doi.org/10.1017/S0954102013000965")</f>
        <v>http://dx.doi.org/10.1017/S0954102013000965</v>
      </c>
      <c r="BG922" t="s">
        <v>74</v>
      </c>
      <c r="BH922" t="s">
        <v>74</v>
      </c>
      <c r="BI922">
        <v>12</v>
      </c>
      <c r="BJ922" t="s">
        <v>10949</v>
      </c>
      <c r="BK922" t="s">
        <v>91</v>
      </c>
      <c r="BL922" t="s">
        <v>10950</v>
      </c>
      <c r="BM922" t="s">
        <v>17315</v>
      </c>
      <c r="BN922" t="s">
        <v>74</v>
      </c>
      <c r="BO922" t="s">
        <v>74</v>
      </c>
      <c r="BP922" t="s">
        <v>74</v>
      </c>
      <c r="BQ922" t="s">
        <v>74</v>
      </c>
      <c r="BR922" t="s">
        <v>93</v>
      </c>
      <c r="BS922" t="s">
        <v>17316</v>
      </c>
      <c r="BT922" t="str">
        <f>HYPERLINK("https%3A%2F%2Fwww.webofscience.com%2Fwos%2Fwoscc%2Ffull-record%2FWOS:000344735300003","View Full Record in Web of Science")</f>
        <v>View Full Record in Web of Science</v>
      </c>
    </row>
    <row r="923" spans="1:72" x14ac:dyDescent="0.15">
      <c r="A923" t="s">
        <v>72</v>
      </c>
      <c r="B923" t="s">
        <v>17317</v>
      </c>
      <c r="C923" t="s">
        <v>74</v>
      </c>
      <c r="D923" t="s">
        <v>74</v>
      </c>
      <c r="E923" t="s">
        <v>74</v>
      </c>
      <c r="F923" t="s">
        <v>17318</v>
      </c>
      <c r="G923" t="s">
        <v>74</v>
      </c>
      <c r="H923" t="s">
        <v>74</v>
      </c>
      <c r="I923" t="s">
        <v>17319</v>
      </c>
      <c r="J923" t="s">
        <v>10938</v>
      </c>
      <c r="K923" t="s">
        <v>74</v>
      </c>
      <c r="L923" t="s">
        <v>74</v>
      </c>
      <c r="M923" t="s">
        <v>78</v>
      </c>
      <c r="N923" t="s">
        <v>99</v>
      </c>
      <c r="O923" t="s">
        <v>74</v>
      </c>
      <c r="P923" t="s">
        <v>74</v>
      </c>
      <c r="Q923" t="s">
        <v>74</v>
      </c>
      <c r="R923" t="s">
        <v>74</v>
      </c>
      <c r="S923" t="s">
        <v>74</v>
      </c>
      <c r="T923" t="s">
        <v>17320</v>
      </c>
      <c r="U923" t="s">
        <v>17321</v>
      </c>
      <c r="V923" t="s">
        <v>17322</v>
      </c>
      <c r="W923" t="s">
        <v>17323</v>
      </c>
      <c r="X923" t="s">
        <v>17324</v>
      </c>
      <c r="Y923" t="s">
        <v>17325</v>
      </c>
      <c r="Z923" t="s">
        <v>17326</v>
      </c>
      <c r="AA923" t="s">
        <v>17327</v>
      </c>
      <c r="AB923" t="s">
        <v>17328</v>
      </c>
      <c r="AC923" t="s">
        <v>17329</v>
      </c>
      <c r="AD923" t="s">
        <v>17330</v>
      </c>
      <c r="AE923" t="s">
        <v>17331</v>
      </c>
      <c r="AF923" t="s">
        <v>74</v>
      </c>
      <c r="AG923">
        <v>35</v>
      </c>
      <c r="AH923">
        <v>10</v>
      </c>
      <c r="AI923">
        <v>10</v>
      </c>
      <c r="AJ923">
        <v>0</v>
      </c>
      <c r="AK923">
        <v>37</v>
      </c>
      <c r="AL923" t="s">
        <v>365</v>
      </c>
      <c r="AM923" t="s">
        <v>342</v>
      </c>
      <c r="AN923" t="s">
        <v>2314</v>
      </c>
      <c r="AO923" t="s">
        <v>10944</v>
      </c>
      <c r="AP923" t="s">
        <v>10945</v>
      </c>
      <c r="AQ923" t="s">
        <v>74</v>
      </c>
      <c r="AR923" t="s">
        <v>10946</v>
      </c>
      <c r="AS923" t="s">
        <v>10947</v>
      </c>
      <c r="AT923" t="s">
        <v>17045</v>
      </c>
      <c r="AU923">
        <v>2014</v>
      </c>
      <c r="AV923">
        <v>26</v>
      </c>
      <c r="AW923">
        <v>5</v>
      </c>
      <c r="AX923" t="s">
        <v>74</v>
      </c>
      <c r="AY923" t="s">
        <v>74</v>
      </c>
      <c r="AZ923" t="s">
        <v>74</v>
      </c>
      <c r="BA923" t="s">
        <v>74</v>
      </c>
      <c r="BB923">
        <v>491</v>
      </c>
      <c r="BC923">
        <v>501</v>
      </c>
      <c r="BD923" t="s">
        <v>74</v>
      </c>
      <c r="BE923" t="s">
        <v>17332</v>
      </c>
      <c r="BF923" t="str">
        <f>HYPERLINK("http://dx.doi.org/10.1017/S0954102014000017","http://dx.doi.org/10.1017/S0954102014000017")</f>
        <v>http://dx.doi.org/10.1017/S0954102014000017</v>
      </c>
      <c r="BG923" t="s">
        <v>74</v>
      </c>
      <c r="BH923" t="s">
        <v>74</v>
      </c>
      <c r="BI923">
        <v>11</v>
      </c>
      <c r="BJ923" t="s">
        <v>10949</v>
      </c>
      <c r="BK923" t="s">
        <v>91</v>
      </c>
      <c r="BL923" t="s">
        <v>10950</v>
      </c>
      <c r="BM923" t="s">
        <v>17315</v>
      </c>
      <c r="BN923" t="s">
        <v>74</v>
      </c>
      <c r="BO923" t="s">
        <v>74</v>
      </c>
      <c r="BP923" t="s">
        <v>74</v>
      </c>
      <c r="BQ923" t="s">
        <v>74</v>
      </c>
      <c r="BR923" t="s">
        <v>93</v>
      </c>
      <c r="BS923" t="s">
        <v>17333</v>
      </c>
      <c r="BT923" t="str">
        <f>HYPERLINK("https%3A%2F%2Fwww.webofscience.com%2Fwos%2Fwoscc%2Ffull-record%2FWOS:000344735300004","View Full Record in Web of Science")</f>
        <v>View Full Record in Web of Science</v>
      </c>
    </row>
    <row r="924" spans="1:72" x14ac:dyDescent="0.15">
      <c r="A924" t="s">
        <v>72</v>
      </c>
      <c r="B924" t="s">
        <v>17334</v>
      </c>
      <c r="C924" t="s">
        <v>74</v>
      </c>
      <c r="D924" t="s">
        <v>74</v>
      </c>
      <c r="E924" t="s">
        <v>74</v>
      </c>
      <c r="F924" t="s">
        <v>17335</v>
      </c>
      <c r="G924" t="s">
        <v>74</v>
      </c>
      <c r="H924" t="s">
        <v>74</v>
      </c>
      <c r="I924" t="s">
        <v>17336</v>
      </c>
      <c r="J924" t="s">
        <v>10938</v>
      </c>
      <c r="K924" t="s">
        <v>74</v>
      </c>
      <c r="L924" t="s">
        <v>74</v>
      </c>
      <c r="M924" t="s">
        <v>78</v>
      </c>
      <c r="N924" t="s">
        <v>99</v>
      </c>
      <c r="O924" t="s">
        <v>74</v>
      </c>
      <c r="P924" t="s">
        <v>74</v>
      </c>
      <c r="Q924" t="s">
        <v>74</v>
      </c>
      <c r="R924" t="s">
        <v>74</v>
      </c>
      <c r="S924" t="s">
        <v>74</v>
      </c>
      <c r="T924" t="s">
        <v>17337</v>
      </c>
      <c r="U924" t="s">
        <v>17338</v>
      </c>
      <c r="V924" t="s">
        <v>17339</v>
      </c>
      <c r="W924" t="s">
        <v>17340</v>
      </c>
      <c r="X924" t="s">
        <v>17341</v>
      </c>
      <c r="Y924" t="s">
        <v>17342</v>
      </c>
      <c r="Z924" t="s">
        <v>17343</v>
      </c>
      <c r="AA924" t="s">
        <v>17344</v>
      </c>
      <c r="AB924" t="s">
        <v>74</v>
      </c>
      <c r="AC924" t="s">
        <v>17345</v>
      </c>
      <c r="AD924" t="s">
        <v>17346</v>
      </c>
      <c r="AE924" t="s">
        <v>17347</v>
      </c>
      <c r="AF924" t="s">
        <v>74</v>
      </c>
      <c r="AG924">
        <v>39</v>
      </c>
      <c r="AH924">
        <v>42</v>
      </c>
      <c r="AI924">
        <v>42</v>
      </c>
      <c r="AJ924">
        <v>2</v>
      </c>
      <c r="AK924">
        <v>31</v>
      </c>
      <c r="AL924" t="s">
        <v>365</v>
      </c>
      <c r="AM924" t="s">
        <v>342</v>
      </c>
      <c r="AN924" t="s">
        <v>2314</v>
      </c>
      <c r="AO924" t="s">
        <v>10944</v>
      </c>
      <c r="AP924" t="s">
        <v>10945</v>
      </c>
      <c r="AQ924" t="s">
        <v>74</v>
      </c>
      <c r="AR924" t="s">
        <v>10946</v>
      </c>
      <c r="AS924" t="s">
        <v>10947</v>
      </c>
      <c r="AT924" t="s">
        <v>17045</v>
      </c>
      <c r="AU924">
        <v>2014</v>
      </c>
      <c r="AV924">
        <v>26</v>
      </c>
      <c r="AW924">
        <v>5</v>
      </c>
      <c r="AX924" t="s">
        <v>74</v>
      </c>
      <c r="AY924" t="s">
        <v>74</v>
      </c>
      <c r="AZ924" t="s">
        <v>74</v>
      </c>
      <c r="BA924" t="s">
        <v>74</v>
      </c>
      <c r="BB924">
        <v>502</v>
      </c>
      <c r="BC924">
        <v>512</v>
      </c>
      <c r="BD924" t="s">
        <v>74</v>
      </c>
      <c r="BE924" t="s">
        <v>17348</v>
      </c>
      <c r="BF924" t="str">
        <f>HYPERLINK("http://dx.doi.org/10.1017/S095410201300093X","http://dx.doi.org/10.1017/S095410201300093X")</f>
        <v>http://dx.doi.org/10.1017/S095410201300093X</v>
      </c>
      <c r="BG924" t="s">
        <v>74</v>
      </c>
      <c r="BH924" t="s">
        <v>74</v>
      </c>
      <c r="BI924">
        <v>11</v>
      </c>
      <c r="BJ924" t="s">
        <v>10949</v>
      </c>
      <c r="BK924" t="s">
        <v>91</v>
      </c>
      <c r="BL924" t="s">
        <v>10950</v>
      </c>
      <c r="BM924" t="s">
        <v>17315</v>
      </c>
      <c r="BN924" t="s">
        <v>74</v>
      </c>
      <c r="BO924" t="s">
        <v>74</v>
      </c>
      <c r="BP924" t="s">
        <v>74</v>
      </c>
      <c r="BQ924" t="s">
        <v>74</v>
      </c>
      <c r="BR924" t="s">
        <v>93</v>
      </c>
      <c r="BS924" t="s">
        <v>17349</v>
      </c>
      <c r="BT924" t="str">
        <f>HYPERLINK("https%3A%2F%2Fwww.webofscience.com%2Fwos%2Fwoscc%2Ffull-record%2FWOS:000344735300005","View Full Record in Web of Science")</f>
        <v>View Full Record in Web of Science</v>
      </c>
    </row>
    <row r="925" spans="1:72" x14ac:dyDescent="0.15">
      <c r="A925" t="s">
        <v>72</v>
      </c>
      <c r="B925" t="s">
        <v>17350</v>
      </c>
      <c r="C925" t="s">
        <v>74</v>
      </c>
      <c r="D925" t="s">
        <v>74</v>
      </c>
      <c r="E925" t="s">
        <v>74</v>
      </c>
      <c r="F925" t="s">
        <v>17351</v>
      </c>
      <c r="G925" t="s">
        <v>74</v>
      </c>
      <c r="H925" t="s">
        <v>74</v>
      </c>
      <c r="I925" t="s">
        <v>17352</v>
      </c>
      <c r="J925" t="s">
        <v>10938</v>
      </c>
      <c r="K925" t="s">
        <v>74</v>
      </c>
      <c r="L925" t="s">
        <v>74</v>
      </c>
      <c r="M925" t="s">
        <v>78</v>
      </c>
      <c r="N925" t="s">
        <v>99</v>
      </c>
      <c r="O925" t="s">
        <v>74</v>
      </c>
      <c r="P925" t="s">
        <v>74</v>
      </c>
      <c r="Q925" t="s">
        <v>74</v>
      </c>
      <c r="R925" t="s">
        <v>74</v>
      </c>
      <c r="S925" t="s">
        <v>74</v>
      </c>
      <c r="T925" t="s">
        <v>17353</v>
      </c>
      <c r="U925" t="s">
        <v>17354</v>
      </c>
      <c r="V925" t="s">
        <v>17355</v>
      </c>
      <c r="W925" t="s">
        <v>17356</v>
      </c>
      <c r="X925" t="s">
        <v>17357</v>
      </c>
      <c r="Y925" t="s">
        <v>17358</v>
      </c>
      <c r="Z925" t="s">
        <v>17359</v>
      </c>
      <c r="AA925" t="s">
        <v>17360</v>
      </c>
      <c r="AB925" t="s">
        <v>17361</v>
      </c>
      <c r="AC925" t="s">
        <v>17362</v>
      </c>
      <c r="AD925" t="s">
        <v>17363</v>
      </c>
      <c r="AE925" t="s">
        <v>17364</v>
      </c>
      <c r="AF925" t="s">
        <v>74</v>
      </c>
      <c r="AG925">
        <v>40</v>
      </c>
      <c r="AH925">
        <v>54</v>
      </c>
      <c r="AI925">
        <v>61</v>
      </c>
      <c r="AJ925">
        <v>1</v>
      </c>
      <c r="AK925">
        <v>38</v>
      </c>
      <c r="AL925" t="s">
        <v>365</v>
      </c>
      <c r="AM925" t="s">
        <v>342</v>
      </c>
      <c r="AN925" t="s">
        <v>2314</v>
      </c>
      <c r="AO925" t="s">
        <v>10944</v>
      </c>
      <c r="AP925" t="s">
        <v>10945</v>
      </c>
      <c r="AQ925" t="s">
        <v>74</v>
      </c>
      <c r="AR925" t="s">
        <v>10946</v>
      </c>
      <c r="AS925" t="s">
        <v>10947</v>
      </c>
      <c r="AT925" t="s">
        <v>17045</v>
      </c>
      <c r="AU925">
        <v>2014</v>
      </c>
      <c r="AV925">
        <v>26</v>
      </c>
      <c r="AW925">
        <v>5</v>
      </c>
      <c r="AX925" t="s">
        <v>74</v>
      </c>
      <c r="AY925" t="s">
        <v>74</v>
      </c>
      <c r="AZ925" t="s">
        <v>74</v>
      </c>
      <c r="BA925" t="s">
        <v>74</v>
      </c>
      <c r="BB925">
        <v>521</v>
      </c>
      <c r="BC925">
        <v>532</v>
      </c>
      <c r="BD925" t="s">
        <v>74</v>
      </c>
      <c r="BE925" t="s">
        <v>17365</v>
      </c>
      <c r="BF925" t="str">
        <f>HYPERLINK("http://dx.doi.org/10.1017/S0954102014000145","http://dx.doi.org/10.1017/S0954102014000145")</f>
        <v>http://dx.doi.org/10.1017/S0954102014000145</v>
      </c>
      <c r="BG925" t="s">
        <v>74</v>
      </c>
      <c r="BH925" t="s">
        <v>74</v>
      </c>
      <c r="BI925">
        <v>12</v>
      </c>
      <c r="BJ925" t="s">
        <v>10949</v>
      </c>
      <c r="BK925" t="s">
        <v>91</v>
      </c>
      <c r="BL925" t="s">
        <v>10950</v>
      </c>
      <c r="BM925" t="s">
        <v>17315</v>
      </c>
      <c r="BN925" t="s">
        <v>74</v>
      </c>
      <c r="BO925" t="s">
        <v>10029</v>
      </c>
      <c r="BP925" t="s">
        <v>74</v>
      </c>
      <c r="BQ925" t="s">
        <v>74</v>
      </c>
      <c r="BR925" t="s">
        <v>93</v>
      </c>
      <c r="BS925" t="s">
        <v>17366</v>
      </c>
      <c r="BT925" t="str">
        <f>HYPERLINK("https%3A%2F%2Fwww.webofscience.com%2Fwos%2Fwoscc%2Ffull-record%2FWOS:000344735300007","View Full Record in Web of Science")</f>
        <v>View Full Record in Web of Science</v>
      </c>
    </row>
    <row r="926" spans="1:72" x14ac:dyDescent="0.15">
      <c r="A926" t="s">
        <v>72</v>
      </c>
      <c r="B926" t="s">
        <v>17367</v>
      </c>
      <c r="C926" t="s">
        <v>74</v>
      </c>
      <c r="D926" t="s">
        <v>74</v>
      </c>
      <c r="E926" t="s">
        <v>74</v>
      </c>
      <c r="F926" t="s">
        <v>17368</v>
      </c>
      <c r="G926" t="s">
        <v>74</v>
      </c>
      <c r="H926" t="s">
        <v>74</v>
      </c>
      <c r="I926" t="s">
        <v>17369</v>
      </c>
      <c r="J926" t="s">
        <v>10938</v>
      </c>
      <c r="K926" t="s">
        <v>74</v>
      </c>
      <c r="L926" t="s">
        <v>74</v>
      </c>
      <c r="M926" t="s">
        <v>78</v>
      </c>
      <c r="N926" t="s">
        <v>99</v>
      </c>
      <c r="O926" t="s">
        <v>74</v>
      </c>
      <c r="P926" t="s">
        <v>74</v>
      </c>
      <c r="Q926" t="s">
        <v>74</v>
      </c>
      <c r="R926" t="s">
        <v>74</v>
      </c>
      <c r="S926" t="s">
        <v>74</v>
      </c>
      <c r="T926" t="s">
        <v>17370</v>
      </c>
      <c r="U926" t="s">
        <v>17371</v>
      </c>
      <c r="V926" t="s">
        <v>17372</v>
      </c>
      <c r="W926" t="s">
        <v>17373</v>
      </c>
      <c r="X926" t="s">
        <v>17374</v>
      </c>
      <c r="Y926" t="s">
        <v>17375</v>
      </c>
      <c r="Z926" t="s">
        <v>17376</v>
      </c>
      <c r="AA926" t="s">
        <v>17377</v>
      </c>
      <c r="AB926" t="s">
        <v>17378</v>
      </c>
      <c r="AC926" t="s">
        <v>17379</v>
      </c>
      <c r="AD926" t="s">
        <v>17380</v>
      </c>
      <c r="AE926" t="s">
        <v>17381</v>
      </c>
      <c r="AF926" t="s">
        <v>74</v>
      </c>
      <c r="AG926">
        <v>40</v>
      </c>
      <c r="AH926">
        <v>18</v>
      </c>
      <c r="AI926">
        <v>20</v>
      </c>
      <c r="AJ926">
        <v>0</v>
      </c>
      <c r="AK926">
        <v>22</v>
      </c>
      <c r="AL926" t="s">
        <v>365</v>
      </c>
      <c r="AM926" t="s">
        <v>342</v>
      </c>
      <c r="AN926" t="s">
        <v>2314</v>
      </c>
      <c r="AO926" t="s">
        <v>10944</v>
      </c>
      <c r="AP926" t="s">
        <v>10945</v>
      </c>
      <c r="AQ926" t="s">
        <v>74</v>
      </c>
      <c r="AR926" t="s">
        <v>10946</v>
      </c>
      <c r="AS926" t="s">
        <v>10947</v>
      </c>
      <c r="AT926" t="s">
        <v>17045</v>
      </c>
      <c r="AU926">
        <v>2014</v>
      </c>
      <c r="AV926">
        <v>26</v>
      </c>
      <c r="AW926">
        <v>5</v>
      </c>
      <c r="AX926" t="s">
        <v>74</v>
      </c>
      <c r="AY926" t="s">
        <v>74</v>
      </c>
      <c r="AZ926" t="s">
        <v>74</v>
      </c>
      <c r="BA926" t="s">
        <v>74</v>
      </c>
      <c r="BB926">
        <v>533</v>
      </c>
      <c r="BC926">
        <v>544</v>
      </c>
      <c r="BD926" t="s">
        <v>74</v>
      </c>
      <c r="BE926" t="s">
        <v>17382</v>
      </c>
      <c r="BF926" t="str">
        <f>HYPERLINK("http://dx.doi.org/10.1017/S0954102014000170","http://dx.doi.org/10.1017/S0954102014000170")</f>
        <v>http://dx.doi.org/10.1017/S0954102014000170</v>
      </c>
      <c r="BG926" t="s">
        <v>74</v>
      </c>
      <c r="BH926" t="s">
        <v>74</v>
      </c>
      <c r="BI926">
        <v>12</v>
      </c>
      <c r="BJ926" t="s">
        <v>10949</v>
      </c>
      <c r="BK926" t="s">
        <v>91</v>
      </c>
      <c r="BL926" t="s">
        <v>10950</v>
      </c>
      <c r="BM926" t="s">
        <v>17315</v>
      </c>
      <c r="BN926" t="s">
        <v>74</v>
      </c>
      <c r="BO926" t="s">
        <v>74</v>
      </c>
      <c r="BP926" t="s">
        <v>74</v>
      </c>
      <c r="BQ926" t="s">
        <v>74</v>
      </c>
      <c r="BR926" t="s">
        <v>93</v>
      </c>
      <c r="BS926" t="s">
        <v>17383</v>
      </c>
      <c r="BT926" t="str">
        <f>HYPERLINK("https%3A%2F%2Fwww.webofscience.com%2Fwos%2Fwoscc%2Ffull-record%2FWOS:000344735300008","View Full Record in Web of Science")</f>
        <v>View Full Record in Web of Science</v>
      </c>
    </row>
    <row r="927" spans="1:72" x14ac:dyDescent="0.15">
      <c r="A927" t="s">
        <v>72</v>
      </c>
      <c r="B927" t="s">
        <v>17384</v>
      </c>
      <c r="C927" t="s">
        <v>74</v>
      </c>
      <c r="D927" t="s">
        <v>74</v>
      </c>
      <c r="E927" t="s">
        <v>74</v>
      </c>
      <c r="F927" t="s">
        <v>17385</v>
      </c>
      <c r="G927" t="s">
        <v>74</v>
      </c>
      <c r="H927" t="s">
        <v>74</v>
      </c>
      <c r="I927" t="s">
        <v>17386</v>
      </c>
      <c r="J927" t="s">
        <v>10938</v>
      </c>
      <c r="K927" t="s">
        <v>74</v>
      </c>
      <c r="L927" t="s">
        <v>74</v>
      </c>
      <c r="M927" t="s">
        <v>78</v>
      </c>
      <c r="N927" t="s">
        <v>99</v>
      </c>
      <c r="O927" t="s">
        <v>74</v>
      </c>
      <c r="P927" t="s">
        <v>74</v>
      </c>
      <c r="Q927" t="s">
        <v>74</v>
      </c>
      <c r="R927" t="s">
        <v>74</v>
      </c>
      <c r="S927" t="s">
        <v>74</v>
      </c>
      <c r="T927" t="s">
        <v>17387</v>
      </c>
      <c r="U927" t="s">
        <v>17388</v>
      </c>
      <c r="V927" t="s">
        <v>17389</v>
      </c>
      <c r="W927" t="s">
        <v>17390</v>
      </c>
      <c r="X927" t="s">
        <v>17391</v>
      </c>
      <c r="Y927" t="s">
        <v>17392</v>
      </c>
      <c r="Z927" t="s">
        <v>17393</v>
      </c>
      <c r="AA927" t="s">
        <v>17394</v>
      </c>
      <c r="AB927" t="s">
        <v>17395</v>
      </c>
      <c r="AC927" t="s">
        <v>17396</v>
      </c>
      <c r="AD927" t="s">
        <v>17397</v>
      </c>
      <c r="AE927" t="s">
        <v>17398</v>
      </c>
      <c r="AF927" t="s">
        <v>74</v>
      </c>
      <c r="AG927">
        <v>38</v>
      </c>
      <c r="AH927">
        <v>15</v>
      </c>
      <c r="AI927">
        <v>19</v>
      </c>
      <c r="AJ927">
        <v>0</v>
      </c>
      <c r="AK927">
        <v>24</v>
      </c>
      <c r="AL927" t="s">
        <v>365</v>
      </c>
      <c r="AM927" t="s">
        <v>342</v>
      </c>
      <c r="AN927" t="s">
        <v>2314</v>
      </c>
      <c r="AO927" t="s">
        <v>10944</v>
      </c>
      <c r="AP927" t="s">
        <v>10945</v>
      </c>
      <c r="AQ927" t="s">
        <v>74</v>
      </c>
      <c r="AR927" t="s">
        <v>10946</v>
      </c>
      <c r="AS927" t="s">
        <v>10947</v>
      </c>
      <c r="AT927" t="s">
        <v>17045</v>
      </c>
      <c r="AU927">
        <v>2014</v>
      </c>
      <c r="AV927">
        <v>26</v>
      </c>
      <c r="AW927">
        <v>5</v>
      </c>
      <c r="AX927" t="s">
        <v>74</v>
      </c>
      <c r="AY927" t="s">
        <v>74</v>
      </c>
      <c r="AZ927" t="s">
        <v>74</v>
      </c>
      <c r="BA927" t="s">
        <v>74</v>
      </c>
      <c r="BB927">
        <v>545</v>
      </c>
      <c r="BC927">
        <v>553</v>
      </c>
      <c r="BD927" t="s">
        <v>74</v>
      </c>
      <c r="BE927" t="s">
        <v>17399</v>
      </c>
      <c r="BF927" t="str">
        <f>HYPERLINK("http://dx.doi.org/10.1017/S0954102014000157","http://dx.doi.org/10.1017/S0954102014000157")</f>
        <v>http://dx.doi.org/10.1017/S0954102014000157</v>
      </c>
      <c r="BG927" t="s">
        <v>74</v>
      </c>
      <c r="BH927" t="s">
        <v>74</v>
      </c>
      <c r="BI927">
        <v>9</v>
      </c>
      <c r="BJ927" t="s">
        <v>10949</v>
      </c>
      <c r="BK927" t="s">
        <v>91</v>
      </c>
      <c r="BL927" t="s">
        <v>10950</v>
      </c>
      <c r="BM927" t="s">
        <v>17315</v>
      </c>
      <c r="BN927" t="s">
        <v>74</v>
      </c>
      <c r="BO927" t="s">
        <v>574</v>
      </c>
      <c r="BP927" t="s">
        <v>74</v>
      </c>
      <c r="BQ927" t="s">
        <v>74</v>
      </c>
      <c r="BR927" t="s">
        <v>93</v>
      </c>
      <c r="BS927" t="s">
        <v>17400</v>
      </c>
      <c r="BT927" t="str">
        <f>HYPERLINK("https%3A%2F%2Fwww.webofscience.com%2Fwos%2Fwoscc%2Ffull-record%2FWOS:000344735300009","View Full Record in Web of Science")</f>
        <v>View Full Record in Web of Science</v>
      </c>
    </row>
    <row r="928" spans="1:72" x14ac:dyDescent="0.15">
      <c r="A928" t="s">
        <v>72</v>
      </c>
      <c r="B928" t="s">
        <v>17401</v>
      </c>
      <c r="C928" t="s">
        <v>74</v>
      </c>
      <c r="D928" t="s">
        <v>74</v>
      </c>
      <c r="E928" t="s">
        <v>74</v>
      </c>
      <c r="F928" t="s">
        <v>17402</v>
      </c>
      <c r="G928" t="s">
        <v>74</v>
      </c>
      <c r="H928" t="s">
        <v>74</v>
      </c>
      <c r="I928" t="s">
        <v>17403</v>
      </c>
      <c r="J928" t="s">
        <v>10938</v>
      </c>
      <c r="K928" t="s">
        <v>74</v>
      </c>
      <c r="L928" t="s">
        <v>74</v>
      </c>
      <c r="M928" t="s">
        <v>78</v>
      </c>
      <c r="N928" t="s">
        <v>99</v>
      </c>
      <c r="O928" t="s">
        <v>74</v>
      </c>
      <c r="P928" t="s">
        <v>74</v>
      </c>
      <c r="Q928" t="s">
        <v>74</v>
      </c>
      <c r="R928" t="s">
        <v>74</v>
      </c>
      <c r="S928" t="s">
        <v>74</v>
      </c>
      <c r="T928" t="s">
        <v>17404</v>
      </c>
      <c r="U928" t="s">
        <v>17405</v>
      </c>
      <c r="V928" t="s">
        <v>17406</v>
      </c>
      <c r="W928" t="s">
        <v>17407</v>
      </c>
      <c r="X928" t="s">
        <v>17408</v>
      </c>
      <c r="Y928" t="s">
        <v>17409</v>
      </c>
      <c r="Z928" t="s">
        <v>17410</v>
      </c>
      <c r="AA928" t="s">
        <v>7974</v>
      </c>
      <c r="AB928" t="s">
        <v>17411</v>
      </c>
      <c r="AC928" t="s">
        <v>17412</v>
      </c>
      <c r="AD928" t="s">
        <v>17413</v>
      </c>
      <c r="AE928" t="s">
        <v>17414</v>
      </c>
      <c r="AF928" t="s">
        <v>74</v>
      </c>
      <c r="AG928">
        <v>40</v>
      </c>
      <c r="AH928">
        <v>11</v>
      </c>
      <c r="AI928">
        <v>12</v>
      </c>
      <c r="AJ928">
        <v>1</v>
      </c>
      <c r="AK928">
        <v>20</v>
      </c>
      <c r="AL928" t="s">
        <v>365</v>
      </c>
      <c r="AM928" t="s">
        <v>342</v>
      </c>
      <c r="AN928" t="s">
        <v>2314</v>
      </c>
      <c r="AO928" t="s">
        <v>10944</v>
      </c>
      <c r="AP928" t="s">
        <v>10945</v>
      </c>
      <c r="AQ928" t="s">
        <v>74</v>
      </c>
      <c r="AR928" t="s">
        <v>10946</v>
      </c>
      <c r="AS928" t="s">
        <v>10947</v>
      </c>
      <c r="AT928" t="s">
        <v>17045</v>
      </c>
      <c r="AU928">
        <v>2014</v>
      </c>
      <c r="AV928">
        <v>26</v>
      </c>
      <c r="AW928">
        <v>5</v>
      </c>
      <c r="AX928" t="s">
        <v>74</v>
      </c>
      <c r="AY928" t="s">
        <v>74</v>
      </c>
      <c r="AZ928" t="s">
        <v>74</v>
      </c>
      <c r="BA928" t="s">
        <v>74</v>
      </c>
      <c r="BB928">
        <v>554</v>
      </c>
      <c r="BC928">
        <v>562</v>
      </c>
      <c r="BD928" t="s">
        <v>74</v>
      </c>
      <c r="BE928" t="s">
        <v>17415</v>
      </c>
      <c r="BF928" t="str">
        <f>HYPERLINK("http://dx.doi.org/10.1017/S0954102014000169","http://dx.doi.org/10.1017/S0954102014000169")</f>
        <v>http://dx.doi.org/10.1017/S0954102014000169</v>
      </c>
      <c r="BG928" t="s">
        <v>74</v>
      </c>
      <c r="BH928" t="s">
        <v>74</v>
      </c>
      <c r="BI928">
        <v>9</v>
      </c>
      <c r="BJ928" t="s">
        <v>10949</v>
      </c>
      <c r="BK928" t="s">
        <v>91</v>
      </c>
      <c r="BL928" t="s">
        <v>10950</v>
      </c>
      <c r="BM928" t="s">
        <v>17315</v>
      </c>
      <c r="BN928" t="s">
        <v>74</v>
      </c>
      <c r="BO928" t="s">
        <v>6793</v>
      </c>
      <c r="BP928" t="s">
        <v>74</v>
      </c>
      <c r="BQ928" t="s">
        <v>74</v>
      </c>
      <c r="BR928" t="s">
        <v>93</v>
      </c>
      <c r="BS928" t="s">
        <v>17416</v>
      </c>
      <c r="BT928" t="str">
        <f>HYPERLINK("https%3A%2F%2Fwww.webofscience.com%2Fwos%2Fwoscc%2Ffull-record%2FWOS:000344735300010","View Full Record in Web of Science")</f>
        <v>View Full Record in Web of Science</v>
      </c>
    </row>
    <row r="929" spans="1:72" x14ac:dyDescent="0.15">
      <c r="A929" t="s">
        <v>72</v>
      </c>
      <c r="B929" t="s">
        <v>17417</v>
      </c>
      <c r="C929" t="s">
        <v>74</v>
      </c>
      <c r="D929" t="s">
        <v>74</v>
      </c>
      <c r="E929" t="s">
        <v>74</v>
      </c>
      <c r="F929" t="s">
        <v>17418</v>
      </c>
      <c r="G929" t="s">
        <v>74</v>
      </c>
      <c r="H929" t="s">
        <v>74</v>
      </c>
      <c r="I929" t="s">
        <v>17419</v>
      </c>
      <c r="J929" t="s">
        <v>10938</v>
      </c>
      <c r="K929" t="s">
        <v>74</v>
      </c>
      <c r="L929" t="s">
        <v>74</v>
      </c>
      <c r="M929" t="s">
        <v>78</v>
      </c>
      <c r="N929" t="s">
        <v>99</v>
      </c>
      <c r="O929" t="s">
        <v>74</v>
      </c>
      <c r="P929" t="s">
        <v>74</v>
      </c>
      <c r="Q929" t="s">
        <v>74</v>
      </c>
      <c r="R929" t="s">
        <v>74</v>
      </c>
      <c r="S929" t="s">
        <v>74</v>
      </c>
      <c r="T929" t="s">
        <v>74</v>
      </c>
      <c r="U929" t="s">
        <v>74</v>
      </c>
      <c r="V929" t="s">
        <v>74</v>
      </c>
      <c r="W929" t="s">
        <v>17420</v>
      </c>
      <c r="X929" t="s">
        <v>17421</v>
      </c>
      <c r="Y929" t="s">
        <v>17422</v>
      </c>
      <c r="Z929" t="s">
        <v>17423</v>
      </c>
      <c r="AA929" t="s">
        <v>17424</v>
      </c>
      <c r="AB929" t="s">
        <v>17425</v>
      </c>
      <c r="AC929" t="s">
        <v>17426</v>
      </c>
      <c r="AD929" t="s">
        <v>12828</v>
      </c>
      <c r="AE929" t="s">
        <v>17427</v>
      </c>
      <c r="AF929" t="s">
        <v>74</v>
      </c>
      <c r="AG929">
        <v>4</v>
      </c>
      <c r="AH929">
        <v>3</v>
      </c>
      <c r="AI929">
        <v>5</v>
      </c>
      <c r="AJ929">
        <v>2</v>
      </c>
      <c r="AK929">
        <v>54</v>
      </c>
      <c r="AL929" t="s">
        <v>365</v>
      </c>
      <c r="AM929" t="s">
        <v>342</v>
      </c>
      <c r="AN929" t="s">
        <v>2314</v>
      </c>
      <c r="AO929" t="s">
        <v>10944</v>
      </c>
      <c r="AP929" t="s">
        <v>10945</v>
      </c>
      <c r="AQ929" t="s">
        <v>74</v>
      </c>
      <c r="AR929" t="s">
        <v>10946</v>
      </c>
      <c r="AS929" t="s">
        <v>10947</v>
      </c>
      <c r="AT929" t="s">
        <v>17045</v>
      </c>
      <c r="AU929">
        <v>2014</v>
      </c>
      <c r="AV929">
        <v>26</v>
      </c>
      <c r="AW929">
        <v>5</v>
      </c>
      <c r="AX929" t="s">
        <v>74</v>
      </c>
      <c r="AY929" t="s">
        <v>74</v>
      </c>
      <c r="AZ929" t="s">
        <v>74</v>
      </c>
      <c r="BA929" t="s">
        <v>74</v>
      </c>
      <c r="BB929">
        <v>563</v>
      </c>
      <c r="BC929">
        <v>564</v>
      </c>
      <c r="BD929" t="s">
        <v>74</v>
      </c>
      <c r="BE929" t="s">
        <v>17428</v>
      </c>
      <c r="BF929" t="str">
        <f>HYPERLINK("http://dx.doi.org/10.1017/S0954102014000285","http://dx.doi.org/10.1017/S0954102014000285")</f>
        <v>http://dx.doi.org/10.1017/S0954102014000285</v>
      </c>
      <c r="BG929" t="s">
        <v>74</v>
      </c>
      <c r="BH929" t="s">
        <v>74</v>
      </c>
      <c r="BI929">
        <v>2</v>
      </c>
      <c r="BJ929" t="s">
        <v>10949</v>
      </c>
      <c r="BK929" t="s">
        <v>91</v>
      </c>
      <c r="BL929" t="s">
        <v>10950</v>
      </c>
      <c r="BM929" t="s">
        <v>17315</v>
      </c>
      <c r="BN929" t="s">
        <v>74</v>
      </c>
      <c r="BO929" t="s">
        <v>5598</v>
      </c>
      <c r="BP929" t="s">
        <v>74</v>
      </c>
      <c r="BQ929" t="s">
        <v>74</v>
      </c>
      <c r="BR929" t="s">
        <v>93</v>
      </c>
      <c r="BS929" t="s">
        <v>17429</v>
      </c>
      <c r="BT929" t="str">
        <f>HYPERLINK("https%3A%2F%2Fwww.webofscience.com%2Fwos%2Fwoscc%2Ffull-record%2FWOS:000344735300011","View Full Record in Web of Science")</f>
        <v>View Full Record in Web of Science</v>
      </c>
    </row>
    <row r="930" spans="1:72" x14ac:dyDescent="0.15">
      <c r="A930" t="s">
        <v>72</v>
      </c>
      <c r="B930" t="s">
        <v>17430</v>
      </c>
      <c r="C930" t="s">
        <v>74</v>
      </c>
      <c r="D930" t="s">
        <v>74</v>
      </c>
      <c r="E930" t="s">
        <v>74</v>
      </c>
      <c r="F930" t="s">
        <v>17431</v>
      </c>
      <c r="G930" t="s">
        <v>74</v>
      </c>
      <c r="H930" t="s">
        <v>74</v>
      </c>
      <c r="I930" t="s">
        <v>17432</v>
      </c>
      <c r="J930" t="s">
        <v>10938</v>
      </c>
      <c r="K930" t="s">
        <v>74</v>
      </c>
      <c r="L930" t="s">
        <v>74</v>
      </c>
      <c r="M930" t="s">
        <v>78</v>
      </c>
      <c r="N930" t="s">
        <v>99</v>
      </c>
      <c r="O930" t="s">
        <v>74</v>
      </c>
      <c r="P930" t="s">
        <v>74</v>
      </c>
      <c r="Q930" t="s">
        <v>74</v>
      </c>
      <c r="R930" t="s">
        <v>74</v>
      </c>
      <c r="S930" t="s">
        <v>74</v>
      </c>
      <c r="T930" t="s">
        <v>17433</v>
      </c>
      <c r="U930" t="s">
        <v>17434</v>
      </c>
      <c r="V930" t="s">
        <v>17435</v>
      </c>
      <c r="W930" t="s">
        <v>17436</v>
      </c>
      <c r="X930" t="s">
        <v>17437</v>
      </c>
      <c r="Y930" t="s">
        <v>17438</v>
      </c>
      <c r="Z930" t="s">
        <v>17439</v>
      </c>
      <c r="AA930" t="s">
        <v>74</v>
      </c>
      <c r="AB930" t="s">
        <v>74</v>
      </c>
      <c r="AC930" t="s">
        <v>17440</v>
      </c>
      <c r="AD930" t="s">
        <v>17441</v>
      </c>
      <c r="AE930" t="s">
        <v>17442</v>
      </c>
      <c r="AF930" t="s">
        <v>74</v>
      </c>
      <c r="AG930">
        <v>25</v>
      </c>
      <c r="AH930">
        <v>16</v>
      </c>
      <c r="AI930">
        <v>17</v>
      </c>
      <c r="AJ930">
        <v>0</v>
      </c>
      <c r="AK930">
        <v>7</v>
      </c>
      <c r="AL930" t="s">
        <v>365</v>
      </c>
      <c r="AM930" t="s">
        <v>342</v>
      </c>
      <c r="AN930" t="s">
        <v>2314</v>
      </c>
      <c r="AO930" t="s">
        <v>10944</v>
      </c>
      <c r="AP930" t="s">
        <v>10945</v>
      </c>
      <c r="AQ930" t="s">
        <v>74</v>
      </c>
      <c r="AR930" t="s">
        <v>10946</v>
      </c>
      <c r="AS930" t="s">
        <v>10947</v>
      </c>
      <c r="AT930" t="s">
        <v>17045</v>
      </c>
      <c r="AU930">
        <v>2014</v>
      </c>
      <c r="AV930">
        <v>26</v>
      </c>
      <c r="AW930">
        <v>5</v>
      </c>
      <c r="AX930" t="s">
        <v>74</v>
      </c>
      <c r="AY930" t="s">
        <v>74</v>
      </c>
      <c r="AZ930" t="s">
        <v>74</v>
      </c>
      <c r="BA930" t="s">
        <v>74</v>
      </c>
      <c r="BB930">
        <v>573</v>
      </c>
      <c r="BC930">
        <v>583</v>
      </c>
      <c r="BD930" t="s">
        <v>74</v>
      </c>
      <c r="BE930" t="s">
        <v>17443</v>
      </c>
      <c r="BF930" t="str">
        <f>HYPERLINK("http://dx.doi.org/10.1017/S0954102014000078","http://dx.doi.org/10.1017/S0954102014000078")</f>
        <v>http://dx.doi.org/10.1017/S0954102014000078</v>
      </c>
      <c r="BG930" t="s">
        <v>74</v>
      </c>
      <c r="BH930" t="s">
        <v>74</v>
      </c>
      <c r="BI930">
        <v>11</v>
      </c>
      <c r="BJ930" t="s">
        <v>10949</v>
      </c>
      <c r="BK930" t="s">
        <v>91</v>
      </c>
      <c r="BL930" t="s">
        <v>10950</v>
      </c>
      <c r="BM930" t="s">
        <v>17315</v>
      </c>
      <c r="BN930" t="s">
        <v>74</v>
      </c>
      <c r="BO930" t="s">
        <v>74</v>
      </c>
      <c r="BP930" t="s">
        <v>74</v>
      </c>
      <c r="BQ930" t="s">
        <v>74</v>
      </c>
      <c r="BR930" t="s">
        <v>93</v>
      </c>
      <c r="BS930" t="s">
        <v>17444</v>
      </c>
      <c r="BT930" t="str">
        <f>HYPERLINK("https%3A%2F%2Fwww.webofscience.com%2Fwos%2Fwoscc%2Ffull-record%2FWOS:000344735300013","View Full Record in Web of Science")</f>
        <v>View Full Record in Web of Science</v>
      </c>
    </row>
    <row r="931" spans="1:72" x14ac:dyDescent="0.15">
      <c r="A931" t="s">
        <v>72</v>
      </c>
      <c r="B931" t="s">
        <v>17445</v>
      </c>
      <c r="C931" t="s">
        <v>74</v>
      </c>
      <c r="D931" t="s">
        <v>74</v>
      </c>
      <c r="E931" t="s">
        <v>74</v>
      </c>
      <c r="F931" t="s">
        <v>17446</v>
      </c>
      <c r="G931" t="s">
        <v>74</v>
      </c>
      <c r="H931" t="s">
        <v>74</v>
      </c>
      <c r="I931" t="s">
        <v>17447</v>
      </c>
      <c r="J931" t="s">
        <v>17448</v>
      </c>
      <c r="K931" t="s">
        <v>74</v>
      </c>
      <c r="L931" t="s">
        <v>74</v>
      </c>
      <c r="M931" t="s">
        <v>78</v>
      </c>
      <c r="N931" t="s">
        <v>99</v>
      </c>
      <c r="O931" t="s">
        <v>74</v>
      </c>
      <c r="P931" t="s">
        <v>74</v>
      </c>
      <c r="Q931" t="s">
        <v>74</v>
      </c>
      <c r="R931" t="s">
        <v>74</v>
      </c>
      <c r="S931" t="s">
        <v>74</v>
      </c>
      <c r="T931" t="s">
        <v>17449</v>
      </c>
      <c r="U931" t="s">
        <v>17450</v>
      </c>
      <c r="V931" t="s">
        <v>17451</v>
      </c>
      <c r="W931" t="s">
        <v>17452</v>
      </c>
      <c r="X931" t="s">
        <v>17453</v>
      </c>
      <c r="Y931" t="s">
        <v>17454</v>
      </c>
      <c r="Z931" t="s">
        <v>17455</v>
      </c>
      <c r="AA931" t="s">
        <v>74</v>
      </c>
      <c r="AB931" t="s">
        <v>74</v>
      </c>
      <c r="AC931" t="s">
        <v>17456</v>
      </c>
      <c r="AD931" t="s">
        <v>17457</v>
      </c>
      <c r="AE931" t="s">
        <v>17458</v>
      </c>
      <c r="AF931" t="s">
        <v>74</v>
      </c>
      <c r="AG931">
        <v>42</v>
      </c>
      <c r="AH931">
        <v>140</v>
      </c>
      <c r="AI931">
        <v>152</v>
      </c>
      <c r="AJ931">
        <v>5</v>
      </c>
      <c r="AK931">
        <v>63</v>
      </c>
      <c r="AL931" t="s">
        <v>17459</v>
      </c>
      <c r="AM931" t="s">
        <v>17460</v>
      </c>
      <c r="AN931" t="s">
        <v>17461</v>
      </c>
      <c r="AO931" t="s">
        <v>17462</v>
      </c>
      <c r="AP931" t="s">
        <v>17463</v>
      </c>
      <c r="AQ931" t="s">
        <v>74</v>
      </c>
      <c r="AR931" t="s">
        <v>17448</v>
      </c>
      <c r="AS931" t="s">
        <v>17448</v>
      </c>
      <c r="AT931" t="s">
        <v>17045</v>
      </c>
      <c r="AU931">
        <v>2014</v>
      </c>
      <c r="AV931">
        <v>131</v>
      </c>
      <c r="AW931">
        <v>4</v>
      </c>
      <c r="AX931" t="s">
        <v>74</v>
      </c>
      <c r="AY931" t="s">
        <v>74</v>
      </c>
      <c r="AZ931" t="s">
        <v>74</v>
      </c>
      <c r="BA931" t="s">
        <v>74</v>
      </c>
      <c r="BB931">
        <v>457</v>
      </c>
      <c r="BC931">
        <v>466</v>
      </c>
      <c r="BD931" t="s">
        <v>74</v>
      </c>
      <c r="BE931" t="s">
        <v>17464</v>
      </c>
      <c r="BF931" t="str">
        <f>HYPERLINK("http://dx.doi.org/10.1642/AUK-14-31.1","http://dx.doi.org/10.1642/AUK-14-31.1")</f>
        <v>http://dx.doi.org/10.1642/AUK-14-31.1</v>
      </c>
      <c r="BG931" t="s">
        <v>74</v>
      </c>
      <c r="BH931" t="s">
        <v>74</v>
      </c>
      <c r="BI931">
        <v>10</v>
      </c>
      <c r="BJ931" t="s">
        <v>422</v>
      </c>
      <c r="BK931" t="s">
        <v>91</v>
      </c>
      <c r="BL931" t="s">
        <v>423</v>
      </c>
      <c r="BM931" t="s">
        <v>17465</v>
      </c>
      <c r="BN931" t="s">
        <v>74</v>
      </c>
      <c r="BO931" t="s">
        <v>1904</v>
      </c>
      <c r="BP931" t="s">
        <v>74</v>
      </c>
      <c r="BQ931" t="s">
        <v>74</v>
      </c>
      <c r="BR931" t="s">
        <v>93</v>
      </c>
      <c r="BS931" t="s">
        <v>17466</v>
      </c>
      <c r="BT931" t="str">
        <f>HYPERLINK("https%3A%2F%2Fwww.webofscience.com%2Fwos%2Fwoscc%2Ffull-record%2FWOS:000344823200001","View Full Record in Web of Science")</f>
        <v>View Full Record in Web of Science</v>
      </c>
    </row>
    <row r="932" spans="1:72" x14ac:dyDescent="0.15">
      <c r="A932" t="s">
        <v>72</v>
      </c>
      <c r="B932" t="s">
        <v>17467</v>
      </c>
      <c r="C932" t="s">
        <v>74</v>
      </c>
      <c r="D932" t="s">
        <v>74</v>
      </c>
      <c r="E932" t="s">
        <v>74</v>
      </c>
      <c r="F932" t="s">
        <v>17468</v>
      </c>
      <c r="G932" t="s">
        <v>74</v>
      </c>
      <c r="H932" t="s">
        <v>74</v>
      </c>
      <c r="I932" t="s">
        <v>17469</v>
      </c>
      <c r="J932" t="s">
        <v>10565</v>
      </c>
      <c r="K932" t="s">
        <v>74</v>
      </c>
      <c r="L932" t="s">
        <v>74</v>
      </c>
      <c r="M932" t="s">
        <v>78</v>
      </c>
      <c r="N932" t="s">
        <v>126</v>
      </c>
      <c r="O932" t="s">
        <v>74</v>
      </c>
      <c r="P932" t="s">
        <v>74</v>
      </c>
      <c r="Q932" t="s">
        <v>74</v>
      </c>
      <c r="R932" t="s">
        <v>74</v>
      </c>
      <c r="S932" t="s">
        <v>74</v>
      </c>
      <c r="T932" t="s">
        <v>74</v>
      </c>
      <c r="U932" t="s">
        <v>74</v>
      </c>
      <c r="V932" t="s">
        <v>74</v>
      </c>
      <c r="W932" t="s">
        <v>17470</v>
      </c>
      <c r="X932" t="s">
        <v>10261</v>
      </c>
      <c r="Y932" t="s">
        <v>17471</v>
      </c>
      <c r="Z932" t="s">
        <v>17472</v>
      </c>
      <c r="AA932" t="s">
        <v>74</v>
      </c>
      <c r="AB932" t="s">
        <v>74</v>
      </c>
      <c r="AC932" t="s">
        <v>74</v>
      </c>
      <c r="AD932" t="s">
        <v>74</v>
      </c>
      <c r="AE932" t="s">
        <v>74</v>
      </c>
      <c r="AF932" t="s">
        <v>74</v>
      </c>
      <c r="AG932">
        <v>1</v>
      </c>
      <c r="AH932">
        <v>0</v>
      </c>
      <c r="AI932">
        <v>0</v>
      </c>
      <c r="AJ932">
        <v>0</v>
      </c>
      <c r="AK932">
        <v>2</v>
      </c>
      <c r="AL932" t="s">
        <v>1175</v>
      </c>
      <c r="AM932" t="s">
        <v>1176</v>
      </c>
      <c r="AN932" t="s">
        <v>2938</v>
      </c>
      <c r="AO932" t="s">
        <v>10578</v>
      </c>
      <c r="AP932" t="s">
        <v>10579</v>
      </c>
      <c r="AQ932" t="s">
        <v>74</v>
      </c>
      <c r="AR932" t="s">
        <v>10580</v>
      </c>
      <c r="AS932" t="s">
        <v>10581</v>
      </c>
      <c r="AT932" t="s">
        <v>17045</v>
      </c>
      <c r="AU932">
        <v>2014</v>
      </c>
      <c r="AV932">
        <v>112</v>
      </c>
      <c r="AW932" t="s">
        <v>74</v>
      </c>
      <c r="AX932" t="s">
        <v>74</v>
      </c>
      <c r="AY932" t="s">
        <v>74</v>
      </c>
      <c r="AZ932" t="s">
        <v>74</v>
      </c>
      <c r="BA932" t="s">
        <v>74</v>
      </c>
      <c r="BB932">
        <v>62</v>
      </c>
      <c r="BC932">
        <v>62</v>
      </c>
      <c r="BD932" t="s">
        <v>74</v>
      </c>
      <c r="BE932" t="s">
        <v>17473</v>
      </c>
      <c r="BF932" t="str">
        <f>HYPERLINK("http://dx.doi.org/10.1016/j.marmicro.2014.08.003","http://dx.doi.org/10.1016/j.marmicro.2014.08.003")</f>
        <v>http://dx.doi.org/10.1016/j.marmicro.2014.08.003</v>
      </c>
      <c r="BG932" t="s">
        <v>74</v>
      </c>
      <c r="BH932" t="s">
        <v>74</v>
      </c>
      <c r="BI932">
        <v>1</v>
      </c>
      <c r="BJ932" t="s">
        <v>447</v>
      </c>
      <c r="BK932" t="s">
        <v>91</v>
      </c>
      <c r="BL932" t="s">
        <v>447</v>
      </c>
      <c r="BM932" t="s">
        <v>17474</v>
      </c>
      <c r="BN932" t="s">
        <v>74</v>
      </c>
      <c r="BO932" t="s">
        <v>74</v>
      </c>
      <c r="BP932" t="s">
        <v>74</v>
      </c>
      <c r="BQ932" t="s">
        <v>74</v>
      </c>
      <c r="BR932" t="s">
        <v>93</v>
      </c>
      <c r="BS932" t="s">
        <v>17475</v>
      </c>
      <c r="BT932" t="str">
        <f>HYPERLINK("https%3A%2F%2Fwww.webofscience.com%2Fwos%2Fwoscc%2Ffull-record%2FWOS:000344514500006","View Full Record in Web of Science")</f>
        <v>View Full Record in Web of Science</v>
      </c>
    </row>
    <row r="933" spans="1:72" x14ac:dyDescent="0.15">
      <c r="A933" t="s">
        <v>72</v>
      </c>
      <c r="B933" t="s">
        <v>17476</v>
      </c>
      <c r="C933" t="s">
        <v>74</v>
      </c>
      <c r="D933" t="s">
        <v>74</v>
      </c>
      <c r="E933" t="s">
        <v>74</v>
      </c>
      <c r="F933" t="s">
        <v>17477</v>
      </c>
      <c r="G933" t="s">
        <v>74</v>
      </c>
      <c r="H933" t="s">
        <v>74</v>
      </c>
      <c r="I933" t="s">
        <v>17478</v>
      </c>
      <c r="J933" t="s">
        <v>17479</v>
      </c>
      <c r="K933" t="s">
        <v>74</v>
      </c>
      <c r="L933" t="s">
        <v>74</v>
      </c>
      <c r="M933" t="s">
        <v>78</v>
      </c>
      <c r="N933" t="s">
        <v>99</v>
      </c>
      <c r="O933" t="s">
        <v>74</v>
      </c>
      <c r="P933" t="s">
        <v>74</v>
      </c>
      <c r="Q933" t="s">
        <v>74</v>
      </c>
      <c r="R933" t="s">
        <v>74</v>
      </c>
      <c r="S933" t="s">
        <v>74</v>
      </c>
      <c r="T933" t="s">
        <v>17480</v>
      </c>
      <c r="U933" t="s">
        <v>17481</v>
      </c>
      <c r="V933" t="s">
        <v>17482</v>
      </c>
      <c r="W933" t="s">
        <v>17483</v>
      </c>
      <c r="X933" t="s">
        <v>17484</v>
      </c>
      <c r="Y933" t="s">
        <v>17485</v>
      </c>
      <c r="Z933" t="s">
        <v>17486</v>
      </c>
      <c r="AA933" t="s">
        <v>74</v>
      </c>
      <c r="AB933" t="s">
        <v>17487</v>
      </c>
      <c r="AC933" t="s">
        <v>17488</v>
      </c>
      <c r="AD933" t="s">
        <v>17488</v>
      </c>
      <c r="AE933" t="s">
        <v>17489</v>
      </c>
      <c r="AF933" t="s">
        <v>74</v>
      </c>
      <c r="AG933">
        <v>35</v>
      </c>
      <c r="AH933">
        <v>13</v>
      </c>
      <c r="AI933">
        <v>13</v>
      </c>
      <c r="AJ933">
        <v>0</v>
      </c>
      <c r="AK933">
        <v>17</v>
      </c>
      <c r="AL933" t="s">
        <v>17490</v>
      </c>
      <c r="AM933" t="s">
        <v>17491</v>
      </c>
      <c r="AN933" t="s">
        <v>17492</v>
      </c>
      <c r="AO933" t="s">
        <v>74</v>
      </c>
      <c r="AP933" t="s">
        <v>17493</v>
      </c>
      <c r="AQ933" t="s">
        <v>74</v>
      </c>
      <c r="AR933" t="s">
        <v>17494</v>
      </c>
      <c r="AS933" t="s">
        <v>17495</v>
      </c>
      <c r="AT933" t="s">
        <v>17045</v>
      </c>
      <c r="AU933">
        <v>2014</v>
      </c>
      <c r="AV933">
        <v>6</v>
      </c>
      <c r="AW933">
        <v>10</v>
      </c>
      <c r="AX933" t="s">
        <v>74</v>
      </c>
      <c r="AY933" t="s">
        <v>74</v>
      </c>
      <c r="AZ933" t="s">
        <v>74</v>
      </c>
      <c r="BA933" t="s">
        <v>74</v>
      </c>
      <c r="BB933">
        <v>9412</v>
      </c>
      <c r="BC933">
        <v>9434</v>
      </c>
      <c r="BD933" t="s">
        <v>74</v>
      </c>
      <c r="BE933" t="s">
        <v>17496</v>
      </c>
      <c r="BF933" t="str">
        <f>HYPERLINK("http://dx.doi.org/10.3390/rs6109412","http://dx.doi.org/10.3390/rs6109412")</f>
        <v>http://dx.doi.org/10.3390/rs6109412</v>
      </c>
      <c r="BG933" t="s">
        <v>74</v>
      </c>
      <c r="BH933" t="s">
        <v>74</v>
      </c>
      <c r="BI933">
        <v>23</v>
      </c>
      <c r="BJ933" t="s">
        <v>17497</v>
      </c>
      <c r="BK933" t="s">
        <v>91</v>
      </c>
      <c r="BL933" t="s">
        <v>17498</v>
      </c>
      <c r="BM933" t="s">
        <v>17499</v>
      </c>
      <c r="BN933" t="s">
        <v>74</v>
      </c>
      <c r="BO933" t="s">
        <v>1136</v>
      </c>
      <c r="BP933" t="s">
        <v>74</v>
      </c>
      <c r="BQ933" t="s">
        <v>74</v>
      </c>
      <c r="BR933" t="s">
        <v>93</v>
      </c>
      <c r="BS933" t="s">
        <v>17500</v>
      </c>
      <c r="BT933" t="str">
        <f>HYPERLINK("https%3A%2F%2Fwww.webofscience.com%2Fwos%2Fwoscc%2Ffull-record%2FWOS:000344458000013","View Full Record in Web of Science")</f>
        <v>View Full Record in Web of Science</v>
      </c>
    </row>
    <row r="934" spans="1:72" x14ac:dyDescent="0.15">
      <c r="A934" t="s">
        <v>72</v>
      </c>
      <c r="B934" t="s">
        <v>13821</v>
      </c>
      <c r="C934" t="s">
        <v>74</v>
      </c>
      <c r="D934" t="s">
        <v>74</v>
      </c>
      <c r="E934" t="s">
        <v>74</v>
      </c>
      <c r="F934" t="s">
        <v>13822</v>
      </c>
      <c r="G934" t="s">
        <v>74</v>
      </c>
      <c r="H934" t="s">
        <v>74</v>
      </c>
      <c r="I934" t="s">
        <v>17501</v>
      </c>
      <c r="J934" t="s">
        <v>2182</v>
      </c>
      <c r="K934" t="s">
        <v>74</v>
      </c>
      <c r="L934" t="s">
        <v>74</v>
      </c>
      <c r="M934" t="s">
        <v>78</v>
      </c>
      <c r="N934" t="s">
        <v>99</v>
      </c>
      <c r="O934" t="s">
        <v>74</v>
      </c>
      <c r="P934" t="s">
        <v>74</v>
      </c>
      <c r="Q934" t="s">
        <v>74</v>
      </c>
      <c r="R934" t="s">
        <v>74</v>
      </c>
      <c r="S934" t="s">
        <v>74</v>
      </c>
      <c r="T934" t="s">
        <v>74</v>
      </c>
      <c r="U934" t="s">
        <v>74</v>
      </c>
      <c r="V934" t="s">
        <v>17502</v>
      </c>
      <c r="W934" t="s">
        <v>9309</v>
      </c>
      <c r="X934" t="s">
        <v>2186</v>
      </c>
      <c r="Y934" t="s">
        <v>17503</v>
      </c>
      <c r="Z934" t="s">
        <v>13826</v>
      </c>
      <c r="AA934" t="s">
        <v>74</v>
      </c>
      <c r="AB934" t="s">
        <v>74</v>
      </c>
      <c r="AC934" t="s">
        <v>74</v>
      </c>
      <c r="AD934" t="s">
        <v>74</v>
      </c>
      <c r="AE934" t="s">
        <v>74</v>
      </c>
      <c r="AF934" t="s">
        <v>74</v>
      </c>
      <c r="AG934">
        <v>14</v>
      </c>
      <c r="AH934">
        <v>0</v>
      </c>
      <c r="AI934">
        <v>0</v>
      </c>
      <c r="AJ934">
        <v>0</v>
      </c>
      <c r="AK934">
        <v>0</v>
      </c>
      <c r="AL934" t="s">
        <v>17504</v>
      </c>
      <c r="AM934" t="s">
        <v>342</v>
      </c>
      <c r="AN934" t="s">
        <v>17505</v>
      </c>
      <c r="AO934" t="s">
        <v>2196</v>
      </c>
      <c r="AP934" t="s">
        <v>2197</v>
      </c>
      <c r="AQ934" t="s">
        <v>74</v>
      </c>
      <c r="AR934" t="s">
        <v>2198</v>
      </c>
      <c r="AS934" t="s">
        <v>2199</v>
      </c>
      <c r="AT934" t="s">
        <v>17045</v>
      </c>
      <c r="AU934">
        <v>2014</v>
      </c>
      <c r="AV934">
        <v>39</v>
      </c>
      <c r="AW934">
        <v>10</v>
      </c>
      <c r="AX934" t="s">
        <v>74</v>
      </c>
      <c r="AY934" t="s">
        <v>74</v>
      </c>
      <c r="AZ934" t="s">
        <v>74</v>
      </c>
      <c r="BA934" t="s">
        <v>74</v>
      </c>
      <c r="BB934">
        <v>660</v>
      </c>
      <c r="BC934">
        <v>669</v>
      </c>
      <c r="BD934" t="s">
        <v>74</v>
      </c>
      <c r="BE934" t="s">
        <v>17506</v>
      </c>
      <c r="BF934" t="str">
        <f>HYPERLINK("http://dx.doi.org/10.3103/S1068373914100033","http://dx.doi.org/10.3103/S1068373914100033")</f>
        <v>http://dx.doi.org/10.3103/S1068373914100033</v>
      </c>
      <c r="BG934" t="s">
        <v>74</v>
      </c>
      <c r="BH934" t="s">
        <v>74</v>
      </c>
      <c r="BI934">
        <v>10</v>
      </c>
      <c r="BJ934" t="s">
        <v>226</v>
      </c>
      <c r="BK934" t="s">
        <v>91</v>
      </c>
      <c r="BL934" t="s">
        <v>226</v>
      </c>
      <c r="BM934" t="s">
        <v>17507</v>
      </c>
      <c r="BN934" t="s">
        <v>74</v>
      </c>
      <c r="BO934" t="s">
        <v>74</v>
      </c>
      <c r="BP934" t="s">
        <v>74</v>
      </c>
      <c r="BQ934" t="s">
        <v>74</v>
      </c>
      <c r="BR934" t="s">
        <v>93</v>
      </c>
      <c r="BS934" t="s">
        <v>17508</v>
      </c>
      <c r="BT934" t="str">
        <f>HYPERLINK("https%3A%2F%2Fwww.webofscience.com%2Fwos%2Fwoscc%2Ffull-record%2FWOS:000345095500003","View Full Record in Web of Science")</f>
        <v>View Full Record in Web of Science</v>
      </c>
    </row>
    <row r="935" spans="1:72" x14ac:dyDescent="0.15">
      <c r="A935" t="s">
        <v>72</v>
      </c>
      <c r="B935" t="s">
        <v>17509</v>
      </c>
      <c r="C935" t="s">
        <v>74</v>
      </c>
      <c r="D935" t="s">
        <v>74</v>
      </c>
      <c r="E935" t="s">
        <v>74</v>
      </c>
      <c r="F935" t="s">
        <v>17510</v>
      </c>
      <c r="G935" t="s">
        <v>74</v>
      </c>
      <c r="H935" t="s">
        <v>74</v>
      </c>
      <c r="I935" t="s">
        <v>17511</v>
      </c>
      <c r="J935" t="s">
        <v>2182</v>
      </c>
      <c r="K935" t="s">
        <v>74</v>
      </c>
      <c r="L935" t="s">
        <v>74</v>
      </c>
      <c r="M935" t="s">
        <v>78</v>
      </c>
      <c r="N935" t="s">
        <v>99</v>
      </c>
      <c r="O935" t="s">
        <v>74</v>
      </c>
      <c r="P935" t="s">
        <v>74</v>
      </c>
      <c r="Q935" t="s">
        <v>74</v>
      </c>
      <c r="R935" t="s">
        <v>74</v>
      </c>
      <c r="S935" t="s">
        <v>74</v>
      </c>
      <c r="T935" t="s">
        <v>74</v>
      </c>
      <c r="U935" t="s">
        <v>74</v>
      </c>
      <c r="V935" t="s">
        <v>17512</v>
      </c>
      <c r="W935" t="s">
        <v>17513</v>
      </c>
      <c r="X935" t="s">
        <v>2186</v>
      </c>
      <c r="Y935" t="s">
        <v>17514</v>
      </c>
      <c r="Z935" t="s">
        <v>17515</v>
      </c>
      <c r="AA935" t="s">
        <v>74</v>
      </c>
      <c r="AB935" t="s">
        <v>74</v>
      </c>
      <c r="AC935" t="s">
        <v>74</v>
      </c>
      <c r="AD935" t="s">
        <v>74</v>
      </c>
      <c r="AE935" t="s">
        <v>74</v>
      </c>
      <c r="AF935" t="s">
        <v>74</v>
      </c>
      <c r="AG935">
        <v>17</v>
      </c>
      <c r="AH935">
        <v>0</v>
      </c>
      <c r="AI935">
        <v>0</v>
      </c>
      <c r="AJ935">
        <v>0</v>
      </c>
      <c r="AK935">
        <v>2</v>
      </c>
      <c r="AL935" t="s">
        <v>17504</v>
      </c>
      <c r="AM935" t="s">
        <v>342</v>
      </c>
      <c r="AN935" t="s">
        <v>17505</v>
      </c>
      <c r="AO935" t="s">
        <v>2196</v>
      </c>
      <c r="AP935" t="s">
        <v>2197</v>
      </c>
      <c r="AQ935" t="s">
        <v>74</v>
      </c>
      <c r="AR935" t="s">
        <v>2198</v>
      </c>
      <c r="AS935" t="s">
        <v>2199</v>
      </c>
      <c r="AT935" t="s">
        <v>17045</v>
      </c>
      <c r="AU935">
        <v>2014</v>
      </c>
      <c r="AV935">
        <v>39</v>
      </c>
      <c r="AW935">
        <v>10</v>
      </c>
      <c r="AX935" t="s">
        <v>74</v>
      </c>
      <c r="AY935" t="s">
        <v>74</v>
      </c>
      <c r="AZ935" t="s">
        <v>74</v>
      </c>
      <c r="BA935" t="s">
        <v>74</v>
      </c>
      <c r="BB935">
        <v>685</v>
      </c>
      <c r="BC935">
        <v>696</v>
      </c>
      <c r="BD935" t="s">
        <v>74</v>
      </c>
      <c r="BE935" t="s">
        <v>17516</v>
      </c>
      <c r="BF935" t="str">
        <f>HYPERLINK("http://dx.doi.org/10.3103/S1068373914100069","http://dx.doi.org/10.3103/S1068373914100069")</f>
        <v>http://dx.doi.org/10.3103/S1068373914100069</v>
      </c>
      <c r="BG935" t="s">
        <v>74</v>
      </c>
      <c r="BH935" t="s">
        <v>74</v>
      </c>
      <c r="BI935">
        <v>12</v>
      </c>
      <c r="BJ935" t="s">
        <v>226</v>
      </c>
      <c r="BK935" t="s">
        <v>91</v>
      </c>
      <c r="BL935" t="s">
        <v>226</v>
      </c>
      <c r="BM935" t="s">
        <v>17507</v>
      </c>
      <c r="BN935" t="s">
        <v>74</v>
      </c>
      <c r="BO935" t="s">
        <v>74</v>
      </c>
      <c r="BP935" t="s">
        <v>74</v>
      </c>
      <c r="BQ935" t="s">
        <v>74</v>
      </c>
      <c r="BR935" t="s">
        <v>93</v>
      </c>
      <c r="BS935" t="s">
        <v>17517</v>
      </c>
      <c r="BT935" t="str">
        <f>HYPERLINK("https%3A%2F%2Fwww.webofscience.com%2Fwos%2Fwoscc%2Ffull-record%2FWOS:000345095500006","View Full Record in Web of Science")</f>
        <v>View Full Record in Web of Science</v>
      </c>
    </row>
    <row r="936" spans="1:72" x14ac:dyDescent="0.15">
      <c r="A936" t="s">
        <v>72</v>
      </c>
      <c r="B936" t="s">
        <v>17518</v>
      </c>
      <c r="C936" t="s">
        <v>74</v>
      </c>
      <c r="D936" t="s">
        <v>74</v>
      </c>
      <c r="E936" t="s">
        <v>74</v>
      </c>
      <c r="F936" t="s">
        <v>17519</v>
      </c>
      <c r="G936" t="s">
        <v>74</v>
      </c>
      <c r="H936" t="s">
        <v>74</v>
      </c>
      <c r="I936" t="s">
        <v>17520</v>
      </c>
      <c r="J936" t="s">
        <v>17521</v>
      </c>
      <c r="K936" t="s">
        <v>74</v>
      </c>
      <c r="L936" t="s">
        <v>74</v>
      </c>
      <c r="M936" t="s">
        <v>78</v>
      </c>
      <c r="N936" t="s">
        <v>99</v>
      </c>
      <c r="O936" t="s">
        <v>74</v>
      </c>
      <c r="P936" t="s">
        <v>74</v>
      </c>
      <c r="Q936" t="s">
        <v>74</v>
      </c>
      <c r="R936" t="s">
        <v>74</v>
      </c>
      <c r="S936" t="s">
        <v>74</v>
      </c>
      <c r="T936" t="s">
        <v>17522</v>
      </c>
      <c r="U936" t="s">
        <v>17523</v>
      </c>
      <c r="V936" t="s">
        <v>17524</v>
      </c>
      <c r="W936" t="s">
        <v>17525</v>
      </c>
      <c r="X936" t="s">
        <v>17526</v>
      </c>
      <c r="Y936" t="s">
        <v>17527</v>
      </c>
      <c r="Z936" t="s">
        <v>17528</v>
      </c>
      <c r="AA936" t="s">
        <v>17529</v>
      </c>
      <c r="AB936" t="s">
        <v>17530</v>
      </c>
      <c r="AC936" t="s">
        <v>74</v>
      </c>
      <c r="AD936" t="s">
        <v>74</v>
      </c>
      <c r="AE936" t="s">
        <v>74</v>
      </c>
      <c r="AF936" t="s">
        <v>74</v>
      </c>
      <c r="AG936">
        <v>61</v>
      </c>
      <c r="AH936">
        <v>13</v>
      </c>
      <c r="AI936">
        <v>13</v>
      </c>
      <c r="AJ936">
        <v>0</v>
      </c>
      <c r="AK936">
        <v>28</v>
      </c>
      <c r="AL936" t="s">
        <v>17531</v>
      </c>
      <c r="AM936" t="s">
        <v>17532</v>
      </c>
      <c r="AN936" t="s">
        <v>17533</v>
      </c>
      <c r="AO936" t="s">
        <v>17534</v>
      </c>
      <c r="AP936" t="s">
        <v>74</v>
      </c>
      <c r="AQ936" t="s">
        <v>74</v>
      </c>
      <c r="AR936" t="s">
        <v>17535</v>
      </c>
      <c r="AS936" t="s">
        <v>17536</v>
      </c>
      <c r="AT936" t="s">
        <v>17045</v>
      </c>
      <c r="AU936">
        <v>2014</v>
      </c>
      <c r="AV936">
        <v>31</v>
      </c>
      <c r="AW936">
        <v>5</v>
      </c>
      <c r="AX936" t="s">
        <v>74</v>
      </c>
      <c r="AY936" t="s">
        <v>74</v>
      </c>
      <c r="AZ936" t="s">
        <v>74</v>
      </c>
      <c r="BA936" t="s">
        <v>74</v>
      </c>
      <c r="BB936">
        <v>445</v>
      </c>
      <c r="BC936">
        <v>462</v>
      </c>
      <c r="BD936" t="s">
        <v>74</v>
      </c>
      <c r="BE936" t="s">
        <v>17537</v>
      </c>
      <c r="BF936" t="str">
        <f>HYPERLINK("http://dx.doi.org/10.1590/S1984-46702014000500005","http://dx.doi.org/10.1590/S1984-46702014000500005")</f>
        <v>http://dx.doi.org/10.1590/S1984-46702014000500005</v>
      </c>
      <c r="BG936" t="s">
        <v>74</v>
      </c>
      <c r="BH936" t="s">
        <v>74</v>
      </c>
      <c r="BI936">
        <v>18</v>
      </c>
      <c r="BJ936" t="s">
        <v>423</v>
      </c>
      <c r="BK936" t="s">
        <v>91</v>
      </c>
      <c r="BL936" t="s">
        <v>423</v>
      </c>
      <c r="BM936" t="s">
        <v>17538</v>
      </c>
      <c r="BN936" t="s">
        <v>74</v>
      </c>
      <c r="BO936" t="s">
        <v>1136</v>
      </c>
      <c r="BP936" t="s">
        <v>74</v>
      </c>
      <c r="BQ936" t="s">
        <v>74</v>
      </c>
      <c r="BR936" t="s">
        <v>93</v>
      </c>
      <c r="BS936" t="s">
        <v>17539</v>
      </c>
      <c r="BT936" t="str">
        <f>HYPERLINK("https%3A%2F%2Fwww.webofscience.com%2Fwos%2Fwoscc%2Ffull-record%2FWOS:000344836200005","View Full Record in Web of Science")</f>
        <v>View Full Record in Web of Science</v>
      </c>
    </row>
    <row r="937" spans="1:72" x14ac:dyDescent="0.15">
      <c r="A937" t="s">
        <v>72</v>
      </c>
      <c r="B937" t="s">
        <v>17540</v>
      </c>
      <c r="C937" t="s">
        <v>74</v>
      </c>
      <c r="D937" t="s">
        <v>74</v>
      </c>
      <c r="E937" t="s">
        <v>74</v>
      </c>
      <c r="F937" t="s">
        <v>17541</v>
      </c>
      <c r="G937" t="s">
        <v>74</v>
      </c>
      <c r="H937" t="s">
        <v>74</v>
      </c>
      <c r="I937" t="s">
        <v>17542</v>
      </c>
      <c r="J937" t="s">
        <v>3116</v>
      </c>
      <c r="K937" t="s">
        <v>74</v>
      </c>
      <c r="L937" t="s">
        <v>74</v>
      </c>
      <c r="M937" t="s">
        <v>78</v>
      </c>
      <c r="N937" t="s">
        <v>99</v>
      </c>
      <c r="O937" t="s">
        <v>74</v>
      </c>
      <c r="P937" t="s">
        <v>74</v>
      </c>
      <c r="Q937" t="s">
        <v>74</v>
      </c>
      <c r="R937" t="s">
        <v>74</v>
      </c>
      <c r="S937" t="s">
        <v>74</v>
      </c>
      <c r="T937" t="s">
        <v>17543</v>
      </c>
      <c r="U937" t="s">
        <v>17544</v>
      </c>
      <c r="V937" t="s">
        <v>17545</v>
      </c>
      <c r="W937" t="s">
        <v>17546</v>
      </c>
      <c r="X937" t="s">
        <v>3121</v>
      </c>
      <c r="Y937" t="s">
        <v>3122</v>
      </c>
      <c r="Z937" t="s">
        <v>3123</v>
      </c>
      <c r="AA937" t="s">
        <v>17547</v>
      </c>
      <c r="AB937" t="s">
        <v>17548</v>
      </c>
      <c r="AC937" t="s">
        <v>17549</v>
      </c>
      <c r="AD937" t="s">
        <v>17549</v>
      </c>
      <c r="AE937" t="s">
        <v>17550</v>
      </c>
      <c r="AF937" t="s">
        <v>74</v>
      </c>
      <c r="AG937">
        <v>32</v>
      </c>
      <c r="AH937">
        <v>4</v>
      </c>
      <c r="AI937">
        <v>4</v>
      </c>
      <c r="AJ937">
        <v>0</v>
      </c>
      <c r="AK937">
        <v>26</v>
      </c>
      <c r="AL937" t="s">
        <v>3129</v>
      </c>
      <c r="AM937" t="s">
        <v>3130</v>
      </c>
      <c r="AN937" t="s">
        <v>3131</v>
      </c>
      <c r="AO937" t="s">
        <v>3132</v>
      </c>
      <c r="AP937" t="s">
        <v>3133</v>
      </c>
      <c r="AQ937" t="s">
        <v>74</v>
      </c>
      <c r="AR937" t="s">
        <v>3134</v>
      </c>
      <c r="AS937" t="s">
        <v>3135</v>
      </c>
      <c r="AT937" t="s">
        <v>17137</v>
      </c>
      <c r="AU937">
        <v>2014</v>
      </c>
      <c r="AV937">
        <v>62</v>
      </c>
      <c r="AW937">
        <v>4</v>
      </c>
      <c r="AX937" t="s">
        <v>74</v>
      </c>
      <c r="AY937" t="s">
        <v>74</v>
      </c>
      <c r="AZ937" t="s">
        <v>74</v>
      </c>
      <c r="BA937" t="s">
        <v>74</v>
      </c>
      <c r="BB937">
        <v>315</v>
      </c>
      <c r="BC937">
        <v>321</v>
      </c>
      <c r="BD937" t="s">
        <v>74</v>
      </c>
      <c r="BE937" t="s">
        <v>17551</v>
      </c>
      <c r="BF937" t="str">
        <f>HYPERLINK("http://dx.doi.org/10.1590/S1679-87592014078306204","http://dx.doi.org/10.1590/S1679-87592014078306204")</f>
        <v>http://dx.doi.org/10.1590/S1679-87592014078306204</v>
      </c>
      <c r="BG937" t="s">
        <v>74</v>
      </c>
      <c r="BH937" t="s">
        <v>74</v>
      </c>
      <c r="BI937">
        <v>7</v>
      </c>
      <c r="BJ937" t="s">
        <v>2393</v>
      </c>
      <c r="BK937" t="s">
        <v>91</v>
      </c>
      <c r="BL937" t="s">
        <v>2393</v>
      </c>
      <c r="BM937" t="s">
        <v>17552</v>
      </c>
      <c r="BN937" t="s">
        <v>74</v>
      </c>
      <c r="BO937" t="s">
        <v>1136</v>
      </c>
      <c r="BP937" t="s">
        <v>74</v>
      </c>
      <c r="BQ937" t="s">
        <v>74</v>
      </c>
      <c r="BR937" t="s">
        <v>93</v>
      </c>
      <c r="BS937" t="s">
        <v>17553</v>
      </c>
      <c r="BT937" t="str">
        <f>HYPERLINK("https%3A%2F%2Fwww.webofscience.com%2Fwos%2Fwoscc%2Ffull-record%2FWOS:000344325500007","View Full Record in Web of Science")</f>
        <v>View Full Record in Web of Science</v>
      </c>
    </row>
    <row r="938" spans="1:72" x14ac:dyDescent="0.15">
      <c r="A938" t="s">
        <v>72</v>
      </c>
      <c r="B938" t="s">
        <v>17554</v>
      </c>
      <c r="C938" t="s">
        <v>74</v>
      </c>
      <c r="D938" t="s">
        <v>74</v>
      </c>
      <c r="E938" t="s">
        <v>74</v>
      </c>
      <c r="F938" t="s">
        <v>17555</v>
      </c>
      <c r="G938" t="s">
        <v>74</v>
      </c>
      <c r="H938" t="s">
        <v>74</v>
      </c>
      <c r="I938" t="s">
        <v>17556</v>
      </c>
      <c r="J938" t="s">
        <v>17557</v>
      </c>
      <c r="K938" t="s">
        <v>74</v>
      </c>
      <c r="L938" t="s">
        <v>74</v>
      </c>
      <c r="M938" t="s">
        <v>78</v>
      </c>
      <c r="N938" t="s">
        <v>99</v>
      </c>
      <c r="O938" t="s">
        <v>74</v>
      </c>
      <c r="P938" t="s">
        <v>74</v>
      </c>
      <c r="Q938" t="s">
        <v>74</v>
      </c>
      <c r="R938" t="s">
        <v>74</v>
      </c>
      <c r="S938" t="s">
        <v>74</v>
      </c>
      <c r="T938" t="s">
        <v>17558</v>
      </c>
      <c r="U938" t="s">
        <v>17559</v>
      </c>
      <c r="V938" t="s">
        <v>17560</v>
      </c>
      <c r="W938" t="s">
        <v>17561</v>
      </c>
      <c r="X938" t="s">
        <v>17562</v>
      </c>
      <c r="Y938" t="s">
        <v>17563</v>
      </c>
      <c r="Z938" t="s">
        <v>17564</v>
      </c>
      <c r="AA938" t="s">
        <v>17565</v>
      </c>
      <c r="AB938" t="s">
        <v>17566</v>
      </c>
      <c r="AC938" t="s">
        <v>17567</v>
      </c>
      <c r="AD938" t="s">
        <v>17568</v>
      </c>
      <c r="AE938" t="s">
        <v>17569</v>
      </c>
      <c r="AF938" t="s">
        <v>74</v>
      </c>
      <c r="AG938">
        <v>43</v>
      </c>
      <c r="AH938">
        <v>5</v>
      </c>
      <c r="AI938">
        <v>5</v>
      </c>
      <c r="AJ938">
        <v>0</v>
      </c>
      <c r="AK938">
        <v>30</v>
      </c>
      <c r="AL938" t="s">
        <v>2666</v>
      </c>
      <c r="AM938" t="s">
        <v>6414</v>
      </c>
      <c r="AN938" t="s">
        <v>6415</v>
      </c>
      <c r="AO938" t="s">
        <v>17570</v>
      </c>
      <c r="AP938" t="s">
        <v>17571</v>
      </c>
      <c r="AQ938" t="s">
        <v>74</v>
      </c>
      <c r="AR938" t="s">
        <v>17572</v>
      </c>
      <c r="AS938" t="s">
        <v>17573</v>
      </c>
      <c r="AT938" t="s">
        <v>17045</v>
      </c>
      <c r="AU938">
        <v>2014</v>
      </c>
      <c r="AV938">
        <v>26</v>
      </c>
      <c r="AW938">
        <v>5</v>
      </c>
      <c r="AX938" t="s">
        <v>74</v>
      </c>
      <c r="AY938" t="s">
        <v>74</v>
      </c>
      <c r="AZ938" t="s">
        <v>74</v>
      </c>
      <c r="BA938" t="s">
        <v>74</v>
      </c>
      <c r="BB938">
        <v>1963</v>
      </c>
      <c r="BC938">
        <v>1969</v>
      </c>
      <c r="BD938" t="s">
        <v>74</v>
      </c>
      <c r="BE938" t="s">
        <v>17574</v>
      </c>
      <c r="BF938" t="str">
        <f>HYPERLINK("http://dx.doi.org/10.1007/s10811-014-0316-4","http://dx.doi.org/10.1007/s10811-014-0316-4")</f>
        <v>http://dx.doi.org/10.1007/s10811-014-0316-4</v>
      </c>
      <c r="BG938" t="s">
        <v>74</v>
      </c>
      <c r="BH938" t="s">
        <v>74</v>
      </c>
      <c r="BI938">
        <v>7</v>
      </c>
      <c r="BJ938" t="s">
        <v>17575</v>
      </c>
      <c r="BK938" t="s">
        <v>91</v>
      </c>
      <c r="BL938" t="s">
        <v>17575</v>
      </c>
      <c r="BM938" t="s">
        <v>17576</v>
      </c>
      <c r="BN938" t="s">
        <v>74</v>
      </c>
      <c r="BO938" t="s">
        <v>74</v>
      </c>
      <c r="BP938" t="s">
        <v>74</v>
      </c>
      <c r="BQ938" t="s">
        <v>74</v>
      </c>
      <c r="BR938" t="s">
        <v>93</v>
      </c>
      <c r="BS938" t="s">
        <v>17577</v>
      </c>
      <c r="BT938" t="str">
        <f>HYPERLINK("https%3A%2F%2Fwww.webofscience.com%2Fwos%2Fwoscc%2Ffull-record%2FWOS:000343998400004","View Full Record in Web of Science")</f>
        <v>View Full Record in Web of Science</v>
      </c>
    </row>
    <row r="939" spans="1:72" x14ac:dyDescent="0.15">
      <c r="A939" t="s">
        <v>72</v>
      </c>
      <c r="B939" t="s">
        <v>17578</v>
      </c>
      <c r="C939" t="s">
        <v>74</v>
      </c>
      <c r="D939" t="s">
        <v>74</v>
      </c>
      <c r="E939" t="s">
        <v>74</v>
      </c>
      <c r="F939" t="s">
        <v>17579</v>
      </c>
      <c r="G939" t="s">
        <v>74</v>
      </c>
      <c r="H939" t="s">
        <v>74</v>
      </c>
      <c r="I939" t="s">
        <v>17580</v>
      </c>
      <c r="J939" t="s">
        <v>17581</v>
      </c>
      <c r="K939" t="s">
        <v>74</v>
      </c>
      <c r="L939" t="s">
        <v>74</v>
      </c>
      <c r="M939" t="s">
        <v>78</v>
      </c>
      <c r="N939" t="s">
        <v>99</v>
      </c>
      <c r="O939" t="s">
        <v>74</v>
      </c>
      <c r="P939" t="s">
        <v>74</v>
      </c>
      <c r="Q939" t="s">
        <v>74</v>
      </c>
      <c r="R939" t="s">
        <v>74</v>
      </c>
      <c r="S939" t="s">
        <v>74</v>
      </c>
      <c r="T939" t="s">
        <v>17582</v>
      </c>
      <c r="U939" t="s">
        <v>17583</v>
      </c>
      <c r="V939" t="s">
        <v>17584</v>
      </c>
      <c r="W939" t="s">
        <v>17585</v>
      </c>
      <c r="X939" t="s">
        <v>17586</v>
      </c>
      <c r="Y939" t="s">
        <v>17587</v>
      </c>
      <c r="Z939" t="s">
        <v>17588</v>
      </c>
      <c r="AA939" t="s">
        <v>74</v>
      </c>
      <c r="AB939" t="s">
        <v>17589</v>
      </c>
      <c r="AC939" t="s">
        <v>17590</v>
      </c>
      <c r="AD939" t="s">
        <v>17591</v>
      </c>
      <c r="AE939" t="s">
        <v>17592</v>
      </c>
      <c r="AF939" t="s">
        <v>74</v>
      </c>
      <c r="AG939">
        <v>72</v>
      </c>
      <c r="AH939">
        <v>6</v>
      </c>
      <c r="AI939">
        <v>7</v>
      </c>
      <c r="AJ939">
        <v>0</v>
      </c>
      <c r="AK939">
        <v>7</v>
      </c>
      <c r="AL939" t="s">
        <v>13483</v>
      </c>
      <c r="AM939" t="s">
        <v>13484</v>
      </c>
      <c r="AN939" t="s">
        <v>13485</v>
      </c>
      <c r="AO939" t="s">
        <v>17593</v>
      </c>
      <c r="AP939" t="s">
        <v>17594</v>
      </c>
      <c r="AQ939" t="s">
        <v>74</v>
      </c>
      <c r="AR939" t="s">
        <v>17595</v>
      </c>
      <c r="AS939" t="s">
        <v>17596</v>
      </c>
      <c r="AT939" t="s">
        <v>17045</v>
      </c>
      <c r="AU939">
        <v>2014</v>
      </c>
      <c r="AV939">
        <v>123</v>
      </c>
      <c r="AW939">
        <v>7</v>
      </c>
      <c r="AX939" t="s">
        <v>74</v>
      </c>
      <c r="AY939" t="s">
        <v>74</v>
      </c>
      <c r="AZ939" t="s">
        <v>74</v>
      </c>
      <c r="BA939" t="s">
        <v>74</v>
      </c>
      <c r="BB939">
        <v>1671</v>
      </c>
      <c r="BC939">
        <v>1680</v>
      </c>
      <c r="BD939" t="s">
        <v>74</v>
      </c>
      <c r="BE939" t="s">
        <v>17597</v>
      </c>
      <c r="BF939" t="str">
        <f>HYPERLINK("http://dx.doi.org/10.1007/s12040-014-0495-z","http://dx.doi.org/10.1007/s12040-014-0495-z")</f>
        <v>http://dx.doi.org/10.1007/s12040-014-0495-z</v>
      </c>
      <c r="BG939" t="s">
        <v>74</v>
      </c>
      <c r="BH939" t="s">
        <v>74</v>
      </c>
      <c r="BI939">
        <v>10</v>
      </c>
      <c r="BJ939" t="s">
        <v>17598</v>
      </c>
      <c r="BK939" t="s">
        <v>91</v>
      </c>
      <c r="BL939" t="s">
        <v>17599</v>
      </c>
      <c r="BM939" t="s">
        <v>17600</v>
      </c>
      <c r="BN939" t="s">
        <v>74</v>
      </c>
      <c r="BO939" t="s">
        <v>375</v>
      </c>
      <c r="BP939" t="s">
        <v>74</v>
      </c>
      <c r="BQ939" t="s">
        <v>74</v>
      </c>
      <c r="BR939" t="s">
        <v>93</v>
      </c>
      <c r="BS939" t="s">
        <v>17601</v>
      </c>
      <c r="BT939" t="str">
        <f>HYPERLINK("https%3A%2F%2Fwww.webofscience.com%2Fwos%2Fwoscc%2Ffull-record%2FWOS:000343954200015","View Full Record in Web of Science")</f>
        <v>View Full Record in Web of Science</v>
      </c>
    </row>
    <row r="940" spans="1:72" x14ac:dyDescent="0.15">
      <c r="A940" t="s">
        <v>72</v>
      </c>
      <c r="B940" t="s">
        <v>17602</v>
      </c>
      <c r="C940" t="s">
        <v>74</v>
      </c>
      <c r="D940" t="s">
        <v>74</v>
      </c>
      <c r="E940" t="s">
        <v>74</v>
      </c>
      <c r="F940" t="s">
        <v>17603</v>
      </c>
      <c r="G940" t="s">
        <v>74</v>
      </c>
      <c r="H940" t="s">
        <v>74</v>
      </c>
      <c r="I940" t="s">
        <v>17604</v>
      </c>
      <c r="J940" t="s">
        <v>17605</v>
      </c>
      <c r="K940" t="s">
        <v>74</v>
      </c>
      <c r="L940" t="s">
        <v>74</v>
      </c>
      <c r="M940" t="s">
        <v>78</v>
      </c>
      <c r="N940" t="s">
        <v>99</v>
      </c>
      <c r="O940" t="s">
        <v>74</v>
      </c>
      <c r="P940" t="s">
        <v>74</v>
      </c>
      <c r="Q940" t="s">
        <v>74</v>
      </c>
      <c r="R940" t="s">
        <v>74</v>
      </c>
      <c r="S940" t="s">
        <v>74</v>
      </c>
      <c r="T940" t="s">
        <v>74</v>
      </c>
      <c r="U940" t="s">
        <v>17606</v>
      </c>
      <c r="V940" t="s">
        <v>17607</v>
      </c>
      <c r="W940" t="s">
        <v>17608</v>
      </c>
      <c r="X940" t="s">
        <v>17609</v>
      </c>
      <c r="Y940" t="s">
        <v>17610</v>
      </c>
      <c r="Z940" t="s">
        <v>17611</v>
      </c>
      <c r="AA940" t="s">
        <v>17612</v>
      </c>
      <c r="AB940" t="s">
        <v>17613</v>
      </c>
      <c r="AC940" t="s">
        <v>17614</v>
      </c>
      <c r="AD940" t="s">
        <v>17615</v>
      </c>
      <c r="AE940" t="s">
        <v>17616</v>
      </c>
      <c r="AF940" t="s">
        <v>74</v>
      </c>
      <c r="AG940">
        <v>61</v>
      </c>
      <c r="AH940">
        <v>8</v>
      </c>
      <c r="AI940">
        <v>8</v>
      </c>
      <c r="AJ940">
        <v>1</v>
      </c>
      <c r="AK940">
        <v>14</v>
      </c>
      <c r="AL940" t="s">
        <v>17617</v>
      </c>
      <c r="AM940" t="s">
        <v>17460</v>
      </c>
      <c r="AN940" t="s">
        <v>17618</v>
      </c>
      <c r="AO940" t="s">
        <v>17619</v>
      </c>
      <c r="AP940" t="s">
        <v>74</v>
      </c>
      <c r="AQ940" t="s">
        <v>74</v>
      </c>
      <c r="AR940" t="s">
        <v>17620</v>
      </c>
      <c r="AS940" t="s">
        <v>17621</v>
      </c>
      <c r="AT940" t="s">
        <v>17045</v>
      </c>
      <c r="AU940">
        <v>2014</v>
      </c>
      <c r="AV940">
        <v>44</v>
      </c>
      <c r="AW940">
        <v>4</v>
      </c>
      <c r="AX940" t="s">
        <v>74</v>
      </c>
      <c r="AY940" t="s">
        <v>74</v>
      </c>
      <c r="AZ940" t="s">
        <v>74</v>
      </c>
      <c r="BA940" t="s">
        <v>74</v>
      </c>
      <c r="BB940">
        <v>352</v>
      </c>
      <c r="BC940">
        <v>364</v>
      </c>
      <c r="BD940" t="s">
        <v>74</v>
      </c>
      <c r="BE940" t="s">
        <v>17622</v>
      </c>
      <c r="BF940" t="str">
        <f>HYPERLINK("http://dx.doi.org/10.2113/gsjfr.44.4.352","http://dx.doi.org/10.2113/gsjfr.44.4.352")</f>
        <v>http://dx.doi.org/10.2113/gsjfr.44.4.352</v>
      </c>
      <c r="BG940" t="s">
        <v>74</v>
      </c>
      <c r="BH940" t="s">
        <v>74</v>
      </c>
      <c r="BI940">
        <v>13</v>
      </c>
      <c r="BJ940" t="s">
        <v>447</v>
      </c>
      <c r="BK940" t="s">
        <v>91</v>
      </c>
      <c r="BL940" t="s">
        <v>447</v>
      </c>
      <c r="BM940" t="s">
        <v>17623</v>
      </c>
      <c r="BN940" t="s">
        <v>74</v>
      </c>
      <c r="BO940" t="s">
        <v>74</v>
      </c>
      <c r="BP940" t="s">
        <v>74</v>
      </c>
      <c r="BQ940" t="s">
        <v>74</v>
      </c>
      <c r="BR940" t="s">
        <v>93</v>
      </c>
      <c r="BS940" t="s">
        <v>17624</v>
      </c>
      <c r="BT940" t="str">
        <f>HYPERLINK("https%3A%2F%2Fwww.webofscience.com%2Fwos%2Fwoscc%2Ffull-record%2FWOS:000344444300002","View Full Record in Web of Science")</f>
        <v>View Full Record in Web of Science</v>
      </c>
    </row>
    <row r="941" spans="1:72" x14ac:dyDescent="0.15">
      <c r="A941" t="s">
        <v>72</v>
      </c>
      <c r="B941" t="s">
        <v>17625</v>
      </c>
      <c r="C941" t="s">
        <v>74</v>
      </c>
      <c r="D941" t="s">
        <v>74</v>
      </c>
      <c r="E941" t="s">
        <v>74</v>
      </c>
      <c r="F941" t="s">
        <v>17626</v>
      </c>
      <c r="G941" t="s">
        <v>74</v>
      </c>
      <c r="H941" t="s">
        <v>74</v>
      </c>
      <c r="I941" t="s">
        <v>17627</v>
      </c>
      <c r="J941" t="s">
        <v>17605</v>
      </c>
      <c r="K941" t="s">
        <v>74</v>
      </c>
      <c r="L941" t="s">
        <v>74</v>
      </c>
      <c r="M941" t="s">
        <v>78</v>
      </c>
      <c r="N941" t="s">
        <v>99</v>
      </c>
      <c r="O941" t="s">
        <v>74</v>
      </c>
      <c r="P941" t="s">
        <v>74</v>
      </c>
      <c r="Q941" t="s">
        <v>74</v>
      </c>
      <c r="R941" t="s">
        <v>74</v>
      </c>
      <c r="S941" t="s">
        <v>74</v>
      </c>
      <c r="T941" t="s">
        <v>74</v>
      </c>
      <c r="U941" t="s">
        <v>17628</v>
      </c>
      <c r="V941" t="s">
        <v>17629</v>
      </c>
      <c r="W941" t="s">
        <v>17630</v>
      </c>
      <c r="X941" t="s">
        <v>17631</v>
      </c>
      <c r="Y941" t="s">
        <v>17632</v>
      </c>
      <c r="Z941" t="s">
        <v>17633</v>
      </c>
      <c r="AA941" t="s">
        <v>74</v>
      </c>
      <c r="AB941" t="s">
        <v>74</v>
      </c>
      <c r="AC941" t="s">
        <v>74</v>
      </c>
      <c r="AD941" t="s">
        <v>74</v>
      </c>
      <c r="AE941" t="s">
        <v>74</v>
      </c>
      <c r="AF941" t="s">
        <v>74</v>
      </c>
      <c r="AG941">
        <v>25</v>
      </c>
      <c r="AH941">
        <v>1</v>
      </c>
      <c r="AI941">
        <v>1</v>
      </c>
      <c r="AJ941">
        <v>0</v>
      </c>
      <c r="AK941">
        <v>0</v>
      </c>
      <c r="AL941" t="s">
        <v>17634</v>
      </c>
      <c r="AM941" t="s">
        <v>112</v>
      </c>
      <c r="AN941" t="s">
        <v>17635</v>
      </c>
      <c r="AO941" t="s">
        <v>17619</v>
      </c>
      <c r="AP941" t="s">
        <v>74</v>
      </c>
      <c r="AQ941" t="s">
        <v>74</v>
      </c>
      <c r="AR941" t="s">
        <v>17620</v>
      </c>
      <c r="AS941" t="s">
        <v>17621</v>
      </c>
      <c r="AT941" t="s">
        <v>17045</v>
      </c>
      <c r="AU941">
        <v>2014</v>
      </c>
      <c r="AV941">
        <v>44</v>
      </c>
      <c r="AW941">
        <v>4</v>
      </c>
      <c r="AX941" t="s">
        <v>74</v>
      </c>
      <c r="AY941" t="s">
        <v>74</v>
      </c>
      <c r="AZ941" t="s">
        <v>74</v>
      </c>
      <c r="BA941" t="s">
        <v>74</v>
      </c>
      <c r="BB941">
        <v>434</v>
      </c>
      <c r="BC941">
        <v>439</v>
      </c>
      <c r="BD941" t="s">
        <v>74</v>
      </c>
      <c r="BE941" t="s">
        <v>17636</v>
      </c>
      <c r="BF941" t="str">
        <f>HYPERLINK("http://dx.doi.org/10.2113/gsjfr.44.4.434","http://dx.doi.org/10.2113/gsjfr.44.4.434")</f>
        <v>http://dx.doi.org/10.2113/gsjfr.44.4.434</v>
      </c>
      <c r="BG941" t="s">
        <v>74</v>
      </c>
      <c r="BH941" t="s">
        <v>74</v>
      </c>
      <c r="BI941">
        <v>6</v>
      </c>
      <c r="BJ941" t="s">
        <v>447</v>
      </c>
      <c r="BK941" t="s">
        <v>91</v>
      </c>
      <c r="BL941" t="s">
        <v>447</v>
      </c>
      <c r="BM941" t="s">
        <v>17623</v>
      </c>
      <c r="BN941" t="s">
        <v>74</v>
      </c>
      <c r="BO941" t="s">
        <v>74</v>
      </c>
      <c r="BP941" t="s">
        <v>74</v>
      </c>
      <c r="BQ941" t="s">
        <v>74</v>
      </c>
      <c r="BR941" t="s">
        <v>93</v>
      </c>
      <c r="BS941" t="s">
        <v>17637</v>
      </c>
      <c r="BT941" t="str">
        <f>HYPERLINK("https%3A%2F%2Fwww.webofscience.com%2Fwos%2Fwoscc%2Ffull-record%2FWOS:000344444300006","View Full Record in Web of Science")</f>
        <v>View Full Record in Web of Science</v>
      </c>
    </row>
    <row r="942" spans="1:72" x14ac:dyDescent="0.15">
      <c r="A942" t="s">
        <v>72</v>
      </c>
      <c r="B942" t="s">
        <v>17638</v>
      </c>
      <c r="C942" t="s">
        <v>74</v>
      </c>
      <c r="D942" t="s">
        <v>74</v>
      </c>
      <c r="E942" t="s">
        <v>74</v>
      </c>
      <c r="F942" t="s">
        <v>17639</v>
      </c>
      <c r="G942" t="s">
        <v>74</v>
      </c>
      <c r="H942" t="s">
        <v>74</v>
      </c>
      <c r="I942" t="s">
        <v>17640</v>
      </c>
      <c r="J942" t="s">
        <v>17641</v>
      </c>
      <c r="K942" t="s">
        <v>74</v>
      </c>
      <c r="L942" t="s">
        <v>74</v>
      </c>
      <c r="M942" t="s">
        <v>78</v>
      </c>
      <c r="N942" t="s">
        <v>99</v>
      </c>
      <c r="O942" t="s">
        <v>74</v>
      </c>
      <c r="P942" t="s">
        <v>74</v>
      </c>
      <c r="Q942" t="s">
        <v>74</v>
      </c>
      <c r="R942" t="s">
        <v>74</v>
      </c>
      <c r="S942" t="s">
        <v>74</v>
      </c>
      <c r="T942" t="s">
        <v>17642</v>
      </c>
      <c r="U942" t="s">
        <v>17643</v>
      </c>
      <c r="V942" t="s">
        <v>17644</v>
      </c>
      <c r="W942" t="s">
        <v>17645</v>
      </c>
      <c r="X942" t="s">
        <v>17646</v>
      </c>
      <c r="Y942" t="s">
        <v>17647</v>
      </c>
      <c r="Z942" t="s">
        <v>17648</v>
      </c>
      <c r="AA942" t="s">
        <v>74</v>
      </c>
      <c r="AB942" t="s">
        <v>74</v>
      </c>
      <c r="AC942" t="s">
        <v>17649</v>
      </c>
      <c r="AD942" t="s">
        <v>17650</v>
      </c>
      <c r="AE942" t="s">
        <v>17651</v>
      </c>
      <c r="AF942" t="s">
        <v>74</v>
      </c>
      <c r="AG942">
        <v>107</v>
      </c>
      <c r="AH942">
        <v>40</v>
      </c>
      <c r="AI942">
        <v>43</v>
      </c>
      <c r="AJ942">
        <v>4</v>
      </c>
      <c r="AK942">
        <v>75</v>
      </c>
      <c r="AL942" t="s">
        <v>2486</v>
      </c>
      <c r="AM942" t="s">
        <v>2487</v>
      </c>
      <c r="AN942" t="s">
        <v>2488</v>
      </c>
      <c r="AO942" t="s">
        <v>17652</v>
      </c>
      <c r="AP942" t="s">
        <v>17653</v>
      </c>
      <c r="AQ942" t="s">
        <v>74</v>
      </c>
      <c r="AR942" t="s">
        <v>17654</v>
      </c>
      <c r="AS942" t="s">
        <v>17655</v>
      </c>
      <c r="AT942" t="s">
        <v>17045</v>
      </c>
      <c r="AU942">
        <v>2014</v>
      </c>
      <c r="AV942">
        <v>28</v>
      </c>
      <c r="AW942">
        <v>5</v>
      </c>
      <c r="AX942" t="s">
        <v>74</v>
      </c>
      <c r="AY942" t="s">
        <v>74</v>
      </c>
      <c r="AZ942" t="s">
        <v>74</v>
      </c>
      <c r="BA942" t="s">
        <v>74</v>
      </c>
      <c r="BB942">
        <v>732</v>
      </c>
      <c r="BC942">
        <v>746</v>
      </c>
      <c r="BD942" t="s">
        <v>74</v>
      </c>
      <c r="BE942" t="s">
        <v>17656</v>
      </c>
      <c r="BF942" t="str">
        <f>HYPERLINK("http://dx.doi.org/10.1007/s13351-014-4029-z","http://dx.doi.org/10.1007/s13351-014-4029-z")</f>
        <v>http://dx.doi.org/10.1007/s13351-014-4029-z</v>
      </c>
      <c r="BG942" t="s">
        <v>74</v>
      </c>
      <c r="BH942" t="s">
        <v>74</v>
      </c>
      <c r="BI942">
        <v>15</v>
      </c>
      <c r="BJ942" t="s">
        <v>226</v>
      </c>
      <c r="BK942" t="s">
        <v>91</v>
      </c>
      <c r="BL942" t="s">
        <v>226</v>
      </c>
      <c r="BM942" t="s">
        <v>17657</v>
      </c>
      <c r="BN942" t="s">
        <v>74</v>
      </c>
      <c r="BO942" t="s">
        <v>134</v>
      </c>
      <c r="BP942" t="s">
        <v>74</v>
      </c>
      <c r="BQ942" t="s">
        <v>74</v>
      </c>
      <c r="BR942" t="s">
        <v>93</v>
      </c>
      <c r="BS942" t="s">
        <v>17658</v>
      </c>
      <c r="BT942" t="str">
        <f>HYPERLINK("https%3A%2F%2Fwww.webofscience.com%2Fwos%2Fwoscc%2Ffull-record%2FWOS:000344078000005","View Full Record in Web of Science")</f>
        <v>View Full Record in Web of Science</v>
      </c>
    </row>
    <row r="943" spans="1:72" x14ac:dyDescent="0.15">
      <c r="A943" t="s">
        <v>72</v>
      </c>
      <c r="B943" t="s">
        <v>17659</v>
      </c>
      <c r="C943" t="s">
        <v>74</v>
      </c>
      <c r="D943" t="s">
        <v>74</v>
      </c>
      <c r="E943" t="s">
        <v>74</v>
      </c>
      <c r="F943" t="s">
        <v>17660</v>
      </c>
      <c r="G943" t="s">
        <v>74</v>
      </c>
      <c r="H943" t="s">
        <v>74</v>
      </c>
      <c r="I943" t="s">
        <v>17661</v>
      </c>
      <c r="J943" t="s">
        <v>2878</v>
      </c>
      <c r="K943" t="s">
        <v>74</v>
      </c>
      <c r="L943" t="s">
        <v>74</v>
      </c>
      <c r="M943" t="s">
        <v>78</v>
      </c>
      <c r="N943" t="s">
        <v>99</v>
      </c>
      <c r="O943" t="s">
        <v>74</v>
      </c>
      <c r="P943" t="s">
        <v>74</v>
      </c>
      <c r="Q943" t="s">
        <v>74</v>
      </c>
      <c r="R943" t="s">
        <v>74</v>
      </c>
      <c r="S943" t="s">
        <v>74</v>
      </c>
      <c r="T943" t="s">
        <v>74</v>
      </c>
      <c r="U943" t="s">
        <v>17662</v>
      </c>
      <c r="V943" t="s">
        <v>17663</v>
      </c>
      <c r="W943" t="s">
        <v>17664</v>
      </c>
      <c r="X943" t="s">
        <v>17665</v>
      </c>
      <c r="Y943" t="s">
        <v>17666</v>
      </c>
      <c r="Z943" t="s">
        <v>17667</v>
      </c>
      <c r="AA943" t="s">
        <v>17668</v>
      </c>
      <c r="AB943" t="s">
        <v>17669</v>
      </c>
      <c r="AC943" t="s">
        <v>17670</v>
      </c>
      <c r="AD943" t="s">
        <v>17671</v>
      </c>
      <c r="AE943" t="s">
        <v>17672</v>
      </c>
      <c r="AF943" t="s">
        <v>74</v>
      </c>
      <c r="AG943">
        <v>134</v>
      </c>
      <c r="AH943">
        <v>10</v>
      </c>
      <c r="AI943">
        <v>10</v>
      </c>
      <c r="AJ943">
        <v>1</v>
      </c>
      <c r="AK943">
        <v>11</v>
      </c>
      <c r="AL943" t="s">
        <v>2006</v>
      </c>
      <c r="AM943" t="s">
        <v>2007</v>
      </c>
      <c r="AN943" t="s">
        <v>2008</v>
      </c>
      <c r="AO943" t="s">
        <v>2890</v>
      </c>
      <c r="AP943" t="s">
        <v>2891</v>
      </c>
      <c r="AQ943" t="s">
        <v>74</v>
      </c>
      <c r="AR943" t="s">
        <v>2892</v>
      </c>
      <c r="AS943" t="s">
        <v>2893</v>
      </c>
      <c r="AT943" t="s">
        <v>17045</v>
      </c>
      <c r="AU943">
        <v>2014</v>
      </c>
      <c r="AV943">
        <v>49</v>
      </c>
      <c r="AW943">
        <v>10</v>
      </c>
      <c r="AX943" t="s">
        <v>74</v>
      </c>
      <c r="AY943" t="s">
        <v>74</v>
      </c>
      <c r="AZ943" t="s">
        <v>74</v>
      </c>
      <c r="BA943" t="s">
        <v>74</v>
      </c>
      <c r="BB943">
        <v>1948</v>
      </c>
      <c r="BC943">
        <v>1977</v>
      </c>
      <c r="BD943" t="s">
        <v>74</v>
      </c>
      <c r="BE943" t="s">
        <v>17673</v>
      </c>
      <c r="BF943" t="str">
        <f>HYPERLINK("http://dx.doi.org/10.1111/maps.12370","http://dx.doi.org/10.1111/maps.12370")</f>
        <v>http://dx.doi.org/10.1111/maps.12370</v>
      </c>
      <c r="BG943" t="s">
        <v>74</v>
      </c>
      <c r="BH943" t="s">
        <v>74</v>
      </c>
      <c r="BI943">
        <v>30</v>
      </c>
      <c r="BJ943" t="s">
        <v>1902</v>
      </c>
      <c r="BK943" t="s">
        <v>91</v>
      </c>
      <c r="BL943" t="s">
        <v>1902</v>
      </c>
      <c r="BM943" t="s">
        <v>17674</v>
      </c>
      <c r="BN943" t="s">
        <v>74</v>
      </c>
      <c r="BO943" t="s">
        <v>74</v>
      </c>
      <c r="BP943" t="s">
        <v>74</v>
      </c>
      <c r="BQ943" t="s">
        <v>74</v>
      </c>
      <c r="BR943" t="s">
        <v>93</v>
      </c>
      <c r="BS943" t="s">
        <v>17675</v>
      </c>
      <c r="BT943" t="str">
        <f>HYPERLINK("https%3A%2F%2Fwww.webofscience.com%2Fwos%2Fwoscc%2Ffull-record%2FWOS:000343972000013","View Full Record in Web of Science")</f>
        <v>View Full Record in Web of Science</v>
      </c>
    </row>
    <row r="944" spans="1:72" x14ac:dyDescent="0.15">
      <c r="A944" t="s">
        <v>72</v>
      </c>
      <c r="B944" t="s">
        <v>17676</v>
      </c>
      <c r="C944" t="s">
        <v>74</v>
      </c>
      <c r="D944" t="s">
        <v>74</v>
      </c>
      <c r="E944" t="s">
        <v>74</v>
      </c>
      <c r="F944" t="s">
        <v>17677</v>
      </c>
      <c r="G944" t="s">
        <v>74</v>
      </c>
      <c r="H944" t="s">
        <v>74</v>
      </c>
      <c r="I944" t="s">
        <v>17678</v>
      </c>
      <c r="J944" t="s">
        <v>15816</v>
      </c>
      <c r="K944" t="s">
        <v>74</v>
      </c>
      <c r="L944" t="s">
        <v>74</v>
      </c>
      <c r="M944" t="s">
        <v>78</v>
      </c>
      <c r="N944" t="s">
        <v>99</v>
      </c>
      <c r="O944" t="s">
        <v>74</v>
      </c>
      <c r="P944" t="s">
        <v>74</v>
      </c>
      <c r="Q944" t="s">
        <v>74</v>
      </c>
      <c r="R944" t="s">
        <v>74</v>
      </c>
      <c r="S944" t="s">
        <v>74</v>
      </c>
      <c r="T944" t="s">
        <v>17679</v>
      </c>
      <c r="U944" t="s">
        <v>17680</v>
      </c>
      <c r="V944" t="s">
        <v>17681</v>
      </c>
      <c r="W944" t="s">
        <v>17682</v>
      </c>
      <c r="X944" t="s">
        <v>17683</v>
      </c>
      <c r="Y944" t="s">
        <v>17684</v>
      </c>
      <c r="Z944" t="s">
        <v>17685</v>
      </c>
      <c r="AA944" t="s">
        <v>17686</v>
      </c>
      <c r="AB944" t="s">
        <v>17687</v>
      </c>
      <c r="AC944" t="s">
        <v>17688</v>
      </c>
      <c r="AD944" t="s">
        <v>17689</v>
      </c>
      <c r="AE944" t="s">
        <v>17690</v>
      </c>
      <c r="AF944" t="s">
        <v>74</v>
      </c>
      <c r="AG944">
        <v>85</v>
      </c>
      <c r="AH944">
        <v>14</v>
      </c>
      <c r="AI944">
        <v>15</v>
      </c>
      <c r="AJ944">
        <v>0</v>
      </c>
      <c r="AK944">
        <v>49</v>
      </c>
      <c r="AL944" t="s">
        <v>2006</v>
      </c>
      <c r="AM944" t="s">
        <v>2007</v>
      </c>
      <c r="AN944" t="s">
        <v>2008</v>
      </c>
      <c r="AO944" t="s">
        <v>15826</v>
      </c>
      <c r="AP944" t="s">
        <v>15827</v>
      </c>
      <c r="AQ944" t="s">
        <v>74</v>
      </c>
      <c r="AR944" t="s">
        <v>15828</v>
      </c>
      <c r="AS944" t="s">
        <v>15829</v>
      </c>
      <c r="AT944" t="s">
        <v>17045</v>
      </c>
      <c r="AU944">
        <v>2014</v>
      </c>
      <c r="AV944">
        <v>23</v>
      </c>
      <c r="AW944">
        <v>20</v>
      </c>
      <c r="AX944" t="s">
        <v>74</v>
      </c>
      <c r="AY944" t="s">
        <v>74</v>
      </c>
      <c r="AZ944" t="s">
        <v>74</v>
      </c>
      <c r="BA944" t="s">
        <v>74</v>
      </c>
      <c r="BB944">
        <v>4958</v>
      </c>
      <c r="BC944">
        <v>4975</v>
      </c>
      <c r="BD944" t="s">
        <v>74</v>
      </c>
      <c r="BE944" t="s">
        <v>17691</v>
      </c>
      <c r="BF944" t="str">
        <f>HYPERLINK("http://dx.doi.org/10.1111/mec.12914","http://dx.doi.org/10.1111/mec.12914")</f>
        <v>http://dx.doi.org/10.1111/mec.12914</v>
      </c>
      <c r="BG944" t="s">
        <v>74</v>
      </c>
      <c r="BH944" t="s">
        <v>74</v>
      </c>
      <c r="BI944">
        <v>18</v>
      </c>
      <c r="BJ944" t="s">
        <v>15831</v>
      </c>
      <c r="BK944" t="s">
        <v>91</v>
      </c>
      <c r="BL944" t="s">
        <v>15832</v>
      </c>
      <c r="BM944" t="s">
        <v>17692</v>
      </c>
      <c r="BN944">
        <v>25211183</v>
      </c>
      <c r="BO944" t="s">
        <v>74</v>
      </c>
      <c r="BP944" t="s">
        <v>74</v>
      </c>
      <c r="BQ944" t="s">
        <v>74</v>
      </c>
      <c r="BR944" t="s">
        <v>93</v>
      </c>
      <c r="BS944" t="s">
        <v>17693</v>
      </c>
      <c r="BT944" t="str">
        <f>HYPERLINK("https%3A%2F%2Fwww.webofscience.com%2Fwos%2Fwoscc%2Ffull-record%2FWOS:000343869100005","View Full Record in Web of Science")</f>
        <v>View Full Record in Web of Science</v>
      </c>
    </row>
    <row r="945" spans="1:72" x14ac:dyDescent="0.15">
      <c r="A945" t="s">
        <v>72</v>
      </c>
      <c r="B945" t="s">
        <v>17694</v>
      </c>
      <c r="C945" t="s">
        <v>74</v>
      </c>
      <c r="D945" t="s">
        <v>74</v>
      </c>
      <c r="E945" t="s">
        <v>74</v>
      </c>
      <c r="F945" t="s">
        <v>17695</v>
      </c>
      <c r="G945" t="s">
        <v>74</v>
      </c>
      <c r="H945" t="s">
        <v>74</v>
      </c>
      <c r="I945" t="s">
        <v>17696</v>
      </c>
      <c r="J945" t="s">
        <v>17697</v>
      </c>
      <c r="K945" t="s">
        <v>74</v>
      </c>
      <c r="L945" t="s">
        <v>74</v>
      </c>
      <c r="M945" t="s">
        <v>78</v>
      </c>
      <c r="N945" t="s">
        <v>99</v>
      </c>
      <c r="O945" t="s">
        <v>74</v>
      </c>
      <c r="P945" t="s">
        <v>74</v>
      </c>
      <c r="Q945" t="s">
        <v>74</v>
      </c>
      <c r="R945" t="s">
        <v>74</v>
      </c>
      <c r="S945" t="s">
        <v>74</v>
      </c>
      <c r="T945" t="s">
        <v>17698</v>
      </c>
      <c r="U945" t="s">
        <v>17699</v>
      </c>
      <c r="V945" t="s">
        <v>17700</v>
      </c>
      <c r="W945" t="s">
        <v>17701</v>
      </c>
      <c r="X945" t="s">
        <v>17702</v>
      </c>
      <c r="Y945" t="s">
        <v>11056</v>
      </c>
      <c r="Z945" t="s">
        <v>11057</v>
      </c>
      <c r="AA945" t="s">
        <v>17703</v>
      </c>
      <c r="AB945" t="s">
        <v>17704</v>
      </c>
      <c r="AC945" t="s">
        <v>17705</v>
      </c>
      <c r="AD945" t="s">
        <v>17706</v>
      </c>
      <c r="AE945" t="s">
        <v>17707</v>
      </c>
      <c r="AF945" t="s">
        <v>74</v>
      </c>
      <c r="AG945">
        <v>65</v>
      </c>
      <c r="AH945">
        <v>46</v>
      </c>
      <c r="AI945">
        <v>51</v>
      </c>
      <c r="AJ945">
        <v>0</v>
      </c>
      <c r="AK945">
        <v>21</v>
      </c>
      <c r="AL945" t="s">
        <v>1358</v>
      </c>
      <c r="AM945" t="s">
        <v>219</v>
      </c>
      <c r="AN945" t="s">
        <v>1359</v>
      </c>
      <c r="AO945" t="s">
        <v>17708</v>
      </c>
      <c r="AP945" t="s">
        <v>17709</v>
      </c>
      <c r="AQ945" t="s">
        <v>74</v>
      </c>
      <c r="AR945" t="s">
        <v>17710</v>
      </c>
      <c r="AS945" t="s">
        <v>17711</v>
      </c>
      <c r="AT945" t="s">
        <v>17045</v>
      </c>
      <c r="AU945">
        <v>2014</v>
      </c>
      <c r="AV945">
        <v>40</v>
      </c>
      <c r="AW945">
        <v>2</v>
      </c>
      <c r="AX945" t="s">
        <v>74</v>
      </c>
      <c r="AY945" t="s">
        <v>74</v>
      </c>
      <c r="AZ945" t="s">
        <v>74</v>
      </c>
      <c r="BA945" t="s">
        <v>74</v>
      </c>
      <c r="BB945">
        <v>424</v>
      </c>
      <c r="BC945">
        <v>434</v>
      </c>
      <c r="BD945" t="s">
        <v>74</v>
      </c>
      <c r="BE945" t="s">
        <v>17712</v>
      </c>
      <c r="BF945" t="str">
        <f>HYPERLINK("http://dx.doi.org/10.1016/j.fsi.2014.07.024","http://dx.doi.org/10.1016/j.fsi.2014.07.024")</f>
        <v>http://dx.doi.org/10.1016/j.fsi.2014.07.024</v>
      </c>
      <c r="BG945" t="s">
        <v>74</v>
      </c>
      <c r="BH945" t="s">
        <v>74</v>
      </c>
      <c r="BI945">
        <v>11</v>
      </c>
      <c r="BJ945" t="s">
        <v>17713</v>
      </c>
      <c r="BK945" t="s">
        <v>91</v>
      </c>
      <c r="BL945" t="s">
        <v>17713</v>
      </c>
      <c r="BM945" t="s">
        <v>17714</v>
      </c>
      <c r="BN945">
        <v>25108087</v>
      </c>
      <c r="BO945" t="s">
        <v>574</v>
      </c>
      <c r="BP945" t="s">
        <v>74</v>
      </c>
      <c r="BQ945" t="s">
        <v>74</v>
      </c>
      <c r="BR945" t="s">
        <v>93</v>
      </c>
      <c r="BS945" t="s">
        <v>17715</v>
      </c>
      <c r="BT945" t="str">
        <f>HYPERLINK("https%3A%2F%2Fwww.webofscience.com%2Fwos%2Fwoscc%2Ffull-record%2FWOS:000343381100010","View Full Record in Web of Science")</f>
        <v>View Full Record in Web of Science</v>
      </c>
    </row>
    <row r="946" spans="1:72" x14ac:dyDescent="0.15">
      <c r="A946" t="s">
        <v>72</v>
      </c>
      <c r="B946" t="s">
        <v>17716</v>
      </c>
      <c r="C946" t="s">
        <v>74</v>
      </c>
      <c r="D946" t="s">
        <v>74</v>
      </c>
      <c r="E946" t="s">
        <v>74</v>
      </c>
      <c r="F946" t="s">
        <v>17717</v>
      </c>
      <c r="G946" t="s">
        <v>74</v>
      </c>
      <c r="H946" t="s">
        <v>74</v>
      </c>
      <c r="I946" t="s">
        <v>17718</v>
      </c>
      <c r="J946" t="s">
        <v>17719</v>
      </c>
      <c r="K946" t="s">
        <v>74</v>
      </c>
      <c r="L946" t="s">
        <v>74</v>
      </c>
      <c r="M946" t="s">
        <v>78</v>
      </c>
      <c r="N946" t="s">
        <v>454</v>
      </c>
      <c r="O946" t="s">
        <v>74</v>
      </c>
      <c r="P946" t="s">
        <v>74</v>
      </c>
      <c r="Q946" t="s">
        <v>74</v>
      </c>
      <c r="R946" t="s">
        <v>74</v>
      </c>
      <c r="S946" t="s">
        <v>74</v>
      </c>
      <c r="T946" t="s">
        <v>17720</v>
      </c>
      <c r="U946" t="s">
        <v>17721</v>
      </c>
      <c r="V946" t="s">
        <v>17722</v>
      </c>
      <c r="W946" t="s">
        <v>17723</v>
      </c>
      <c r="X946" t="s">
        <v>17724</v>
      </c>
      <c r="Y946" t="s">
        <v>17725</v>
      </c>
      <c r="Z946" t="s">
        <v>17726</v>
      </c>
      <c r="AA946" t="s">
        <v>17727</v>
      </c>
      <c r="AB946" t="s">
        <v>17728</v>
      </c>
      <c r="AC946" t="s">
        <v>74</v>
      </c>
      <c r="AD946" t="s">
        <v>74</v>
      </c>
      <c r="AE946" t="s">
        <v>74</v>
      </c>
      <c r="AF946" t="s">
        <v>74</v>
      </c>
      <c r="AG946">
        <v>65</v>
      </c>
      <c r="AH946">
        <v>24</v>
      </c>
      <c r="AI946">
        <v>25</v>
      </c>
      <c r="AJ946">
        <v>5</v>
      </c>
      <c r="AK946">
        <v>151</v>
      </c>
      <c r="AL946" t="s">
        <v>2006</v>
      </c>
      <c r="AM946" t="s">
        <v>2007</v>
      </c>
      <c r="AN946" t="s">
        <v>2008</v>
      </c>
      <c r="AO946" t="s">
        <v>17729</v>
      </c>
      <c r="AP946" t="s">
        <v>17730</v>
      </c>
      <c r="AQ946" t="s">
        <v>74</v>
      </c>
      <c r="AR946" t="s">
        <v>17731</v>
      </c>
      <c r="AS946" t="s">
        <v>17732</v>
      </c>
      <c r="AT946" t="s">
        <v>17045</v>
      </c>
      <c r="AU946">
        <v>2014</v>
      </c>
      <c r="AV946">
        <v>44</v>
      </c>
      <c r="AW946" t="s">
        <v>11587</v>
      </c>
      <c r="AX946" t="s">
        <v>74</v>
      </c>
      <c r="AY946" t="s">
        <v>74</v>
      </c>
      <c r="AZ946" t="s">
        <v>74</v>
      </c>
      <c r="BA946" t="s">
        <v>74</v>
      </c>
      <c r="BB946">
        <v>177</v>
      </c>
      <c r="BC946">
        <v>189</v>
      </c>
      <c r="BD946" t="s">
        <v>74</v>
      </c>
      <c r="BE946" t="s">
        <v>17733</v>
      </c>
      <c r="BF946" t="str">
        <f>HYPERLINK("http://dx.doi.org/10.1111/mam.12021","http://dx.doi.org/10.1111/mam.12021")</f>
        <v>http://dx.doi.org/10.1111/mam.12021</v>
      </c>
      <c r="BG946" t="s">
        <v>74</v>
      </c>
      <c r="BH946" t="s">
        <v>74</v>
      </c>
      <c r="BI946">
        <v>13</v>
      </c>
      <c r="BJ946" t="s">
        <v>3429</v>
      </c>
      <c r="BK946" t="s">
        <v>91</v>
      </c>
      <c r="BL946" t="s">
        <v>3430</v>
      </c>
      <c r="BM946" t="s">
        <v>17734</v>
      </c>
      <c r="BN946" t="s">
        <v>74</v>
      </c>
      <c r="BO946" t="s">
        <v>74</v>
      </c>
      <c r="BP946" t="s">
        <v>74</v>
      </c>
      <c r="BQ946" t="s">
        <v>74</v>
      </c>
      <c r="BR946" t="s">
        <v>93</v>
      </c>
      <c r="BS946" t="s">
        <v>17735</v>
      </c>
      <c r="BT946" t="str">
        <f>HYPERLINK("https%3A%2F%2Fwww.webofscience.com%2Fwos%2Fwoscc%2Ffull-record%2FWOS:000343761300003","View Full Record in Web of Science")</f>
        <v>View Full Record in Web of Science</v>
      </c>
    </row>
    <row r="947" spans="1:72" x14ac:dyDescent="0.15">
      <c r="A947" t="s">
        <v>72</v>
      </c>
      <c r="B947" t="s">
        <v>17736</v>
      </c>
      <c r="C947" t="s">
        <v>74</v>
      </c>
      <c r="D947" t="s">
        <v>74</v>
      </c>
      <c r="E947" t="s">
        <v>74</v>
      </c>
      <c r="F947" t="s">
        <v>17737</v>
      </c>
      <c r="G947" t="s">
        <v>74</v>
      </c>
      <c r="H947" t="s">
        <v>74</v>
      </c>
      <c r="I947" t="s">
        <v>17738</v>
      </c>
      <c r="J947" t="s">
        <v>17739</v>
      </c>
      <c r="K947" t="s">
        <v>74</v>
      </c>
      <c r="L947" t="s">
        <v>74</v>
      </c>
      <c r="M947" t="s">
        <v>78</v>
      </c>
      <c r="N947" t="s">
        <v>99</v>
      </c>
      <c r="O947" t="s">
        <v>74</v>
      </c>
      <c r="P947" t="s">
        <v>74</v>
      </c>
      <c r="Q947" t="s">
        <v>74</v>
      </c>
      <c r="R947" t="s">
        <v>74</v>
      </c>
      <c r="S947" t="s">
        <v>74</v>
      </c>
      <c r="T947" t="s">
        <v>17740</v>
      </c>
      <c r="U947" t="s">
        <v>17741</v>
      </c>
      <c r="V947" t="s">
        <v>17742</v>
      </c>
      <c r="W947" t="s">
        <v>17743</v>
      </c>
      <c r="X947" t="s">
        <v>17744</v>
      </c>
      <c r="Y947" t="s">
        <v>17745</v>
      </c>
      <c r="Z947" t="s">
        <v>17746</v>
      </c>
      <c r="AA947" t="s">
        <v>17747</v>
      </c>
      <c r="AB947" t="s">
        <v>17748</v>
      </c>
      <c r="AC947" t="s">
        <v>17749</v>
      </c>
      <c r="AD947" t="s">
        <v>17750</v>
      </c>
      <c r="AE947" t="s">
        <v>17751</v>
      </c>
      <c r="AF947" t="s">
        <v>74</v>
      </c>
      <c r="AG947">
        <v>21</v>
      </c>
      <c r="AH947">
        <v>2</v>
      </c>
      <c r="AI947">
        <v>3</v>
      </c>
      <c r="AJ947">
        <v>0</v>
      </c>
      <c r="AK947">
        <v>7</v>
      </c>
      <c r="AL947" t="s">
        <v>2114</v>
      </c>
      <c r="AM947" t="s">
        <v>2115</v>
      </c>
      <c r="AN947" t="s">
        <v>2116</v>
      </c>
      <c r="AO947" t="s">
        <v>17752</v>
      </c>
      <c r="AP947" t="s">
        <v>17753</v>
      </c>
      <c r="AQ947" t="s">
        <v>74</v>
      </c>
      <c r="AR947" t="s">
        <v>17754</v>
      </c>
      <c r="AS947" t="s">
        <v>17755</v>
      </c>
      <c r="AT947" t="s">
        <v>17045</v>
      </c>
      <c r="AU947">
        <v>2014</v>
      </c>
      <c r="AV947">
        <v>57</v>
      </c>
      <c r="AW947">
        <v>10</v>
      </c>
      <c r="AX947" t="s">
        <v>74</v>
      </c>
      <c r="AY947" t="s">
        <v>74</v>
      </c>
      <c r="AZ947" t="s">
        <v>74</v>
      </c>
      <c r="BA947" t="s">
        <v>74</v>
      </c>
      <c r="BB947">
        <v>1967</v>
      </c>
      <c r="BC947">
        <v>1976</v>
      </c>
      <c r="BD947" t="s">
        <v>74</v>
      </c>
      <c r="BE947" t="s">
        <v>17756</v>
      </c>
      <c r="BF947" t="str">
        <f>HYPERLINK("http://dx.doi.org/10.1007/s11431-014-5616-z","http://dx.doi.org/10.1007/s11431-014-5616-z")</f>
        <v>http://dx.doi.org/10.1007/s11431-014-5616-z</v>
      </c>
      <c r="BG947" t="s">
        <v>74</v>
      </c>
      <c r="BH947" t="s">
        <v>74</v>
      </c>
      <c r="BI947">
        <v>10</v>
      </c>
      <c r="BJ947" t="s">
        <v>17757</v>
      </c>
      <c r="BK947" t="s">
        <v>91</v>
      </c>
      <c r="BL947" t="s">
        <v>17758</v>
      </c>
      <c r="BM947" t="s">
        <v>17759</v>
      </c>
      <c r="BN947" t="s">
        <v>74</v>
      </c>
      <c r="BO947" t="s">
        <v>74</v>
      </c>
      <c r="BP947" t="s">
        <v>74</v>
      </c>
      <c r="BQ947" t="s">
        <v>74</v>
      </c>
      <c r="BR947" t="s">
        <v>93</v>
      </c>
      <c r="BS947" t="s">
        <v>17760</v>
      </c>
      <c r="BT947" t="str">
        <f>HYPERLINK("https%3A%2F%2Fwww.webofscience.com%2Fwos%2Fwoscc%2Ffull-record%2FWOS:000343363100011","View Full Record in Web of Science")</f>
        <v>View Full Record in Web of Science</v>
      </c>
    </row>
    <row r="948" spans="1:72" x14ac:dyDescent="0.15">
      <c r="A948" t="s">
        <v>72</v>
      </c>
      <c r="B948" t="s">
        <v>17761</v>
      </c>
      <c r="C948" t="s">
        <v>74</v>
      </c>
      <c r="D948" t="s">
        <v>74</v>
      </c>
      <c r="E948" t="s">
        <v>74</v>
      </c>
      <c r="F948" t="s">
        <v>17762</v>
      </c>
      <c r="G948" t="s">
        <v>74</v>
      </c>
      <c r="H948" t="s">
        <v>74</v>
      </c>
      <c r="I948" t="s">
        <v>17763</v>
      </c>
      <c r="J948" t="s">
        <v>17764</v>
      </c>
      <c r="K948" t="s">
        <v>74</v>
      </c>
      <c r="L948" t="s">
        <v>74</v>
      </c>
      <c r="M948" t="s">
        <v>78</v>
      </c>
      <c r="N948" t="s">
        <v>99</v>
      </c>
      <c r="O948" t="s">
        <v>74</v>
      </c>
      <c r="P948" t="s">
        <v>74</v>
      </c>
      <c r="Q948" t="s">
        <v>74</v>
      </c>
      <c r="R948" t="s">
        <v>74</v>
      </c>
      <c r="S948" t="s">
        <v>74</v>
      </c>
      <c r="T948" t="s">
        <v>74</v>
      </c>
      <c r="U948" t="s">
        <v>17765</v>
      </c>
      <c r="V948" t="s">
        <v>17766</v>
      </c>
      <c r="W948" t="s">
        <v>17767</v>
      </c>
      <c r="X948" t="s">
        <v>17768</v>
      </c>
      <c r="Y948" t="s">
        <v>17769</v>
      </c>
      <c r="Z948" t="s">
        <v>17770</v>
      </c>
      <c r="AA948" t="s">
        <v>17771</v>
      </c>
      <c r="AB948" t="s">
        <v>17772</v>
      </c>
      <c r="AC948" t="s">
        <v>17773</v>
      </c>
      <c r="AD948" t="s">
        <v>17774</v>
      </c>
      <c r="AE948" t="s">
        <v>17775</v>
      </c>
      <c r="AF948" t="s">
        <v>74</v>
      </c>
      <c r="AG948">
        <v>109</v>
      </c>
      <c r="AH948">
        <v>39</v>
      </c>
      <c r="AI948">
        <v>45</v>
      </c>
      <c r="AJ948">
        <v>3</v>
      </c>
      <c r="AK948">
        <v>38</v>
      </c>
      <c r="AL948" t="s">
        <v>17776</v>
      </c>
      <c r="AM948" t="s">
        <v>1833</v>
      </c>
      <c r="AN948" t="s">
        <v>17777</v>
      </c>
      <c r="AO948" t="s">
        <v>17778</v>
      </c>
      <c r="AP948" t="s">
        <v>17779</v>
      </c>
      <c r="AQ948" t="s">
        <v>74</v>
      </c>
      <c r="AR948" t="s">
        <v>17780</v>
      </c>
      <c r="AS948" t="s">
        <v>17781</v>
      </c>
      <c r="AT948" t="s">
        <v>17045</v>
      </c>
      <c r="AU948">
        <v>2014</v>
      </c>
      <c r="AV948">
        <v>71</v>
      </c>
      <c r="AW948">
        <v>10</v>
      </c>
      <c r="AX948" t="s">
        <v>74</v>
      </c>
      <c r="AY948" t="s">
        <v>74</v>
      </c>
      <c r="AZ948" t="s">
        <v>74</v>
      </c>
      <c r="BA948" t="s">
        <v>74</v>
      </c>
      <c r="BB948">
        <v>1593</v>
      </c>
      <c r="BC948">
        <v>1601</v>
      </c>
      <c r="BD948" t="s">
        <v>74</v>
      </c>
      <c r="BE948" t="s">
        <v>17782</v>
      </c>
      <c r="BF948" t="str">
        <f>HYPERLINK("http://dx.doi.org/10.1139/cjfas-2014-0176","http://dx.doi.org/10.1139/cjfas-2014-0176")</f>
        <v>http://dx.doi.org/10.1139/cjfas-2014-0176</v>
      </c>
      <c r="BG948" t="s">
        <v>74</v>
      </c>
      <c r="BH948" t="s">
        <v>74</v>
      </c>
      <c r="BI948">
        <v>9</v>
      </c>
      <c r="BJ948" t="s">
        <v>4130</v>
      </c>
      <c r="BK948" t="s">
        <v>157</v>
      </c>
      <c r="BL948" t="s">
        <v>4130</v>
      </c>
      <c r="BM948" t="s">
        <v>17783</v>
      </c>
      <c r="BN948" t="s">
        <v>74</v>
      </c>
      <c r="BO948" t="s">
        <v>74</v>
      </c>
      <c r="BP948" t="s">
        <v>74</v>
      </c>
      <c r="BQ948" t="s">
        <v>74</v>
      </c>
      <c r="BR948" t="s">
        <v>93</v>
      </c>
      <c r="BS948" t="s">
        <v>17784</v>
      </c>
      <c r="BT948" t="str">
        <f>HYPERLINK("https%3A%2F%2Fwww.webofscience.com%2Fwos%2Fwoscc%2Ffull-record%2FWOS:000343125500015","View Full Record in Web of Science")</f>
        <v>View Full Record in Web of Science</v>
      </c>
    </row>
    <row r="949" spans="1:72" x14ac:dyDescent="0.15">
      <c r="A949" t="s">
        <v>72</v>
      </c>
      <c r="B949" t="s">
        <v>17785</v>
      </c>
      <c r="C949" t="s">
        <v>74</v>
      </c>
      <c r="D949" t="s">
        <v>74</v>
      </c>
      <c r="E949" t="s">
        <v>74</v>
      </c>
      <c r="F949" t="s">
        <v>17786</v>
      </c>
      <c r="G949" t="s">
        <v>74</v>
      </c>
      <c r="H949" t="s">
        <v>74</v>
      </c>
      <c r="I949" t="s">
        <v>17787</v>
      </c>
      <c r="J949" t="s">
        <v>7514</v>
      </c>
      <c r="K949" t="s">
        <v>74</v>
      </c>
      <c r="L949" t="s">
        <v>74</v>
      </c>
      <c r="M949" t="s">
        <v>78</v>
      </c>
      <c r="N949" t="s">
        <v>99</v>
      </c>
      <c r="O949" t="s">
        <v>74</v>
      </c>
      <c r="P949" t="s">
        <v>74</v>
      </c>
      <c r="Q949" t="s">
        <v>74</v>
      </c>
      <c r="R949" t="s">
        <v>74</v>
      </c>
      <c r="S949" t="s">
        <v>74</v>
      </c>
      <c r="T949" t="s">
        <v>74</v>
      </c>
      <c r="U949" t="s">
        <v>17788</v>
      </c>
      <c r="V949" t="s">
        <v>17789</v>
      </c>
      <c r="W949" t="s">
        <v>17790</v>
      </c>
      <c r="X949" t="s">
        <v>17791</v>
      </c>
      <c r="Y949" t="s">
        <v>17792</v>
      </c>
      <c r="Z949" t="s">
        <v>17793</v>
      </c>
      <c r="AA949" t="s">
        <v>17794</v>
      </c>
      <c r="AB949" t="s">
        <v>17795</v>
      </c>
      <c r="AC949" t="s">
        <v>17796</v>
      </c>
      <c r="AD949" t="s">
        <v>17797</v>
      </c>
      <c r="AE949" t="s">
        <v>17798</v>
      </c>
      <c r="AF949" t="s">
        <v>74</v>
      </c>
      <c r="AG949">
        <v>30</v>
      </c>
      <c r="AH949">
        <v>26</v>
      </c>
      <c r="AI949">
        <v>30</v>
      </c>
      <c r="AJ949">
        <v>0</v>
      </c>
      <c r="AK949">
        <v>20</v>
      </c>
      <c r="AL949" t="s">
        <v>7503</v>
      </c>
      <c r="AM949" t="s">
        <v>342</v>
      </c>
      <c r="AN949" t="s">
        <v>7524</v>
      </c>
      <c r="AO949" t="s">
        <v>7525</v>
      </c>
      <c r="AP949" t="s">
        <v>7526</v>
      </c>
      <c r="AQ949" t="s">
        <v>74</v>
      </c>
      <c r="AR949" t="s">
        <v>7527</v>
      </c>
      <c r="AS949" t="s">
        <v>7528</v>
      </c>
      <c r="AT949" t="s">
        <v>17045</v>
      </c>
      <c r="AU949">
        <v>2014</v>
      </c>
      <c r="AV949">
        <v>7</v>
      </c>
      <c r="AW949">
        <v>10</v>
      </c>
      <c r="AX949" t="s">
        <v>74</v>
      </c>
      <c r="AY949" t="s">
        <v>74</v>
      </c>
      <c r="AZ949" t="s">
        <v>74</v>
      </c>
      <c r="BA949" t="s">
        <v>74</v>
      </c>
      <c r="BB949">
        <v>741</v>
      </c>
      <c r="BC949">
        <v>747</v>
      </c>
      <c r="BD949" t="s">
        <v>74</v>
      </c>
      <c r="BE949" t="s">
        <v>17799</v>
      </c>
      <c r="BF949" t="str">
        <f>HYPERLINK("http://dx.doi.org/10.1038/NGEO2249","http://dx.doi.org/10.1038/NGEO2249")</f>
        <v>http://dx.doi.org/10.1038/NGEO2249</v>
      </c>
      <c r="BG949" t="s">
        <v>74</v>
      </c>
      <c r="BH949" t="s">
        <v>74</v>
      </c>
      <c r="BI949">
        <v>7</v>
      </c>
      <c r="BJ949" t="s">
        <v>1953</v>
      </c>
      <c r="BK949" t="s">
        <v>91</v>
      </c>
      <c r="BL949" t="s">
        <v>1954</v>
      </c>
      <c r="BM949" t="s">
        <v>17800</v>
      </c>
      <c r="BN949" t="s">
        <v>74</v>
      </c>
      <c r="BO949" t="s">
        <v>74</v>
      </c>
      <c r="BP949" t="s">
        <v>74</v>
      </c>
      <c r="BQ949" t="s">
        <v>74</v>
      </c>
      <c r="BR949" t="s">
        <v>93</v>
      </c>
      <c r="BS949" t="s">
        <v>17801</v>
      </c>
      <c r="BT949" t="str">
        <f>HYPERLINK("https%3A%2F%2Fwww.webofscience.com%2Fwos%2Fwoscc%2Ffull-record%2FWOS:000343112600019","View Full Record in Web of Science")</f>
        <v>View Full Record in Web of Science</v>
      </c>
    </row>
    <row r="950" spans="1:72" x14ac:dyDescent="0.15">
      <c r="A950" t="s">
        <v>72</v>
      </c>
      <c r="B950" t="s">
        <v>17802</v>
      </c>
      <c r="C950" t="s">
        <v>74</v>
      </c>
      <c r="D950" t="s">
        <v>74</v>
      </c>
      <c r="E950" t="s">
        <v>74</v>
      </c>
      <c r="F950" t="s">
        <v>17803</v>
      </c>
      <c r="G950" t="s">
        <v>74</v>
      </c>
      <c r="H950" t="s">
        <v>74</v>
      </c>
      <c r="I950" t="s">
        <v>17804</v>
      </c>
      <c r="J950" t="s">
        <v>10414</v>
      </c>
      <c r="K950" t="s">
        <v>74</v>
      </c>
      <c r="L950" t="s">
        <v>74</v>
      </c>
      <c r="M950" t="s">
        <v>78</v>
      </c>
      <c r="N950" t="s">
        <v>99</v>
      </c>
      <c r="O950" t="s">
        <v>74</v>
      </c>
      <c r="P950" t="s">
        <v>74</v>
      </c>
      <c r="Q950" t="s">
        <v>74</v>
      </c>
      <c r="R950" t="s">
        <v>74</v>
      </c>
      <c r="S950" t="s">
        <v>74</v>
      </c>
      <c r="T950" t="s">
        <v>17805</v>
      </c>
      <c r="U950" t="s">
        <v>17806</v>
      </c>
      <c r="V950" t="s">
        <v>17807</v>
      </c>
      <c r="W950" t="s">
        <v>17808</v>
      </c>
      <c r="X950" t="s">
        <v>17809</v>
      </c>
      <c r="Y950" t="s">
        <v>17810</v>
      </c>
      <c r="Z950" t="s">
        <v>17811</v>
      </c>
      <c r="AA950" t="s">
        <v>17812</v>
      </c>
      <c r="AB950" t="s">
        <v>17813</v>
      </c>
      <c r="AC950" t="s">
        <v>17814</v>
      </c>
      <c r="AD950" t="s">
        <v>17815</v>
      </c>
      <c r="AE950" t="s">
        <v>17816</v>
      </c>
      <c r="AF950" t="s">
        <v>74</v>
      </c>
      <c r="AG950">
        <v>22</v>
      </c>
      <c r="AH950">
        <v>1</v>
      </c>
      <c r="AI950">
        <v>1</v>
      </c>
      <c r="AJ950">
        <v>1</v>
      </c>
      <c r="AK950">
        <v>23</v>
      </c>
      <c r="AL950" t="s">
        <v>2114</v>
      </c>
      <c r="AM950" t="s">
        <v>2115</v>
      </c>
      <c r="AN950" t="s">
        <v>2116</v>
      </c>
      <c r="AO950" t="s">
        <v>10427</v>
      </c>
      <c r="AP950" t="s">
        <v>10428</v>
      </c>
      <c r="AQ950" t="s">
        <v>74</v>
      </c>
      <c r="AR950" t="s">
        <v>10429</v>
      </c>
      <c r="AS950" t="s">
        <v>10430</v>
      </c>
      <c r="AT950" t="s">
        <v>17045</v>
      </c>
      <c r="AU950">
        <v>2014</v>
      </c>
      <c r="AV950">
        <v>57</v>
      </c>
      <c r="AW950">
        <v>10</v>
      </c>
      <c r="AX950" t="s">
        <v>74</v>
      </c>
      <c r="AY950" t="s">
        <v>74</v>
      </c>
      <c r="AZ950" t="s">
        <v>74</v>
      </c>
      <c r="BA950" t="s">
        <v>74</v>
      </c>
      <c r="BB950">
        <v>2366</v>
      </c>
      <c r="BC950">
        <v>2373</v>
      </c>
      <c r="BD950" t="s">
        <v>74</v>
      </c>
      <c r="BE950" t="s">
        <v>17817</v>
      </c>
      <c r="BF950" t="str">
        <f>HYPERLINK("http://dx.doi.org/10.1007/s11430-014-4907-3","http://dx.doi.org/10.1007/s11430-014-4907-3")</f>
        <v>http://dx.doi.org/10.1007/s11430-014-4907-3</v>
      </c>
      <c r="BG950" t="s">
        <v>74</v>
      </c>
      <c r="BH950" t="s">
        <v>74</v>
      </c>
      <c r="BI950">
        <v>8</v>
      </c>
      <c r="BJ950" t="s">
        <v>1953</v>
      </c>
      <c r="BK950" t="s">
        <v>91</v>
      </c>
      <c r="BL950" t="s">
        <v>1954</v>
      </c>
      <c r="BM950" t="s">
        <v>17818</v>
      </c>
      <c r="BN950" t="s">
        <v>74</v>
      </c>
      <c r="BO950" t="s">
        <v>74</v>
      </c>
      <c r="BP950" t="s">
        <v>74</v>
      </c>
      <c r="BQ950" t="s">
        <v>74</v>
      </c>
      <c r="BR950" t="s">
        <v>93</v>
      </c>
      <c r="BS950" t="s">
        <v>17819</v>
      </c>
      <c r="BT950" t="str">
        <f>HYPERLINK("https%3A%2F%2Fwww.webofscience.com%2Fwos%2Fwoscc%2Ffull-record%2FWOS:000343363600009","View Full Record in Web of Science")</f>
        <v>View Full Record in Web of Science</v>
      </c>
    </row>
    <row r="951" spans="1:72" x14ac:dyDescent="0.15">
      <c r="A951" t="s">
        <v>72</v>
      </c>
      <c r="B951" t="s">
        <v>17820</v>
      </c>
      <c r="C951" t="s">
        <v>74</v>
      </c>
      <c r="D951" t="s">
        <v>74</v>
      </c>
      <c r="E951" t="s">
        <v>74</v>
      </c>
      <c r="F951" t="s">
        <v>17821</v>
      </c>
      <c r="G951" t="s">
        <v>74</v>
      </c>
      <c r="H951" t="s">
        <v>74</v>
      </c>
      <c r="I951" t="s">
        <v>17822</v>
      </c>
      <c r="J951" t="s">
        <v>10414</v>
      </c>
      <c r="K951" t="s">
        <v>74</v>
      </c>
      <c r="L951" t="s">
        <v>74</v>
      </c>
      <c r="M951" t="s">
        <v>78</v>
      </c>
      <c r="N951" t="s">
        <v>99</v>
      </c>
      <c r="O951" t="s">
        <v>74</v>
      </c>
      <c r="P951" t="s">
        <v>74</v>
      </c>
      <c r="Q951" t="s">
        <v>74</v>
      </c>
      <c r="R951" t="s">
        <v>74</v>
      </c>
      <c r="S951" t="s">
        <v>74</v>
      </c>
      <c r="T951" t="s">
        <v>17823</v>
      </c>
      <c r="U951" t="s">
        <v>17824</v>
      </c>
      <c r="V951" t="s">
        <v>17825</v>
      </c>
      <c r="W951" t="s">
        <v>17826</v>
      </c>
      <c r="X951" t="s">
        <v>17827</v>
      </c>
      <c r="Y951" t="s">
        <v>17828</v>
      </c>
      <c r="Z951" t="s">
        <v>17829</v>
      </c>
      <c r="AA951" t="s">
        <v>74</v>
      </c>
      <c r="AB951" t="s">
        <v>74</v>
      </c>
      <c r="AC951" t="s">
        <v>17830</v>
      </c>
      <c r="AD951" t="s">
        <v>17831</v>
      </c>
      <c r="AE951" t="s">
        <v>17832</v>
      </c>
      <c r="AF951" t="s">
        <v>74</v>
      </c>
      <c r="AG951">
        <v>47</v>
      </c>
      <c r="AH951">
        <v>21</v>
      </c>
      <c r="AI951">
        <v>24</v>
      </c>
      <c r="AJ951">
        <v>1</v>
      </c>
      <c r="AK951">
        <v>15</v>
      </c>
      <c r="AL951" t="s">
        <v>2114</v>
      </c>
      <c r="AM951" t="s">
        <v>2115</v>
      </c>
      <c r="AN951" t="s">
        <v>2116</v>
      </c>
      <c r="AO951" t="s">
        <v>10427</v>
      </c>
      <c r="AP951" t="s">
        <v>10428</v>
      </c>
      <c r="AQ951" t="s">
        <v>74</v>
      </c>
      <c r="AR951" t="s">
        <v>10429</v>
      </c>
      <c r="AS951" t="s">
        <v>10430</v>
      </c>
      <c r="AT951" t="s">
        <v>17045</v>
      </c>
      <c r="AU951">
        <v>2014</v>
      </c>
      <c r="AV951">
        <v>57</v>
      </c>
      <c r="AW951">
        <v>10</v>
      </c>
      <c r="AX951" t="s">
        <v>74</v>
      </c>
      <c r="AY951" t="s">
        <v>74</v>
      </c>
      <c r="AZ951" t="s">
        <v>74</v>
      </c>
      <c r="BA951" t="s">
        <v>74</v>
      </c>
      <c r="BB951">
        <v>2417</v>
      </c>
      <c r="BC951">
        <v>2427</v>
      </c>
      <c r="BD951" t="s">
        <v>74</v>
      </c>
      <c r="BE951" t="s">
        <v>17833</v>
      </c>
      <c r="BF951" t="str">
        <f>HYPERLINK("http://dx.doi.org/10.1007/s11430-014-4875-7","http://dx.doi.org/10.1007/s11430-014-4875-7")</f>
        <v>http://dx.doi.org/10.1007/s11430-014-4875-7</v>
      </c>
      <c r="BG951" t="s">
        <v>74</v>
      </c>
      <c r="BH951" t="s">
        <v>74</v>
      </c>
      <c r="BI951">
        <v>11</v>
      </c>
      <c r="BJ951" t="s">
        <v>1953</v>
      </c>
      <c r="BK951" t="s">
        <v>91</v>
      </c>
      <c r="BL951" t="s">
        <v>1954</v>
      </c>
      <c r="BM951" t="s">
        <v>17818</v>
      </c>
      <c r="BN951" t="s">
        <v>74</v>
      </c>
      <c r="BO951" t="s">
        <v>74</v>
      </c>
      <c r="BP951" t="s">
        <v>74</v>
      </c>
      <c r="BQ951" t="s">
        <v>74</v>
      </c>
      <c r="BR951" t="s">
        <v>93</v>
      </c>
      <c r="BS951" t="s">
        <v>17834</v>
      </c>
      <c r="BT951" t="str">
        <f>HYPERLINK("https%3A%2F%2Fwww.webofscience.com%2Fwos%2Fwoscc%2Ffull-record%2FWOS:000343363600014","View Full Record in Web of Science")</f>
        <v>View Full Record in Web of Science</v>
      </c>
    </row>
    <row r="952" spans="1:72" x14ac:dyDescent="0.15">
      <c r="A952" t="s">
        <v>72</v>
      </c>
      <c r="B952" t="s">
        <v>17835</v>
      </c>
      <c r="C952" t="s">
        <v>74</v>
      </c>
      <c r="D952" t="s">
        <v>74</v>
      </c>
      <c r="E952" t="s">
        <v>74</v>
      </c>
      <c r="F952" t="s">
        <v>17836</v>
      </c>
      <c r="G952" t="s">
        <v>74</v>
      </c>
      <c r="H952" t="s">
        <v>74</v>
      </c>
      <c r="I952" t="s">
        <v>17837</v>
      </c>
      <c r="J952" t="s">
        <v>2301</v>
      </c>
      <c r="K952" t="s">
        <v>74</v>
      </c>
      <c r="L952" t="s">
        <v>74</v>
      </c>
      <c r="M952" t="s">
        <v>78</v>
      </c>
      <c r="N952" t="s">
        <v>99</v>
      </c>
      <c r="O952" t="s">
        <v>74</v>
      </c>
      <c r="P952" t="s">
        <v>74</v>
      </c>
      <c r="Q952" t="s">
        <v>74</v>
      </c>
      <c r="R952" t="s">
        <v>74</v>
      </c>
      <c r="S952" t="s">
        <v>74</v>
      </c>
      <c r="T952" t="s">
        <v>17838</v>
      </c>
      <c r="U952" t="s">
        <v>17839</v>
      </c>
      <c r="V952" t="s">
        <v>17840</v>
      </c>
      <c r="W952" t="s">
        <v>17841</v>
      </c>
      <c r="X952" t="s">
        <v>17842</v>
      </c>
      <c r="Y952" t="s">
        <v>17843</v>
      </c>
      <c r="Z952" t="s">
        <v>17844</v>
      </c>
      <c r="AA952" t="s">
        <v>17845</v>
      </c>
      <c r="AB952" t="s">
        <v>17846</v>
      </c>
      <c r="AC952" t="s">
        <v>17847</v>
      </c>
      <c r="AD952" t="s">
        <v>17848</v>
      </c>
      <c r="AE952" t="s">
        <v>17849</v>
      </c>
      <c r="AF952" t="s">
        <v>74</v>
      </c>
      <c r="AG952">
        <v>88</v>
      </c>
      <c r="AH952">
        <v>8</v>
      </c>
      <c r="AI952">
        <v>9</v>
      </c>
      <c r="AJ952">
        <v>0</v>
      </c>
      <c r="AK952">
        <v>26</v>
      </c>
      <c r="AL952" t="s">
        <v>365</v>
      </c>
      <c r="AM952" t="s">
        <v>342</v>
      </c>
      <c r="AN952" t="s">
        <v>2314</v>
      </c>
      <c r="AO952" t="s">
        <v>2315</v>
      </c>
      <c r="AP952" t="s">
        <v>2316</v>
      </c>
      <c r="AQ952" t="s">
        <v>74</v>
      </c>
      <c r="AR952" t="s">
        <v>2317</v>
      </c>
      <c r="AS952" t="s">
        <v>2318</v>
      </c>
      <c r="AT952" t="s">
        <v>17045</v>
      </c>
      <c r="AU952">
        <v>2014</v>
      </c>
      <c r="AV952">
        <v>13</v>
      </c>
      <c r="AW952">
        <v>4</v>
      </c>
      <c r="AX952" t="s">
        <v>74</v>
      </c>
      <c r="AY952" t="s">
        <v>74</v>
      </c>
      <c r="AZ952" t="s">
        <v>74</v>
      </c>
      <c r="BA952" t="s">
        <v>74</v>
      </c>
      <c r="BB952">
        <v>340</v>
      </c>
      <c r="BC952">
        <v>352</v>
      </c>
      <c r="BD952" t="s">
        <v>74</v>
      </c>
      <c r="BE952" t="s">
        <v>17850</v>
      </c>
      <c r="BF952" t="str">
        <f>HYPERLINK("http://dx.doi.org/10.1017/S1473550414000275","http://dx.doi.org/10.1017/S1473550414000275")</f>
        <v>http://dx.doi.org/10.1017/S1473550414000275</v>
      </c>
      <c r="BG952" t="s">
        <v>74</v>
      </c>
      <c r="BH952" t="s">
        <v>74</v>
      </c>
      <c r="BI952">
        <v>13</v>
      </c>
      <c r="BJ952" t="s">
        <v>2320</v>
      </c>
      <c r="BK952" t="s">
        <v>91</v>
      </c>
      <c r="BL952" t="s">
        <v>2321</v>
      </c>
      <c r="BM952" t="s">
        <v>17851</v>
      </c>
      <c r="BN952" t="s">
        <v>74</v>
      </c>
      <c r="BO952" t="s">
        <v>74</v>
      </c>
      <c r="BP952" t="s">
        <v>74</v>
      </c>
      <c r="BQ952" t="s">
        <v>74</v>
      </c>
      <c r="BR952" t="s">
        <v>93</v>
      </c>
      <c r="BS952" t="s">
        <v>17852</v>
      </c>
      <c r="BT952" t="str">
        <f>HYPERLINK("https%3A%2F%2Fwww.webofscience.com%2Fwos%2Fwoscc%2Ffull-record%2FWOS:000342999900007","View Full Record in Web of Science")</f>
        <v>View Full Record in Web of Science</v>
      </c>
    </row>
    <row r="953" spans="1:72" x14ac:dyDescent="0.15">
      <c r="A953" t="s">
        <v>72</v>
      </c>
      <c r="B953" t="s">
        <v>17853</v>
      </c>
      <c r="C953" t="s">
        <v>74</v>
      </c>
      <c r="D953" t="s">
        <v>74</v>
      </c>
      <c r="E953" t="s">
        <v>74</v>
      </c>
      <c r="F953" t="s">
        <v>17854</v>
      </c>
      <c r="G953" t="s">
        <v>74</v>
      </c>
      <c r="H953" t="s">
        <v>74</v>
      </c>
      <c r="I953" t="s">
        <v>17855</v>
      </c>
      <c r="J953" t="s">
        <v>17856</v>
      </c>
      <c r="K953" t="s">
        <v>74</v>
      </c>
      <c r="L953" t="s">
        <v>74</v>
      </c>
      <c r="M953" t="s">
        <v>78</v>
      </c>
      <c r="N953" t="s">
        <v>99</v>
      </c>
      <c r="O953" t="s">
        <v>74</v>
      </c>
      <c r="P953" t="s">
        <v>74</v>
      </c>
      <c r="Q953" t="s">
        <v>74</v>
      </c>
      <c r="R953" t="s">
        <v>74</v>
      </c>
      <c r="S953" t="s">
        <v>74</v>
      </c>
      <c r="T953" t="s">
        <v>17857</v>
      </c>
      <c r="U953" t="s">
        <v>17858</v>
      </c>
      <c r="V953" t="s">
        <v>17859</v>
      </c>
      <c r="W953" t="s">
        <v>17860</v>
      </c>
      <c r="X953" t="s">
        <v>17861</v>
      </c>
      <c r="Y953" t="s">
        <v>17862</v>
      </c>
      <c r="Z953" t="s">
        <v>17863</v>
      </c>
      <c r="AA953" t="s">
        <v>74</v>
      </c>
      <c r="AB953" t="s">
        <v>74</v>
      </c>
      <c r="AC953" t="s">
        <v>17861</v>
      </c>
      <c r="AD953" t="s">
        <v>17861</v>
      </c>
      <c r="AE953" t="s">
        <v>17864</v>
      </c>
      <c r="AF953" t="s">
        <v>74</v>
      </c>
      <c r="AG953">
        <v>30</v>
      </c>
      <c r="AH953">
        <v>7</v>
      </c>
      <c r="AI953">
        <v>7</v>
      </c>
      <c r="AJ953">
        <v>1</v>
      </c>
      <c r="AK953">
        <v>23</v>
      </c>
      <c r="AL953" t="s">
        <v>1175</v>
      </c>
      <c r="AM953" t="s">
        <v>1176</v>
      </c>
      <c r="AN953" t="s">
        <v>2938</v>
      </c>
      <c r="AO953" t="s">
        <v>17865</v>
      </c>
      <c r="AP953" t="s">
        <v>17866</v>
      </c>
      <c r="AQ953" t="s">
        <v>74</v>
      </c>
      <c r="AR953" t="s">
        <v>17867</v>
      </c>
      <c r="AS953" t="s">
        <v>17868</v>
      </c>
      <c r="AT953" t="s">
        <v>17045</v>
      </c>
      <c r="AU953">
        <v>2014</v>
      </c>
      <c r="AV953">
        <v>105</v>
      </c>
      <c r="AW953" t="s">
        <v>74</v>
      </c>
      <c r="AX953" t="s">
        <v>74</v>
      </c>
      <c r="AY953" t="s">
        <v>74</v>
      </c>
      <c r="AZ953" t="s">
        <v>74</v>
      </c>
      <c r="BA953" t="s">
        <v>74</v>
      </c>
      <c r="BB953">
        <v>1</v>
      </c>
      <c r="BC953">
        <v>15</v>
      </c>
      <c r="BD953" t="s">
        <v>74</v>
      </c>
      <c r="BE953" t="s">
        <v>17869</v>
      </c>
      <c r="BF953" t="str">
        <f>HYPERLINK("http://dx.doi.org/10.1016/j.mimet.2014.07.011","http://dx.doi.org/10.1016/j.mimet.2014.07.011")</f>
        <v>http://dx.doi.org/10.1016/j.mimet.2014.07.011</v>
      </c>
      <c r="BG953" t="s">
        <v>74</v>
      </c>
      <c r="BH953" t="s">
        <v>74</v>
      </c>
      <c r="BI953">
        <v>15</v>
      </c>
      <c r="BJ953" t="s">
        <v>17870</v>
      </c>
      <c r="BK953" t="s">
        <v>91</v>
      </c>
      <c r="BL953" t="s">
        <v>3392</v>
      </c>
      <c r="BM953" t="s">
        <v>17871</v>
      </c>
      <c r="BN953">
        <v>25019517</v>
      </c>
      <c r="BO953" t="s">
        <v>74</v>
      </c>
      <c r="BP953" t="s">
        <v>74</v>
      </c>
      <c r="BQ953" t="s">
        <v>74</v>
      </c>
      <c r="BR953" t="s">
        <v>93</v>
      </c>
      <c r="BS953" t="s">
        <v>17872</v>
      </c>
      <c r="BT953" t="str">
        <f>HYPERLINK("https%3A%2F%2Fwww.webofscience.com%2Fwos%2Fwoscc%2Ffull-record%2FWOS:000342879500001","View Full Record in Web of Science")</f>
        <v>View Full Record in Web of Science</v>
      </c>
    </row>
    <row r="954" spans="1:72" x14ac:dyDescent="0.15">
      <c r="A954" t="s">
        <v>72</v>
      </c>
      <c r="B954" t="s">
        <v>17873</v>
      </c>
      <c r="C954" t="s">
        <v>74</v>
      </c>
      <c r="D954" t="s">
        <v>74</v>
      </c>
      <c r="E954" t="s">
        <v>74</v>
      </c>
      <c r="F954" t="s">
        <v>17874</v>
      </c>
      <c r="G954" t="s">
        <v>74</v>
      </c>
      <c r="H954" t="s">
        <v>74</v>
      </c>
      <c r="I954" t="s">
        <v>17875</v>
      </c>
      <c r="J954" t="s">
        <v>3483</v>
      </c>
      <c r="K954" t="s">
        <v>74</v>
      </c>
      <c r="L954" t="s">
        <v>74</v>
      </c>
      <c r="M954" t="s">
        <v>78</v>
      </c>
      <c r="N954" t="s">
        <v>99</v>
      </c>
      <c r="O954" t="s">
        <v>74</v>
      </c>
      <c r="P954" t="s">
        <v>74</v>
      </c>
      <c r="Q954" t="s">
        <v>74</v>
      </c>
      <c r="R954" t="s">
        <v>74</v>
      </c>
      <c r="S954" t="s">
        <v>74</v>
      </c>
      <c r="T954" t="s">
        <v>17876</v>
      </c>
      <c r="U954" t="s">
        <v>17877</v>
      </c>
      <c r="V954" t="s">
        <v>17878</v>
      </c>
      <c r="W954" t="s">
        <v>17879</v>
      </c>
      <c r="X954" t="s">
        <v>17880</v>
      </c>
      <c r="Y954" t="s">
        <v>17881</v>
      </c>
      <c r="Z954" t="s">
        <v>17882</v>
      </c>
      <c r="AA954" t="s">
        <v>17883</v>
      </c>
      <c r="AB954" t="s">
        <v>17884</v>
      </c>
      <c r="AC954" t="s">
        <v>17885</v>
      </c>
      <c r="AD954" t="s">
        <v>17886</v>
      </c>
      <c r="AE954" t="s">
        <v>17887</v>
      </c>
      <c r="AF954" t="s">
        <v>74</v>
      </c>
      <c r="AG954">
        <v>82</v>
      </c>
      <c r="AH954">
        <v>37</v>
      </c>
      <c r="AI954">
        <v>42</v>
      </c>
      <c r="AJ954">
        <v>3</v>
      </c>
      <c r="AK954">
        <v>59</v>
      </c>
      <c r="AL954" t="s">
        <v>2006</v>
      </c>
      <c r="AM954" t="s">
        <v>2007</v>
      </c>
      <c r="AN954" t="s">
        <v>2008</v>
      </c>
      <c r="AO954" t="s">
        <v>3496</v>
      </c>
      <c r="AP954" t="s">
        <v>3497</v>
      </c>
      <c r="AQ954" t="s">
        <v>74</v>
      </c>
      <c r="AR954" t="s">
        <v>3498</v>
      </c>
      <c r="AS954" t="s">
        <v>3499</v>
      </c>
      <c r="AT954" t="s">
        <v>17045</v>
      </c>
      <c r="AU954">
        <v>2014</v>
      </c>
      <c r="AV954">
        <v>30</v>
      </c>
      <c r="AW954">
        <v>4</v>
      </c>
      <c r="AX954" t="s">
        <v>74</v>
      </c>
      <c r="AY954" t="s">
        <v>74</v>
      </c>
      <c r="AZ954" t="s">
        <v>74</v>
      </c>
      <c r="BA954" t="s">
        <v>74</v>
      </c>
      <c r="BB954">
        <v>1297</v>
      </c>
      <c r="BC954">
        <v>1319</v>
      </c>
      <c r="BD954" t="s">
        <v>74</v>
      </c>
      <c r="BE954" t="s">
        <v>17888</v>
      </c>
      <c r="BF954" t="str">
        <f>HYPERLINK("http://dx.doi.org/10.1111/mms.12110","http://dx.doi.org/10.1111/mms.12110")</f>
        <v>http://dx.doi.org/10.1111/mms.12110</v>
      </c>
      <c r="BG954" t="s">
        <v>74</v>
      </c>
      <c r="BH954" t="s">
        <v>74</v>
      </c>
      <c r="BI954">
        <v>23</v>
      </c>
      <c r="BJ954" t="s">
        <v>2344</v>
      </c>
      <c r="BK954" t="s">
        <v>91</v>
      </c>
      <c r="BL954" t="s">
        <v>2344</v>
      </c>
      <c r="BM954" t="s">
        <v>17889</v>
      </c>
      <c r="BN954" t="s">
        <v>74</v>
      </c>
      <c r="BO954" t="s">
        <v>375</v>
      </c>
      <c r="BP954" t="s">
        <v>74</v>
      </c>
      <c r="BQ954" t="s">
        <v>74</v>
      </c>
      <c r="BR954" t="s">
        <v>93</v>
      </c>
      <c r="BS954" t="s">
        <v>17890</v>
      </c>
      <c r="BT954" t="str">
        <f>HYPERLINK("https%3A%2F%2Fwww.webofscience.com%2Fwos%2Fwoscc%2Ffull-record%2FWOS:000342835800002","View Full Record in Web of Science")</f>
        <v>View Full Record in Web of Science</v>
      </c>
    </row>
    <row r="955" spans="1:72" x14ac:dyDescent="0.15">
      <c r="A955" t="s">
        <v>72</v>
      </c>
      <c r="B955" t="s">
        <v>17891</v>
      </c>
      <c r="C955" t="s">
        <v>74</v>
      </c>
      <c r="D955" t="s">
        <v>74</v>
      </c>
      <c r="E955" t="s">
        <v>74</v>
      </c>
      <c r="F955" t="s">
        <v>17892</v>
      </c>
      <c r="G955" t="s">
        <v>74</v>
      </c>
      <c r="H955" t="s">
        <v>74</v>
      </c>
      <c r="I955" t="s">
        <v>17893</v>
      </c>
      <c r="J955" t="s">
        <v>17894</v>
      </c>
      <c r="K955" t="s">
        <v>74</v>
      </c>
      <c r="L955" t="s">
        <v>74</v>
      </c>
      <c r="M955" t="s">
        <v>78</v>
      </c>
      <c r="N955" t="s">
        <v>99</v>
      </c>
      <c r="O955" t="s">
        <v>74</v>
      </c>
      <c r="P955" t="s">
        <v>74</v>
      </c>
      <c r="Q955" t="s">
        <v>74</v>
      </c>
      <c r="R955" t="s">
        <v>74</v>
      </c>
      <c r="S955" t="s">
        <v>74</v>
      </c>
      <c r="T955" t="s">
        <v>17895</v>
      </c>
      <c r="U955" t="s">
        <v>17896</v>
      </c>
      <c r="V955" t="s">
        <v>17897</v>
      </c>
      <c r="W955" t="s">
        <v>17898</v>
      </c>
      <c r="X955" t="s">
        <v>17899</v>
      </c>
      <c r="Y955" t="s">
        <v>17900</v>
      </c>
      <c r="Z955" t="s">
        <v>17901</v>
      </c>
      <c r="AA955" t="s">
        <v>74</v>
      </c>
      <c r="AB955" t="s">
        <v>17902</v>
      </c>
      <c r="AC955" t="s">
        <v>17903</v>
      </c>
      <c r="AD955" t="s">
        <v>17904</v>
      </c>
      <c r="AE955" t="s">
        <v>17905</v>
      </c>
      <c r="AF955" t="s">
        <v>74</v>
      </c>
      <c r="AG955">
        <v>45</v>
      </c>
      <c r="AH955">
        <v>9</v>
      </c>
      <c r="AI955">
        <v>11</v>
      </c>
      <c r="AJ955">
        <v>0</v>
      </c>
      <c r="AK955">
        <v>7</v>
      </c>
      <c r="AL955" t="s">
        <v>1895</v>
      </c>
      <c r="AM955" t="s">
        <v>1411</v>
      </c>
      <c r="AN955" t="s">
        <v>1896</v>
      </c>
      <c r="AO955" t="s">
        <v>17906</v>
      </c>
      <c r="AP955" t="s">
        <v>17907</v>
      </c>
      <c r="AQ955" t="s">
        <v>74</v>
      </c>
      <c r="AR955" t="s">
        <v>17908</v>
      </c>
      <c r="AS955" t="s">
        <v>17909</v>
      </c>
      <c r="AT955" t="s">
        <v>17045</v>
      </c>
      <c r="AU955">
        <v>2014</v>
      </c>
      <c r="AV955">
        <v>172</v>
      </c>
      <c r="AW955">
        <v>2</v>
      </c>
      <c r="AX955" t="s">
        <v>74</v>
      </c>
      <c r="AY955" t="s">
        <v>74</v>
      </c>
      <c r="AZ955" t="s">
        <v>74</v>
      </c>
      <c r="BA955" t="s">
        <v>74</v>
      </c>
      <c r="BB955">
        <v>282</v>
      </c>
      <c r="BC955">
        <v>317</v>
      </c>
      <c r="BD955" t="s">
        <v>74</v>
      </c>
      <c r="BE955" t="s">
        <v>17910</v>
      </c>
      <c r="BF955" t="str">
        <f>HYPERLINK("http://dx.doi.org/10.1111/zoj12176","http://dx.doi.org/10.1111/zoj12176")</f>
        <v>http://dx.doi.org/10.1111/zoj12176</v>
      </c>
      <c r="BG955" t="s">
        <v>74</v>
      </c>
      <c r="BH955" t="s">
        <v>74</v>
      </c>
      <c r="BI955">
        <v>36</v>
      </c>
      <c r="BJ955" t="s">
        <v>423</v>
      </c>
      <c r="BK955" t="s">
        <v>91</v>
      </c>
      <c r="BL955" t="s">
        <v>423</v>
      </c>
      <c r="BM955" t="s">
        <v>17911</v>
      </c>
      <c r="BN955" t="s">
        <v>74</v>
      </c>
      <c r="BO955" t="s">
        <v>375</v>
      </c>
      <c r="BP955" t="s">
        <v>74</v>
      </c>
      <c r="BQ955" t="s">
        <v>74</v>
      </c>
      <c r="BR955" t="s">
        <v>93</v>
      </c>
      <c r="BS955" t="s">
        <v>17912</v>
      </c>
      <c r="BT955" t="str">
        <f>HYPERLINK("https%3A%2F%2Fwww.webofscience.com%2Fwos%2Fwoscc%2Ffull-record%2FWOS:000342827000003","View Full Record in Web of Science")</f>
        <v>View Full Record in Web of Science</v>
      </c>
    </row>
    <row r="956" spans="1:72" x14ac:dyDescent="0.15">
      <c r="A956" t="s">
        <v>72</v>
      </c>
      <c r="B956" t="s">
        <v>17913</v>
      </c>
      <c r="C956" t="s">
        <v>74</v>
      </c>
      <c r="D956" t="s">
        <v>74</v>
      </c>
      <c r="E956" t="s">
        <v>74</v>
      </c>
      <c r="F956" t="s">
        <v>17914</v>
      </c>
      <c r="G956" t="s">
        <v>74</v>
      </c>
      <c r="H956" t="s">
        <v>74</v>
      </c>
      <c r="I956" t="s">
        <v>17915</v>
      </c>
      <c r="J956" t="s">
        <v>17916</v>
      </c>
      <c r="K956" t="s">
        <v>74</v>
      </c>
      <c r="L956" t="s">
        <v>74</v>
      </c>
      <c r="M956" t="s">
        <v>78</v>
      </c>
      <c r="N956" t="s">
        <v>99</v>
      </c>
      <c r="O956" t="s">
        <v>74</v>
      </c>
      <c r="P956" t="s">
        <v>74</v>
      </c>
      <c r="Q956" t="s">
        <v>74</v>
      </c>
      <c r="R956" t="s">
        <v>74</v>
      </c>
      <c r="S956" t="s">
        <v>74</v>
      </c>
      <c r="T956" t="s">
        <v>17917</v>
      </c>
      <c r="U956" t="s">
        <v>17918</v>
      </c>
      <c r="V956" t="s">
        <v>17919</v>
      </c>
      <c r="W956" t="s">
        <v>17920</v>
      </c>
      <c r="X956" t="s">
        <v>17921</v>
      </c>
      <c r="Y956" t="s">
        <v>17922</v>
      </c>
      <c r="Z956" t="s">
        <v>17923</v>
      </c>
      <c r="AA956" t="s">
        <v>74</v>
      </c>
      <c r="AB956" t="s">
        <v>74</v>
      </c>
      <c r="AC956" t="s">
        <v>74</v>
      </c>
      <c r="AD956" t="s">
        <v>74</v>
      </c>
      <c r="AE956" t="s">
        <v>74</v>
      </c>
      <c r="AF956" t="s">
        <v>74</v>
      </c>
      <c r="AG956">
        <v>62</v>
      </c>
      <c r="AH956">
        <v>0</v>
      </c>
      <c r="AI956">
        <v>0</v>
      </c>
      <c r="AJ956">
        <v>0</v>
      </c>
      <c r="AK956">
        <v>14</v>
      </c>
      <c r="AL956" t="s">
        <v>17924</v>
      </c>
      <c r="AM956" t="s">
        <v>17925</v>
      </c>
      <c r="AN956" t="s">
        <v>17926</v>
      </c>
      <c r="AO956" t="s">
        <v>17927</v>
      </c>
      <c r="AP956" t="s">
        <v>17928</v>
      </c>
      <c r="AQ956" t="s">
        <v>74</v>
      </c>
      <c r="AR956" t="s">
        <v>17929</v>
      </c>
      <c r="AS956" t="s">
        <v>17930</v>
      </c>
      <c r="AT956" t="s">
        <v>17045</v>
      </c>
      <c r="AU956">
        <v>2014</v>
      </c>
      <c r="AV956">
        <v>41</v>
      </c>
      <c r="AW956">
        <v>2</v>
      </c>
      <c r="AX956" t="s">
        <v>74</v>
      </c>
      <c r="AY956" t="s">
        <v>74</v>
      </c>
      <c r="AZ956" t="s">
        <v>74</v>
      </c>
      <c r="BA956" t="s">
        <v>74</v>
      </c>
      <c r="BB956">
        <v>240</v>
      </c>
      <c r="BC956">
        <v>250</v>
      </c>
      <c r="BD956" t="s">
        <v>74</v>
      </c>
      <c r="BE956" t="s">
        <v>17931</v>
      </c>
      <c r="BF956" t="str">
        <f>HYPERLINK("http://dx.doi.org/10.3366/anh.2014.0245","http://dx.doi.org/10.3366/anh.2014.0245")</f>
        <v>http://dx.doi.org/10.3366/anh.2014.0245</v>
      </c>
      <c r="BG956" t="s">
        <v>74</v>
      </c>
      <c r="BH956" t="s">
        <v>74</v>
      </c>
      <c r="BI956">
        <v>11</v>
      </c>
      <c r="BJ956" t="s">
        <v>17932</v>
      </c>
      <c r="BK956" t="s">
        <v>17933</v>
      </c>
      <c r="BL956" t="s">
        <v>17934</v>
      </c>
      <c r="BM956" t="s">
        <v>17935</v>
      </c>
      <c r="BN956" t="s">
        <v>74</v>
      </c>
      <c r="BO956" t="s">
        <v>74</v>
      </c>
      <c r="BP956" t="s">
        <v>74</v>
      </c>
      <c r="BQ956" t="s">
        <v>74</v>
      </c>
      <c r="BR956" t="s">
        <v>93</v>
      </c>
      <c r="BS956" t="s">
        <v>17936</v>
      </c>
      <c r="BT956" t="str">
        <f>HYPERLINK("https%3A%2F%2Fwww.webofscience.com%2Fwos%2Fwoscc%2Ffull-record%2FWOS:000342533600005","View Full Record in Web of Science")</f>
        <v>View Full Record in Web of Science</v>
      </c>
    </row>
    <row r="957" spans="1:72" x14ac:dyDescent="0.15">
      <c r="A957" t="s">
        <v>72</v>
      </c>
      <c r="B957" t="s">
        <v>17937</v>
      </c>
      <c r="C957" t="s">
        <v>74</v>
      </c>
      <c r="D957" t="s">
        <v>74</v>
      </c>
      <c r="E957" t="s">
        <v>74</v>
      </c>
      <c r="F957" t="s">
        <v>17938</v>
      </c>
      <c r="G957" t="s">
        <v>74</v>
      </c>
      <c r="H957" t="s">
        <v>74</v>
      </c>
      <c r="I957" t="s">
        <v>17939</v>
      </c>
      <c r="J957" t="s">
        <v>10192</v>
      </c>
      <c r="K957" t="s">
        <v>74</v>
      </c>
      <c r="L957" t="s">
        <v>74</v>
      </c>
      <c r="M957" t="s">
        <v>78</v>
      </c>
      <c r="N957" t="s">
        <v>99</v>
      </c>
      <c r="O957" t="s">
        <v>74</v>
      </c>
      <c r="P957" t="s">
        <v>74</v>
      </c>
      <c r="Q957" t="s">
        <v>74</v>
      </c>
      <c r="R957" t="s">
        <v>74</v>
      </c>
      <c r="S957" t="s">
        <v>74</v>
      </c>
      <c r="T957" t="s">
        <v>74</v>
      </c>
      <c r="U957" t="s">
        <v>17940</v>
      </c>
      <c r="V957" t="s">
        <v>17941</v>
      </c>
      <c r="W957" t="s">
        <v>17942</v>
      </c>
      <c r="X957" t="s">
        <v>17943</v>
      </c>
      <c r="Y957" t="s">
        <v>6326</v>
      </c>
      <c r="Z957" t="s">
        <v>6327</v>
      </c>
      <c r="AA957" t="s">
        <v>17944</v>
      </c>
      <c r="AB957" t="s">
        <v>17945</v>
      </c>
      <c r="AC957" t="s">
        <v>17946</v>
      </c>
      <c r="AD957" t="s">
        <v>17947</v>
      </c>
      <c r="AE957" t="s">
        <v>17948</v>
      </c>
      <c r="AF957" t="s">
        <v>74</v>
      </c>
      <c r="AG957">
        <v>122</v>
      </c>
      <c r="AH957">
        <v>14</v>
      </c>
      <c r="AI957">
        <v>16</v>
      </c>
      <c r="AJ957">
        <v>0</v>
      </c>
      <c r="AK957">
        <v>12</v>
      </c>
      <c r="AL957" t="s">
        <v>6201</v>
      </c>
      <c r="AM957" t="s">
        <v>6202</v>
      </c>
      <c r="AN957" t="s">
        <v>6203</v>
      </c>
      <c r="AO957" t="s">
        <v>10203</v>
      </c>
      <c r="AP957" t="s">
        <v>74</v>
      </c>
      <c r="AQ957" t="s">
        <v>74</v>
      </c>
      <c r="AR957" t="s">
        <v>10192</v>
      </c>
      <c r="AS957" t="s">
        <v>10204</v>
      </c>
      <c r="AT957" t="s">
        <v>17045</v>
      </c>
      <c r="AU957">
        <v>2014</v>
      </c>
      <c r="AV957">
        <v>10</v>
      </c>
      <c r="AW957">
        <v>5</v>
      </c>
      <c r="AX957" t="s">
        <v>74</v>
      </c>
      <c r="AY957" t="s">
        <v>74</v>
      </c>
      <c r="AZ957" t="s">
        <v>74</v>
      </c>
      <c r="BA957" t="s">
        <v>74</v>
      </c>
      <c r="BB957">
        <v>828</v>
      </c>
      <c r="BC957">
        <v>841</v>
      </c>
      <c r="BD957" t="s">
        <v>74</v>
      </c>
      <c r="BE957" t="s">
        <v>17949</v>
      </c>
      <c r="BF957" t="str">
        <f>HYPERLINK("http://dx.doi.org/10.1130/GES01002.1","http://dx.doi.org/10.1130/GES01002.1")</f>
        <v>http://dx.doi.org/10.1130/GES01002.1</v>
      </c>
      <c r="BG957" t="s">
        <v>74</v>
      </c>
      <c r="BH957" t="s">
        <v>74</v>
      </c>
      <c r="BI957">
        <v>14</v>
      </c>
      <c r="BJ957" t="s">
        <v>1953</v>
      </c>
      <c r="BK957" t="s">
        <v>91</v>
      </c>
      <c r="BL957" t="s">
        <v>1954</v>
      </c>
      <c r="BM957" t="s">
        <v>17950</v>
      </c>
      <c r="BN957" t="s">
        <v>74</v>
      </c>
      <c r="BO957" t="s">
        <v>1393</v>
      </c>
      <c r="BP957" t="s">
        <v>74</v>
      </c>
      <c r="BQ957" t="s">
        <v>74</v>
      </c>
      <c r="BR957" t="s">
        <v>93</v>
      </c>
      <c r="BS957" t="s">
        <v>17951</v>
      </c>
      <c r="BT957" t="str">
        <f>HYPERLINK("https%3A%2F%2Fwww.webofscience.com%2Fwos%2Fwoscc%2Ffull-record%2FWOS:000342610800001","View Full Record in Web of Science")</f>
        <v>View Full Record in Web of Science</v>
      </c>
    </row>
    <row r="958" spans="1:72" x14ac:dyDescent="0.15">
      <c r="A958" t="s">
        <v>72</v>
      </c>
      <c r="B958" t="s">
        <v>17952</v>
      </c>
      <c r="C958" t="s">
        <v>74</v>
      </c>
      <c r="D958" t="s">
        <v>74</v>
      </c>
      <c r="E958" t="s">
        <v>74</v>
      </c>
      <c r="F958" t="s">
        <v>17953</v>
      </c>
      <c r="G958" t="s">
        <v>74</v>
      </c>
      <c r="H958" t="s">
        <v>74</v>
      </c>
      <c r="I958" t="s">
        <v>17954</v>
      </c>
      <c r="J958" t="s">
        <v>17955</v>
      </c>
      <c r="K958" t="s">
        <v>74</v>
      </c>
      <c r="L958" t="s">
        <v>74</v>
      </c>
      <c r="M958" t="s">
        <v>78</v>
      </c>
      <c r="N958" t="s">
        <v>99</v>
      </c>
      <c r="O958" t="s">
        <v>74</v>
      </c>
      <c r="P958" t="s">
        <v>74</v>
      </c>
      <c r="Q958" t="s">
        <v>74</v>
      </c>
      <c r="R958" t="s">
        <v>74</v>
      </c>
      <c r="S958" t="s">
        <v>74</v>
      </c>
      <c r="T958" t="s">
        <v>17956</v>
      </c>
      <c r="U958" t="s">
        <v>17957</v>
      </c>
      <c r="V958" t="s">
        <v>17958</v>
      </c>
      <c r="W958" t="s">
        <v>17959</v>
      </c>
      <c r="X958" t="s">
        <v>17960</v>
      </c>
      <c r="Y958" t="s">
        <v>17961</v>
      </c>
      <c r="Z958" t="s">
        <v>17962</v>
      </c>
      <c r="AA958" t="s">
        <v>17963</v>
      </c>
      <c r="AB958" t="s">
        <v>17964</v>
      </c>
      <c r="AC958" t="s">
        <v>17965</v>
      </c>
      <c r="AD958" t="s">
        <v>17966</v>
      </c>
      <c r="AE958" t="s">
        <v>17967</v>
      </c>
      <c r="AF958" t="s">
        <v>74</v>
      </c>
      <c r="AG958">
        <v>60</v>
      </c>
      <c r="AH958">
        <v>53</v>
      </c>
      <c r="AI958">
        <v>62</v>
      </c>
      <c r="AJ958">
        <v>1</v>
      </c>
      <c r="AK958">
        <v>49</v>
      </c>
      <c r="AL958" t="s">
        <v>6375</v>
      </c>
      <c r="AM958" t="s">
        <v>219</v>
      </c>
      <c r="AN958" t="s">
        <v>6376</v>
      </c>
      <c r="AO958" t="s">
        <v>17968</v>
      </c>
      <c r="AP958" t="s">
        <v>17969</v>
      </c>
      <c r="AQ958" t="s">
        <v>74</v>
      </c>
      <c r="AR958" t="s">
        <v>17970</v>
      </c>
      <c r="AS958" t="s">
        <v>17971</v>
      </c>
      <c r="AT958" t="s">
        <v>17045</v>
      </c>
      <c r="AU958">
        <v>2014</v>
      </c>
      <c r="AV958">
        <v>8</v>
      </c>
      <c r="AW958">
        <v>10</v>
      </c>
      <c r="AX958" t="s">
        <v>74</v>
      </c>
      <c r="AY958" t="s">
        <v>74</v>
      </c>
      <c r="AZ958" t="s">
        <v>74</v>
      </c>
      <c r="BA958" t="s">
        <v>74</v>
      </c>
      <c r="BB958">
        <v>2093</v>
      </c>
      <c r="BC958">
        <v>2103</v>
      </c>
      <c r="BD958" t="s">
        <v>74</v>
      </c>
      <c r="BE958" t="s">
        <v>17972</v>
      </c>
      <c r="BF958" t="str">
        <f>HYPERLINK("http://dx.doi.org/10.1038/ismej.2014.43","http://dx.doi.org/10.1038/ismej.2014.43")</f>
        <v>http://dx.doi.org/10.1038/ismej.2014.43</v>
      </c>
      <c r="BG958" t="s">
        <v>74</v>
      </c>
      <c r="BH958" t="s">
        <v>74</v>
      </c>
      <c r="BI958">
        <v>11</v>
      </c>
      <c r="BJ958" t="s">
        <v>17973</v>
      </c>
      <c r="BK958" t="s">
        <v>91</v>
      </c>
      <c r="BL958" t="s">
        <v>17974</v>
      </c>
      <c r="BM958" t="s">
        <v>17975</v>
      </c>
      <c r="BN958">
        <v>24694711</v>
      </c>
      <c r="BO958" t="s">
        <v>2744</v>
      </c>
      <c r="BP958" t="s">
        <v>74</v>
      </c>
      <c r="BQ958" t="s">
        <v>74</v>
      </c>
      <c r="BR958" t="s">
        <v>93</v>
      </c>
      <c r="BS958" t="s">
        <v>17976</v>
      </c>
      <c r="BT958" t="str">
        <f>HYPERLINK("https%3A%2F%2Fwww.webofscience.com%2Fwos%2Fwoscc%2Ffull-record%2FWOS:000342764600012","View Full Record in Web of Science")</f>
        <v>View Full Record in Web of Science</v>
      </c>
    </row>
    <row r="959" spans="1:72" x14ac:dyDescent="0.15">
      <c r="A959" t="s">
        <v>72</v>
      </c>
      <c r="B959" t="s">
        <v>17977</v>
      </c>
      <c r="C959" t="s">
        <v>74</v>
      </c>
      <c r="D959" t="s">
        <v>74</v>
      </c>
      <c r="E959" t="s">
        <v>74</v>
      </c>
      <c r="F959" t="s">
        <v>17978</v>
      </c>
      <c r="G959" t="s">
        <v>74</v>
      </c>
      <c r="H959" t="s">
        <v>74</v>
      </c>
      <c r="I959" t="s">
        <v>17979</v>
      </c>
      <c r="J959" t="s">
        <v>17955</v>
      </c>
      <c r="K959" t="s">
        <v>74</v>
      </c>
      <c r="L959" t="s">
        <v>74</v>
      </c>
      <c r="M959" t="s">
        <v>78</v>
      </c>
      <c r="N959" t="s">
        <v>99</v>
      </c>
      <c r="O959" t="s">
        <v>74</v>
      </c>
      <c r="P959" t="s">
        <v>74</v>
      </c>
      <c r="Q959" t="s">
        <v>74</v>
      </c>
      <c r="R959" t="s">
        <v>74</v>
      </c>
      <c r="S959" t="s">
        <v>74</v>
      </c>
      <c r="T959" t="s">
        <v>17980</v>
      </c>
      <c r="U959" t="s">
        <v>17981</v>
      </c>
      <c r="V959" t="s">
        <v>17982</v>
      </c>
      <c r="W959" t="s">
        <v>17983</v>
      </c>
      <c r="X959" t="s">
        <v>17984</v>
      </c>
      <c r="Y959" t="s">
        <v>17985</v>
      </c>
      <c r="Z959" t="s">
        <v>17986</v>
      </c>
      <c r="AA959" t="s">
        <v>17987</v>
      </c>
      <c r="AB959" t="s">
        <v>17988</v>
      </c>
      <c r="AC959" t="s">
        <v>17989</v>
      </c>
      <c r="AD959" t="s">
        <v>17990</v>
      </c>
      <c r="AE959" t="s">
        <v>17991</v>
      </c>
      <c r="AF959" t="s">
        <v>74</v>
      </c>
      <c r="AG959">
        <v>63</v>
      </c>
      <c r="AH959">
        <v>51</v>
      </c>
      <c r="AI959">
        <v>54</v>
      </c>
      <c r="AJ959">
        <v>2</v>
      </c>
      <c r="AK959">
        <v>83</v>
      </c>
      <c r="AL959" t="s">
        <v>6375</v>
      </c>
      <c r="AM959" t="s">
        <v>219</v>
      </c>
      <c r="AN959" t="s">
        <v>6376</v>
      </c>
      <c r="AO959" t="s">
        <v>17968</v>
      </c>
      <c r="AP959" t="s">
        <v>17969</v>
      </c>
      <c r="AQ959" t="s">
        <v>74</v>
      </c>
      <c r="AR959" t="s">
        <v>17970</v>
      </c>
      <c r="AS959" t="s">
        <v>17971</v>
      </c>
      <c r="AT959" t="s">
        <v>17045</v>
      </c>
      <c r="AU959">
        <v>2014</v>
      </c>
      <c r="AV959">
        <v>8</v>
      </c>
      <c r="AW959">
        <v>10</v>
      </c>
      <c r="AX959" t="s">
        <v>74</v>
      </c>
      <c r="AY959" t="s">
        <v>74</v>
      </c>
      <c r="AZ959" t="s">
        <v>74</v>
      </c>
      <c r="BA959" t="s">
        <v>74</v>
      </c>
      <c r="BB959">
        <v>2104</v>
      </c>
      <c r="BC959">
        <v>2115</v>
      </c>
      <c r="BD959" t="s">
        <v>74</v>
      </c>
      <c r="BE959" t="s">
        <v>17992</v>
      </c>
      <c r="BF959" t="str">
        <f>HYPERLINK("http://dx.doi.org/10.1038/ismej.2014.47","http://dx.doi.org/10.1038/ismej.2014.47")</f>
        <v>http://dx.doi.org/10.1038/ismej.2014.47</v>
      </c>
      <c r="BG959" t="s">
        <v>74</v>
      </c>
      <c r="BH959" t="s">
        <v>74</v>
      </c>
      <c r="BI959">
        <v>12</v>
      </c>
      <c r="BJ959" t="s">
        <v>17973</v>
      </c>
      <c r="BK959" t="s">
        <v>91</v>
      </c>
      <c r="BL959" t="s">
        <v>17974</v>
      </c>
      <c r="BM959" t="s">
        <v>17975</v>
      </c>
      <c r="BN959">
        <v>24694713</v>
      </c>
      <c r="BO959" t="s">
        <v>2081</v>
      </c>
      <c r="BP959" t="s">
        <v>74</v>
      </c>
      <c r="BQ959" t="s">
        <v>74</v>
      </c>
      <c r="BR959" t="s">
        <v>93</v>
      </c>
      <c r="BS959" t="s">
        <v>17993</v>
      </c>
      <c r="BT959" t="str">
        <f>HYPERLINK("https%3A%2F%2Fwww.webofscience.com%2Fwos%2Fwoscc%2Ffull-record%2FWOS:000342764600013","View Full Record in Web of Science")</f>
        <v>View Full Record in Web of Science</v>
      </c>
    </row>
    <row r="960" spans="1:72" x14ac:dyDescent="0.15">
      <c r="A960" t="s">
        <v>72</v>
      </c>
      <c r="B960" t="s">
        <v>17994</v>
      </c>
      <c r="C960" t="s">
        <v>74</v>
      </c>
      <c r="D960" t="s">
        <v>74</v>
      </c>
      <c r="E960" t="s">
        <v>74</v>
      </c>
      <c r="F960" t="s">
        <v>17995</v>
      </c>
      <c r="G960" t="s">
        <v>74</v>
      </c>
      <c r="H960" t="s">
        <v>74</v>
      </c>
      <c r="I960" t="s">
        <v>17996</v>
      </c>
      <c r="J960" t="s">
        <v>3231</v>
      </c>
      <c r="K960" t="s">
        <v>74</v>
      </c>
      <c r="L960" t="s">
        <v>74</v>
      </c>
      <c r="M960" t="s">
        <v>78</v>
      </c>
      <c r="N960" t="s">
        <v>99</v>
      </c>
      <c r="O960" t="s">
        <v>74</v>
      </c>
      <c r="P960" t="s">
        <v>74</v>
      </c>
      <c r="Q960" t="s">
        <v>74</v>
      </c>
      <c r="R960" t="s">
        <v>74</v>
      </c>
      <c r="S960" t="s">
        <v>74</v>
      </c>
      <c r="T960" t="s">
        <v>74</v>
      </c>
      <c r="U960" t="s">
        <v>17997</v>
      </c>
      <c r="V960" t="s">
        <v>17998</v>
      </c>
      <c r="W960" t="s">
        <v>17999</v>
      </c>
      <c r="X960" t="s">
        <v>18000</v>
      </c>
      <c r="Y960" t="s">
        <v>18001</v>
      </c>
      <c r="Z960" t="s">
        <v>18002</v>
      </c>
      <c r="AA960" t="s">
        <v>18003</v>
      </c>
      <c r="AB960" t="s">
        <v>74</v>
      </c>
      <c r="AC960" t="s">
        <v>18004</v>
      </c>
      <c r="AD960" t="s">
        <v>18005</v>
      </c>
      <c r="AE960" t="s">
        <v>18006</v>
      </c>
      <c r="AF960" t="s">
        <v>74</v>
      </c>
      <c r="AG960">
        <v>96</v>
      </c>
      <c r="AH960">
        <v>18</v>
      </c>
      <c r="AI960">
        <v>22</v>
      </c>
      <c r="AJ960">
        <v>0</v>
      </c>
      <c r="AK960">
        <v>52</v>
      </c>
      <c r="AL960" t="s">
        <v>2486</v>
      </c>
      <c r="AM960" t="s">
        <v>2487</v>
      </c>
      <c r="AN960" t="s">
        <v>2488</v>
      </c>
      <c r="AO960" t="s">
        <v>3243</v>
      </c>
      <c r="AP960" t="s">
        <v>3244</v>
      </c>
      <c r="AQ960" t="s">
        <v>74</v>
      </c>
      <c r="AR960" t="s">
        <v>3245</v>
      </c>
      <c r="AS960" t="s">
        <v>3246</v>
      </c>
      <c r="AT960" t="s">
        <v>17045</v>
      </c>
      <c r="AU960">
        <v>2014</v>
      </c>
      <c r="AV960">
        <v>161</v>
      </c>
      <c r="AW960">
        <v>10</v>
      </c>
      <c r="AX960" t="s">
        <v>74</v>
      </c>
      <c r="AY960" t="s">
        <v>74</v>
      </c>
      <c r="AZ960" t="s">
        <v>74</v>
      </c>
      <c r="BA960" t="s">
        <v>74</v>
      </c>
      <c r="BB960">
        <v>2243</v>
      </c>
      <c r="BC960">
        <v>2255</v>
      </c>
      <c r="BD960" t="s">
        <v>74</v>
      </c>
      <c r="BE960" t="s">
        <v>18007</v>
      </c>
      <c r="BF960" t="str">
        <f>HYPERLINK("http://dx.doi.org/10.1007/s00227-014-2502-y","http://dx.doi.org/10.1007/s00227-014-2502-y")</f>
        <v>http://dx.doi.org/10.1007/s00227-014-2502-y</v>
      </c>
      <c r="BG960" t="s">
        <v>74</v>
      </c>
      <c r="BH960" t="s">
        <v>74</v>
      </c>
      <c r="BI960">
        <v>13</v>
      </c>
      <c r="BJ960" t="s">
        <v>1227</v>
      </c>
      <c r="BK960" t="s">
        <v>91</v>
      </c>
      <c r="BL960" t="s">
        <v>1227</v>
      </c>
      <c r="BM960" t="s">
        <v>18008</v>
      </c>
      <c r="BN960" t="s">
        <v>74</v>
      </c>
      <c r="BO960" t="s">
        <v>74</v>
      </c>
      <c r="BP960" t="s">
        <v>74</v>
      </c>
      <c r="BQ960" t="s">
        <v>74</v>
      </c>
      <c r="BR960" t="s">
        <v>93</v>
      </c>
      <c r="BS960" t="s">
        <v>18009</v>
      </c>
      <c r="BT960" t="str">
        <f>HYPERLINK("https%3A%2F%2Fwww.webofscience.com%2Fwos%2Fwoscc%2Ffull-record%2FWOS:000342415200005","View Full Record in Web of Science")</f>
        <v>View Full Record in Web of Science</v>
      </c>
    </row>
    <row r="961" spans="1:72" x14ac:dyDescent="0.15">
      <c r="A961" t="s">
        <v>72</v>
      </c>
      <c r="B961" t="s">
        <v>18010</v>
      </c>
      <c r="C961" t="s">
        <v>74</v>
      </c>
      <c r="D961" t="s">
        <v>74</v>
      </c>
      <c r="E961" t="s">
        <v>74</v>
      </c>
      <c r="F961" t="s">
        <v>18011</v>
      </c>
      <c r="G961" t="s">
        <v>74</v>
      </c>
      <c r="H961" t="s">
        <v>74</v>
      </c>
      <c r="I961" t="s">
        <v>18012</v>
      </c>
      <c r="J961" t="s">
        <v>3231</v>
      </c>
      <c r="K961" t="s">
        <v>74</v>
      </c>
      <c r="L961" t="s">
        <v>74</v>
      </c>
      <c r="M961" t="s">
        <v>78</v>
      </c>
      <c r="N961" t="s">
        <v>99</v>
      </c>
      <c r="O961" t="s">
        <v>74</v>
      </c>
      <c r="P961" t="s">
        <v>74</v>
      </c>
      <c r="Q961" t="s">
        <v>74</v>
      </c>
      <c r="R961" t="s">
        <v>74</v>
      </c>
      <c r="S961" t="s">
        <v>74</v>
      </c>
      <c r="T961" t="s">
        <v>74</v>
      </c>
      <c r="U961" t="s">
        <v>18013</v>
      </c>
      <c r="V961" t="s">
        <v>18014</v>
      </c>
      <c r="W961" t="s">
        <v>18015</v>
      </c>
      <c r="X961" t="s">
        <v>18016</v>
      </c>
      <c r="Y961" t="s">
        <v>18017</v>
      </c>
      <c r="Z961" t="s">
        <v>18018</v>
      </c>
      <c r="AA961" t="s">
        <v>74</v>
      </c>
      <c r="AB961" t="s">
        <v>74</v>
      </c>
      <c r="AC961" t="s">
        <v>18019</v>
      </c>
      <c r="AD961" t="s">
        <v>18020</v>
      </c>
      <c r="AE961" t="s">
        <v>18021</v>
      </c>
      <c r="AF961" t="s">
        <v>74</v>
      </c>
      <c r="AG961">
        <v>56</v>
      </c>
      <c r="AH961">
        <v>31</v>
      </c>
      <c r="AI961">
        <v>32</v>
      </c>
      <c r="AJ961">
        <v>1</v>
      </c>
      <c r="AK961">
        <v>79</v>
      </c>
      <c r="AL961" t="s">
        <v>2486</v>
      </c>
      <c r="AM961" t="s">
        <v>2487</v>
      </c>
      <c r="AN961" t="s">
        <v>2488</v>
      </c>
      <c r="AO961" t="s">
        <v>3243</v>
      </c>
      <c r="AP961" t="s">
        <v>3244</v>
      </c>
      <c r="AQ961" t="s">
        <v>74</v>
      </c>
      <c r="AR961" t="s">
        <v>3245</v>
      </c>
      <c r="AS961" t="s">
        <v>3246</v>
      </c>
      <c r="AT961" t="s">
        <v>17045</v>
      </c>
      <c r="AU961">
        <v>2014</v>
      </c>
      <c r="AV961">
        <v>161</v>
      </c>
      <c r="AW961">
        <v>10</v>
      </c>
      <c r="AX961" t="s">
        <v>74</v>
      </c>
      <c r="AY961" t="s">
        <v>74</v>
      </c>
      <c r="AZ961" t="s">
        <v>74</v>
      </c>
      <c r="BA961" t="s">
        <v>74</v>
      </c>
      <c r="BB961">
        <v>2293</v>
      </c>
      <c r="BC961">
        <v>2305</v>
      </c>
      <c r="BD961" t="s">
        <v>74</v>
      </c>
      <c r="BE961" t="s">
        <v>18022</v>
      </c>
      <c r="BF961" t="str">
        <f>HYPERLINK("http://dx.doi.org/10.1007/s00227-014-2506-7","http://dx.doi.org/10.1007/s00227-014-2506-7")</f>
        <v>http://dx.doi.org/10.1007/s00227-014-2506-7</v>
      </c>
      <c r="BG961" t="s">
        <v>74</v>
      </c>
      <c r="BH961" t="s">
        <v>74</v>
      </c>
      <c r="BI961">
        <v>13</v>
      </c>
      <c r="BJ961" t="s">
        <v>1227</v>
      </c>
      <c r="BK961" t="s">
        <v>91</v>
      </c>
      <c r="BL961" t="s">
        <v>1227</v>
      </c>
      <c r="BM961" t="s">
        <v>18008</v>
      </c>
      <c r="BN961" t="s">
        <v>74</v>
      </c>
      <c r="BO961" t="s">
        <v>74</v>
      </c>
      <c r="BP961" t="s">
        <v>74</v>
      </c>
      <c r="BQ961" t="s">
        <v>74</v>
      </c>
      <c r="BR961" t="s">
        <v>93</v>
      </c>
      <c r="BS961" t="s">
        <v>18023</v>
      </c>
      <c r="BT961" t="str">
        <f>HYPERLINK("https%3A%2F%2Fwww.webofscience.com%2Fwos%2Fwoscc%2Ffull-record%2FWOS:000342415200009","View Full Record in Web of Science")</f>
        <v>View Full Record in Web of Science</v>
      </c>
    </row>
    <row r="962" spans="1:72" x14ac:dyDescent="0.15">
      <c r="A962" t="s">
        <v>72</v>
      </c>
      <c r="B962" t="s">
        <v>18024</v>
      </c>
      <c r="C962" t="s">
        <v>74</v>
      </c>
      <c r="D962" t="s">
        <v>74</v>
      </c>
      <c r="E962" t="s">
        <v>74</v>
      </c>
      <c r="F962" t="s">
        <v>18025</v>
      </c>
      <c r="G962" t="s">
        <v>74</v>
      </c>
      <c r="H962" t="s">
        <v>74</v>
      </c>
      <c r="I962" t="s">
        <v>18026</v>
      </c>
      <c r="J962" t="s">
        <v>10605</v>
      </c>
      <c r="K962" t="s">
        <v>74</v>
      </c>
      <c r="L962" t="s">
        <v>74</v>
      </c>
      <c r="M962" t="s">
        <v>78</v>
      </c>
      <c r="N962" t="s">
        <v>99</v>
      </c>
      <c r="O962" t="s">
        <v>74</v>
      </c>
      <c r="P962" t="s">
        <v>74</v>
      </c>
      <c r="Q962" t="s">
        <v>74</v>
      </c>
      <c r="R962" t="s">
        <v>74</v>
      </c>
      <c r="S962" t="s">
        <v>74</v>
      </c>
      <c r="T962" t="s">
        <v>74</v>
      </c>
      <c r="U962" t="s">
        <v>18027</v>
      </c>
      <c r="V962" t="s">
        <v>18028</v>
      </c>
      <c r="W962" t="s">
        <v>18029</v>
      </c>
      <c r="X962" t="s">
        <v>18030</v>
      </c>
      <c r="Y962" t="s">
        <v>18031</v>
      </c>
      <c r="Z962" t="s">
        <v>18032</v>
      </c>
      <c r="AA962" t="s">
        <v>18033</v>
      </c>
      <c r="AB962" t="s">
        <v>18034</v>
      </c>
      <c r="AC962" t="s">
        <v>18035</v>
      </c>
      <c r="AD962" t="s">
        <v>10614</v>
      </c>
      <c r="AE962" t="s">
        <v>18036</v>
      </c>
      <c r="AF962" t="s">
        <v>74</v>
      </c>
      <c r="AG962">
        <v>28</v>
      </c>
      <c r="AH962">
        <v>7</v>
      </c>
      <c r="AI962">
        <v>7</v>
      </c>
      <c r="AJ962">
        <v>0</v>
      </c>
      <c r="AK962">
        <v>10</v>
      </c>
      <c r="AL962" t="s">
        <v>1563</v>
      </c>
      <c r="AM962" t="s">
        <v>1564</v>
      </c>
      <c r="AN962" t="s">
        <v>1565</v>
      </c>
      <c r="AO962" t="s">
        <v>10616</v>
      </c>
      <c r="AP962" t="s">
        <v>10617</v>
      </c>
      <c r="AQ962" t="s">
        <v>74</v>
      </c>
      <c r="AR962" t="s">
        <v>10618</v>
      </c>
      <c r="AS962" t="s">
        <v>10619</v>
      </c>
      <c r="AT962" t="s">
        <v>17045</v>
      </c>
      <c r="AU962">
        <v>2014</v>
      </c>
      <c r="AV962">
        <v>142</v>
      </c>
      <c r="AW962">
        <v>10</v>
      </c>
      <c r="AX962" t="s">
        <v>74</v>
      </c>
      <c r="AY962" t="s">
        <v>74</v>
      </c>
      <c r="AZ962" t="s">
        <v>74</v>
      </c>
      <c r="BA962" t="s">
        <v>74</v>
      </c>
      <c r="BB962">
        <v>3847</v>
      </c>
      <c r="BC962">
        <v>3859</v>
      </c>
      <c r="BD962" t="s">
        <v>74</v>
      </c>
      <c r="BE962" t="s">
        <v>18037</v>
      </c>
      <c r="BF962" t="str">
        <f>HYPERLINK("http://dx.doi.org/10.1175/MWR-D-13-00401.1","http://dx.doi.org/10.1175/MWR-D-13-00401.1")</f>
        <v>http://dx.doi.org/10.1175/MWR-D-13-00401.1</v>
      </c>
      <c r="BG962" t="s">
        <v>74</v>
      </c>
      <c r="BH962" t="s">
        <v>74</v>
      </c>
      <c r="BI962">
        <v>13</v>
      </c>
      <c r="BJ962" t="s">
        <v>226</v>
      </c>
      <c r="BK962" t="s">
        <v>91</v>
      </c>
      <c r="BL962" t="s">
        <v>226</v>
      </c>
      <c r="BM962" t="s">
        <v>18038</v>
      </c>
      <c r="BN962" t="s">
        <v>74</v>
      </c>
      <c r="BO962" t="s">
        <v>375</v>
      </c>
      <c r="BP962" t="s">
        <v>74</v>
      </c>
      <c r="BQ962" t="s">
        <v>74</v>
      </c>
      <c r="BR962" t="s">
        <v>93</v>
      </c>
      <c r="BS962" t="s">
        <v>18039</v>
      </c>
      <c r="BT962" t="str">
        <f>HYPERLINK("https%3A%2F%2Fwww.webofscience.com%2Fwos%2Fwoscc%2Ffull-record%2FWOS:000342482400018","View Full Record in Web of Science")</f>
        <v>View Full Record in Web of Science</v>
      </c>
    </row>
    <row r="963" spans="1:72" x14ac:dyDescent="0.15">
      <c r="A963" t="s">
        <v>72</v>
      </c>
      <c r="B963" t="s">
        <v>18040</v>
      </c>
      <c r="C963" t="s">
        <v>74</v>
      </c>
      <c r="D963" t="s">
        <v>74</v>
      </c>
      <c r="E963" t="s">
        <v>74</v>
      </c>
      <c r="F963" t="s">
        <v>18041</v>
      </c>
      <c r="G963" t="s">
        <v>74</v>
      </c>
      <c r="H963" t="s">
        <v>74</v>
      </c>
      <c r="I963" t="s">
        <v>18042</v>
      </c>
      <c r="J963" t="s">
        <v>18043</v>
      </c>
      <c r="K963" t="s">
        <v>74</v>
      </c>
      <c r="L963" t="s">
        <v>74</v>
      </c>
      <c r="M963" t="s">
        <v>78</v>
      </c>
      <c r="N963" t="s">
        <v>99</v>
      </c>
      <c r="O963" t="s">
        <v>74</v>
      </c>
      <c r="P963" t="s">
        <v>74</v>
      </c>
      <c r="Q963" t="s">
        <v>74</v>
      </c>
      <c r="R963" t="s">
        <v>74</v>
      </c>
      <c r="S963" t="s">
        <v>74</v>
      </c>
      <c r="T963" t="s">
        <v>18044</v>
      </c>
      <c r="U963" t="s">
        <v>18045</v>
      </c>
      <c r="V963" t="s">
        <v>18046</v>
      </c>
      <c r="W963" t="s">
        <v>18047</v>
      </c>
      <c r="X963" t="s">
        <v>18048</v>
      </c>
      <c r="Y963" t="s">
        <v>18049</v>
      </c>
      <c r="Z963" t="s">
        <v>18050</v>
      </c>
      <c r="AA963" t="s">
        <v>18051</v>
      </c>
      <c r="AB963" t="s">
        <v>18052</v>
      </c>
      <c r="AC963" t="s">
        <v>18053</v>
      </c>
      <c r="AD963" t="s">
        <v>18054</v>
      </c>
      <c r="AE963" t="s">
        <v>18055</v>
      </c>
      <c r="AF963" t="s">
        <v>74</v>
      </c>
      <c r="AG963">
        <v>27</v>
      </c>
      <c r="AH963">
        <v>10</v>
      </c>
      <c r="AI963">
        <v>13</v>
      </c>
      <c r="AJ963">
        <v>0</v>
      </c>
      <c r="AK963">
        <v>5</v>
      </c>
      <c r="AL963" t="s">
        <v>5143</v>
      </c>
      <c r="AM963" t="s">
        <v>315</v>
      </c>
      <c r="AN963" t="s">
        <v>316</v>
      </c>
      <c r="AO963" t="s">
        <v>18056</v>
      </c>
      <c r="AP963" t="s">
        <v>18057</v>
      </c>
      <c r="AQ963" t="s">
        <v>74</v>
      </c>
      <c r="AR963" t="s">
        <v>18058</v>
      </c>
      <c r="AS963" t="s">
        <v>18059</v>
      </c>
      <c r="AT963" t="s">
        <v>17045</v>
      </c>
      <c r="AU963">
        <v>2014</v>
      </c>
      <c r="AV963">
        <v>59</v>
      </c>
      <c r="AW963">
        <v>4</v>
      </c>
      <c r="AX963" t="s">
        <v>74</v>
      </c>
      <c r="AY963" t="s">
        <v>74</v>
      </c>
      <c r="AZ963" t="s">
        <v>74</v>
      </c>
      <c r="BA963" t="s">
        <v>74</v>
      </c>
      <c r="BB963">
        <v>767</v>
      </c>
      <c r="BC963">
        <v>772</v>
      </c>
      <c r="BD963" t="s">
        <v>74</v>
      </c>
      <c r="BE963" t="s">
        <v>18060</v>
      </c>
      <c r="BF963" t="str">
        <f>HYPERLINK("http://dx.doi.org/10.2478/s11686-014-0301-8","http://dx.doi.org/10.2478/s11686-014-0301-8")</f>
        <v>http://dx.doi.org/10.2478/s11686-014-0301-8</v>
      </c>
      <c r="BG963" t="s">
        <v>74</v>
      </c>
      <c r="BH963" t="s">
        <v>74</v>
      </c>
      <c r="BI963">
        <v>6</v>
      </c>
      <c r="BJ963" t="s">
        <v>18061</v>
      </c>
      <c r="BK963" t="s">
        <v>91</v>
      </c>
      <c r="BL963" t="s">
        <v>18061</v>
      </c>
      <c r="BM963" t="s">
        <v>18062</v>
      </c>
      <c r="BN963">
        <v>25236291</v>
      </c>
      <c r="BO963" t="s">
        <v>134</v>
      </c>
      <c r="BP963" t="s">
        <v>74</v>
      </c>
      <c r="BQ963" t="s">
        <v>74</v>
      </c>
      <c r="BR963" t="s">
        <v>93</v>
      </c>
      <c r="BS963" t="s">
        <v>18063</v>
      </c>
      <c r="BT963" t="str">
        <f>HYPERLINK("https%3A%2F%2Fwww.webofscience.com%2Fwos%2Fwoscc%2Ffull-record%2FWOS:000342437400030","View Full Record in Web of Science")</f>
        <v>View Full Record in Web of Science</v>
      </c>
    </row>
    <row r="964" spans="1:72" x14ac:dyDescent="0.15">
      <c r="A964" t="s">
        <v>72</v>
      </c>
      <c r="B964" t="s">
        <v>18064</v>
      </c>
      <c r="C964" t="s">
        <v>74</v>
      </c>
      <c r="D964" t="s">
        <v>74</v>
      </c>
      <c r="E964" t="s">
        <v>74</v>
      </c>
      <c r="F964" t="s">
        <v>18065</v>
      </c>
      <c r="G964" t="s">
        <v>74</v>
      </c>
      <c r="H964" t="s">
        <v>74</v>
      </c>
      <c r="I964" t="s">
        <v>18066</v>
      </c>
      <c r="J964" t="s">
        <v>2749</v>
      </c>
      <c r="K964" t="s">
        <v>74</v>
      </c>
      <c r="L964" t="s">
        <v>74</v>
      </c>
      <c r="M964" t="s">
        <v>78</v>
      </c>
      <c r="N964" t="s">
        <v>99</v>
      </c>
      <c r="O964" t="s">
        <v>74</v>
      </c>
      <c r="P964" t="s">
        <v>74</v>
      </c>
      <c r="Q964" t="s">
        <v>74</v>
      </c>
      <c r="R964" t="s">
        <v>74</v>
      </c>
      <c r="S964" t="s">
        <v>74</v>
      </c>
      <c r="T964" t="s">
        <v>18067</v>
      </c>
      <c r="U964" t="s">
        <v>18068</v>
      </c>
      <c r="V964" t="s">
        <v>18069</v>
      </c>
      <c r="W964" t="s">
        <v>18070</v>
      </c>
      <c r="X964" t="s">
        <v>10261</v>
      </c>
      <c r="Y964" t="s">
        <v>18071</v>
      </c>
      <c r="Z964" t="s">
        <v>18072</v>
      </c>
      <c r="AA964" t="s">
        <v>18073</v>
      </c>
      <c r="AB964" t="s">
        <v>18074</v>
      </c>
      <c r="AC964" t="s">
        <v>74</v>
      </c>
      <c r="AD964" t="s">
        <v>74</v>
      </c>
      <c r="AE964" t="s">
        <v>74</v>
      </c>
      <c r="AF964" t="s">
        <v>74</v>
      </c>
      <c r="AG964">
        <v>32</v>
      </c>
      <c r="AH964">
        <v>3</v>
      </c>
      <c r="AI964">
        <v>5</v>
      </c>
      <c r="AJ964">
        <v>5</v>
      </c>
      <c r="AK964">
        <v>31</v>
      </c>
      <c r="AL964" t="s">
        <v>2666</v>
      </c>
      <c r="AM964" t="s">
        <v>342</v>
      </c>
      <c r="AN964" t="s">
        <v>2667</v>
      </c>
      <c r="AO964" t="s">
        <v>2762</v>
      </c>
      <c r="AP964" t="s">
        <v>2763</v>
      </c>
      <c r="AQ964" t="s">
        <v>74</v>
      </c>
      <c r="AR964" t="s">
        <v>2764</v>
      </c>
      <c r="AS964" t="s">
        <v>2765</v>
      </c>
      <c r="AT964" t="s">
        <v>17045</v>
      </c>
      <c r="AU964">
        <v>2014</v>
      </c>
      <c r="AV964">
        <v>43</v>
      </c>
      <c r="AW964" t="s">
        <v>18075</v>
      </c>
      <c r="AX964" t="s">
        <v>74</v>
      </c>
      <c r="AY964" t="s">
        <v>74</v>
      </c>
      <c r="AZ964" t="s">
        <v>74</v>
      </c>
      <c r="BA964" t="s">
        <v>74</v>
      </c>
      <c r="BB964">
        <v>1965</v>
      </c>
      <c r="BC964">
        <v>1972</v>
      </c>
      <c r="BD964" t="s">
        <v>74</v>
      </c>
      <c r="BE964" t="s">
        <v>18076</v>
      </c>
      <c r="BF964" t="str">
        <f>HYPERLINK("http://dx.doi.org/10.1007/s00382-013-2020-5","http://dx.doi.org/10.1007/s00382-013-2020-5")</f>
        <v>http://dx.doi.org/10.1007/s00382-013-2020-5</v>
      </c>
      <c r="BG964" t="s">
        <v>74</v>
      </c>
      <c r="BH964" t="s">
        <v>74</v>
      </c>
      <c r="BI964">
        <v>8</v>
      </c>
      <c r="BJ964" t="s">
        <v>226</v>
      </c>
      <c r="BK964" t="s">
        <v>91</v>
      </c>
      <c r="BL964" t="s">
        <v>226</v>
      </c>
      <c r="BM964" t="s">
        <v>18077</v>
      </c>
      <c r="BN964" t="s">
        <v>74</v>
      </c>
      <c r="BO964" t="s">
        <v>74</v>
      </c>
      <c r="BP964" t="s">
        <v>74</v>
      </c>
      <c r="BQ964" t="s">
        <v>74</v>
      </c>
      <c r="BR964" t="s">
        <v>93</v>
      </c>
      <c r="BS964" t="s">
        <v>18078</v>
      </c>
      <c r="BT964" t="str">
        <f>HYPERLINK("https%3A%2F%2Fwww.webofscience.com%2Fwos%2Fwoscc%2Ffull-record%2FWOS:000342493600015","View Full Record in Web of Science")</f>
        <v>View Full Record in Web of Science</v>
      </c>
    </row>
    <row r="965" spans="1:72" x14ac:dyDescent="0.15">
      <c r="A965" t="s">
        <v>72</v>
      </c>
      <c r="B965" t="s">
        <v>18079</v>
      </c>
      <c r="C965" t="s">
        <v>74</v>
      </c>
      <c r="D965" t="s">
        <v>74</v>
      </c>
      <c r="E965" t="s">
        <v>74</v>
      </c>
      <c r="F965" t="s">
        <v>18080</v>
      </c>
      <c r="G965" t="s">
        <v>74</v>
      </c>
      <c r="H965" t="s">
        <v>74</v>
      </c>
      <c r="I965" t="s">
        <v>18081</v>
      </c>
      <c r="J965" t="s">
        <v>18082</v>
      </c>
      <c r="K965" t="s">
        <v>74</v>
      </c>
      <c r="L965" t="s">
        <v>74</v>
      </c>
      <c r="M965" t="s">
        <v>78</v>
      </c>
      <c r="N965" t="s">
        <v>99</v>
      </c>
      <c r="O965" t="s">
        <v>74</v>
      </c>
      <c r="P965" t="s">
        <v>74</v>
      </c>
      <c r="Q965" t="s">
        <v>74</v>
      </c>
      <c r="R965" t="s">
        <v>74</v>
      </c>
      <c r="S965" t="s">
        <v>74</v>
      </c>
      <c r="T965" t="s">
        <v>18083</v>
      </c>
      <c r="U965" t="s">
        <v>18084</v>
      </c>
      <c r="V965" t="s">
        <v>18085</v>
      </c>
      <c r="W965" t="s">
        <v>18086</v>
      </c>
      <c r="X965" t="s">
        <v>18087</v>
      </c>
      <c r="Y965" t="s">
        <v>18088</v>
      </c>
      <c r="Z965" t="s">
        <v>18089</v>
      </c>
      <c r="AA965" t="s">
        <v>18090</v>
      </c>
      <c r="AB965" t="s">
        <v>18091</v>
      </c>
      <c r="AC965" t="s">
        <v>18092</v>
      </c>
      <c r="AD965" t="s">
        <v>18093</v>
      </c>
      <c r="AE965" t="s">
        <v>18094</v>
      </c>
      <c r="AF965" t="s">
        <v>74</v>
      </c>
      <c r="AG965">
        <v>52</v>
      </c>
      <c r="AH965">
        <v>45</v>
      </c>
      <c r="AI965">
        <v>49</v>
      </c>
      <c r="AJ965">
        <v>0</v>
      </c>
      <c r="AK965">
        <v>61</v>
      </c>
      <c r="AL965" t="s">
        <v>1895</v>
      </c>
      <c r="AM965" t="s">
        <v>1411</v>
      </c>
      <c r="AN965" t="s">
        <v>1896</v>
      </c>
      <c r="AO965" t="s">
        <v>18095</v>
      </c>
      <c r="AP965" t="s">
        <v>18096</v>
      </c>
      <c r="AQ965" t="s">
        <v>74</v>
      </c>
      <c r="AR965" t="s">
        <v>18097</v>
      </c>
      <c r="AS965" t="s">
        <v>18098</v>
      </c>
      <c r="AT965" t="s">
        <v>17045</v>
      </c>
      <c r="AU965">
        <v>2014</v>
      </c>
      <c r="AV965">
        <v>60</v>
      </c>
      <c r="AW965">
        <v>5</v>
      </c>
      <c r="AX965" t="s">
        <v>74</v>
      </c>
      <c r="AY965" t="s">
        <v>74</v>
      </c>
      <c r="AZ965" t="s">
        <v>74</v>
      </c>
      <c r="BA965" t="s">
        <v>74</v>
      </c>
      <c r="BB965">
        <v>631</v>
      </c>
      <c r="BC965">
        <v>641</v>
      </c>
      <c r="BD965" t="s">
        <v>74</v>
      </c>
      <c r="BE965" t="s">
        <v>18099</v>
      </c>
      <c r="BF965" t="str">
        <f>HYPERLINK("http://dx.doi.org/10.1093/czoolo/60.5.631","http://dx.doi.org/10.1093/czoolo/60.5.631")</f>
        <v>http://dx.doi.org/10.1093/czoolo/60.5.631</v>
      </c>
      <c r="BG965" t="s">
        <v>74</v>
      </c>
      <c r="BH965" t="s">
        <v>74</v>
      </c>
      <c r="BI965">
        <v>11</v>
      </c>
      <c r="BJ965" t="s">
        <v>423</v>
      </c>
      <c r="BK965" t="s">
        <v>91</v>
      </c>
      <c r="BL965" t="s">
        <v>423</v>
      </c>
      <c r="BM965" t="s">
        <v>18100</v>
      </c>
      <c r="BN965" t="s">
        <v>74</v>
      </c>
      <c r="BO965" t="s">
        <v>228</v>
      </c>
      <c r="BP965" t="s">
        <v>74</v>
      </c>
      <c r="BQ965" t="s">
        <v>74</v>
      </c>
      <c r="BR965" t="s">
        <v>93</v>
      </c>
      <c r="BS965" t="s">
        <v>18101</v>
      </c>
      <c r="BT965" t="str">
        <f>HYPERLINK("https%3A%2F%2Fwww.webofscience.com%2Fwos%2Fwoscc%2Ffull-record%2FWOS:000342355500009","View Full Record in Web of Science")</f>
        <v>View Full Record in Web of Science</v>
      </c>
    </row>
    <row r="966" spans="1:72" x14ac:dyDescent="0.15">
      <c r="A966" t="s">
        <v>72</v>
      </c>
      <c r="B966" t="s">
        <v>18102</v>
      </c>
      <c r="C966" t="s">
        <v>74</v>
      </c>
      <c r="D966" t="s">
        <v>74</v>
      </c>
      <c r="E966" t="s">
        <v>74</v>
      </c>
      <c r="F966" t="s">
        <v>18103</v>
      </c>
      <c r="G966" t="s">
        <v>74</v>
      </c>
      <c r="H966" t="s">
        <v>74</v>
      </c>
      <c r="I966" t="s">
        <v>18104</v>
      </c>
      <c r="J966" t="s">
        <v>2773</v>
      </c>
      <c r="K966" t="s">
        <v>74</v>
      </c>
      <c r="L966" t="s">
        <v>74</v>
      </c>
      <c r="M966" t="s">
        <v>78</v>
      </c>
      <c r="N966" t="s">
        <v>99</v>
      </c>
      <c r="O966" t="s">
        <v>74</v>
      </c>
      <c r="P966" t="s">
        <v>74</v>
      </c>
      <c r="Q966" t="s">
        <v>74</v>
      </c>
      <c r="R966" t="s">
        <v>74</v>
      </c>
      <c r="S966" t="s">
        <v>74</v>
      </c>
      <c r="T966" t="s">
        <v>18105</v>
      </c>
      <c r="U966" t="s">
        <v>18106</v>
      </c>
      <c r="V966" t="s">
        <v>18107</v>
      </c>
      <c r="W966" t="s">
        <v>18108</v>
      </c>
      <c r="X966" t="s">
        <v>18109</v>
      </c>
      <c r="Y966" t="s">
        <v>18110</v>
      </c>
      <c r="Z966" t="s">
        <v>74</v>
      </c>
      <c r="AA966" t="s">
        <v>18111</v>
      </c>
      <c r="AB966" t="s">
        <v>18112</v>
      </c>
      <c r="AC966" t="s">
        <v>18113</v>
      </c>
      <c r="AD966" t="s">
        <v>18114</v>
      </c>
      <c r="AE966" t="s">
        <v>18115</v>
      </c>
      <c r="AF966" t="s">
        <v>74</v>
      </c>
      <c r="AG966">
        <v>73</v>
      </c>
      <c r="AH966">
        <v>17</v>
      </c>
      <c r="AI966">
        <v>17</v>
      </c>
      <c r="AJ966">
        <v>0</v>
      </c>
      <c r="AK966">
        <v>15</v>
      </c>
      <c r="AL966" t="s">
        <v>1175</v>
      </c>
      <c r="AM966" t="s">
        <v>1176</v>
      </c>
      <c r="AN966" t="s">
        <v>2938</v>
      </c>
      <c r="AO966" t="s">
        <v>2786</v>
      </c>
      <c r="AP966" t="s">
        <v>2787</v>
      </c>
      <c r="AQ966" t="s">
        <v>74</v>
      </c>
      <c r="AR966" t="s">
        <v>2788</v>
      </c>
      <c r="AS966" t="s">
        <v>2789</v>
      </c>
      <c r="AT966" t="s">
        <v>18116</v>
      </c>
      <c r="AU966">
        <v>2014</v>
      </c>
      <c r="AV966">
        <v>403</v>
      </c>
      <c r="AW966" t="s">
        <v>74</v>
      </c>
      <c r="AX966" t="s">
        <v>74</v>
      </c>
      <c r="AY966" t="s">
        <v>74</v>
      </c>
      <c r="AZ966" t="s">
        <v>74</v>
      </c>
      <c r="BA966" t="s">
        <v>74</v>
      </c>
      <c r="BB966">
        <v>56</v>
      </c>
      <c r="BC966">
        <v>66</v>
      </c>
      <c r="BD966" t="s">
        <v>74</v>
      </c>
      <c r="BE966" t="s">
        <v>18117</v>
      </c>
      <c r="BF966" t="str">
        <f>HYPERLINK("http://dx.doi.org/10.1016/j.epsl.2014.06.033","http://dx.doi.org/10.1016/j.epsl.2014.06.033")</f>
        <v>http://dx.doi.org/10.1016/j.epsl.2014.06.033</v>
      </c>
      <c r="BG966" t="s">
        <v>74</v>
      </c>
      <c r="BH966" t="s">
        <v>74</v>
      </c>
      <c r="BI966">
        <v>11</v>
      </c>
      <c r="BJ966" t="s">
        <v>1902</v>
      </c>
      <c r="BK966" t="s">
        <v>91</v>
      </c>
      <c r="BL966" t="s">
        <v>1902</v>
      </c>
      <c r="BM966" t="s">
        <v>18118</v>
      </c>
      <c r="BN966" t="s">
        <v>74</v>
      </c>
      <c r="BO966" t="s">
        <v>74</v>
      </c>
      <c r="BP966" t="s">
        <v>74</v>
      </c>
      <c r="BQ966" t="s">
        <v>74</v>
      </c>
      <c r="BR966" t="s">
        <v>93</v>
      </c>
      <c r="BS966" t="s">
        <v>18119</v>
      </c>
      <c r="BT966" t="str">
        <f>HYPERLINK("https%3A%2F%2Fwww.webofscience.com%2Fwos%2Fwoscc%2Ffull-record%2FWOS:000342247100006","View Full Record in Web of Science")</f>
        <v>View Full Record in Web of Science</v>
      </c>
    </row>
    <row r="967" spans="1:72" x14ac:dyDescent="0.15">
      <c r="A967" t="s">
        <v>72</v>
      </c>
      <c r="B967" t="s">
        <v>18120</v>
      </c>
      <c r="C967" t="s">
        <v>74</v>
      </c>
      <c r="D967" t="s">
        <v>74</v>
      </c>
      <c r="E967" t="s">
        <v>74</v>
      </c>
      <c r="F967" t="s">
        <v>18121</v>
      </c>
      <c r="G967" t="s">
        <v>74</v>
      </c>
      <c r="H967" t="s">
        <v>74</v>
      </c>
      <c r="I967" t="s">
        <v>18122</v>
      </c>
      <c r="J967" t="s">
        <v>2900</v>
      </c>
      <c r="K967" t="s">
        <v>74</v>
      </c>
      <c r="L967" t="s">
        <v>74</v>
      </c>
      <c r="M967" t="s">
        <v>78</v>
      </c>
      <c r="N967" t="s">
        <v>99</v>
      </c>
      <c r="O967" t="s">
        <v>74</v>
      </c>
      <c r="P967" t="s">
        <v>74</v>
      </c>
      <c r="Q967" t="s">
        <v>74</v>
      </c>
      <c r="R967" t="s">
        <v>74</v>
      </c>
      <c r="S967" t="s">
        <v>74</v>
      </c>
      <c r="T967" t="s">
        <v>18123</v>
      </c>
      <c r="U967" t="s">
        <v>18124</v>
      </c>
      <c r="V967" t="s">
        <v>18125</v>
      </c>
      <c r="W967" t="s">
        <v>18126</v>
      </c>
      <c r="X967" t="s">
        <v>18127</v>
      </c>
      <c r="Y967" t="s">
        <v>18128</v>
      </c>
      <c r="Z967" t="s">
        <v>18129</v>
      </c>
      <c r="AA967" t="s">
        <v>18130</v>
      </c>
      <c r="AB967" t="s">
        <v>18131</v>
      </c>
      <c r="AC967" t="s">
        <v>18132</v>
      </c>
      <c r="AD967" t="s">
        <v>18133</v>
      </c>
      <c r="AE967" t="s">
        <v>18134</v>
      </c>
      <c r="AF967" t="s">
        <v>74</v>
      </c>
      <c r="AG967">
        <v>47</v>
      </c>
      <c r="AH967">
        <v>48</v>
      </c>
      <c r="AI967">
        <v>63</v>
      </c>
      <c r="AJ967">
        <v>3</v>
      </c>
      <c r="AK967">
        <v>72</v>
      </c>
      <c r="AL967" t="s">
        <v>1175</v>
      </c>
      <c r="AM967" t="s">
        <v>1176</v>
      </c>
      <c r="AN967" t="s">
        <v>2938</v>
      </c>
      <c r="AO967" t="s">
        <v>2913</v>
      </c>
      <c r="AP967" t="s">
        <v>2914</v>
      </c>
      <c r="AQ967" t="s">
        <v>74</v>
      </c>
      <c r="AR967" t="s">
        <v>2915</v>
      </c>
      <c r="AS967" t="s">
        <v>2916</v>
      </c>
      <c r="AT967" t="s">
        <v>18116</v>
      </c>
      <c r="AU967">
        <v>2014</v>
      </c>
      <c r="AV967">
        <v>411</v>
      </c>
      <c r="AW967" t="s">
        <v>74</v>
      </c>
      <c r="AX967" t="s">
        <v>74</v>
      </c>
      <c r="AY967" t="s">
        <v>74</v>
      </c>
      <c r="AZ967" t="s">
        <v>74</v>
      </c>
      <c r="BA967" t="s">
        <v>74</v>
      </c>
      <c r="BB967">
        <v>18</v>
      </c>
      <c r="BC967">
        <v>29</v>
      </c>
      <c r="BD967" t="s">
        <v>74</v>
      </c>
      <c r="BE967" t="s">
        <v>18135</v>
      </c>
      <c r="BF967" t="str">
        <f>HYPERLINK("http://dx.doi.org/10.1016/j.palaeo.2014.06.031","http://dx.doi.org/10.1016/j.palaeo.2014.06.031")</f>
        <v>http://dx.doi.org/10.1016/j.palaeo.2014.06.031</v>
      </c>
      <c r="BG967" t="s">
        <v>74</v>
      </c>
      <c r="BH967" t="s">
        <v>74</v>
      </c>
      <c r="BI967">
        <v>12</v>
      </c>
      <c r="BJ967" t="s">
        <v>2918</v>
      </c>
      <c r="BK967" t="s">
        <v>91</v>
      </c>
      <c r="BL967" t="s">
        <v>2919</v>
      </c>
      <c r="BM967" t="s">
        <v>18136</v>
      </c>
      <c r="BN967" t="s">
        <v>74</v>
      </c>
      <c r="BO967" t="s">
        <v>74</v>
      </c>
      <c r="BP967" t="s">
        <v>74</v>
      </c>
      <c r="BQ967" t="s">
        <v>74</v>
      </c>
      <c r="BR967" t="s">
        <v>93</v>
      </c>
      <c r="BS967" t="s">
        <v>18137</v>
      </c>
      <c r="BT967" t="str">
        <f>HYPERLINK("https%3A%2F%2Fwww.webofscience.com%2Fwos%2Fwoscc%2Ffull-record%2FWOS:000342269200002","View Full Record in Web of Science")</f>
        <v>View Full Record in Web of Science</v>
      </c>
    </row>
    <row r="968" spans="1:72" x14ac:dyDescent="0.15">
      <c r="A968" t="s">
        <v>72</v>
      </c>
      <c r="B968" t="s">
        <v>18138</v>
      </c>
      <c r="C968" t="s">
        <v>74</v>
      </c>
      <c r="D968" t="s">
        <v>74</v>
      </c>
      <c r="E968" t="s">
        <v>74</v>
      </c>
      <c r="F968" t="s">
        <v>18139</v>
      </c>
      <c r="G968" t="s">
        <v>74</v>
      </c>
      <c r="H968" t="s">
        <v>74</v>
      </c>
      <c r="I968" t="s">
        <v>18140</v>
      </c>
      <c r="J968" t="s">
        <v>18141</v>
      </c>
      <c r="K968" t="s">
        <v>74</v>
      </c>
      <c r="L968" t="s">
        <v>74</v>
      </c>
      <c r="M968" t="s">
        <v>78</v>
      </c>
      <c r="N968" t="s">
        <v>99</v>
      </c>
      <c r="O968" t="s">
        <v>74</v>
      </c>
      <c r="P968" t="s">
        <v>74</v>
      </c>
      <c r="Q968" t="s">
        <v>74</v>
      </c>
      <c r="R968" t="s">
        <v>74</v>
      </c>
      <c r="S968" t="s">
        <v>74</v>
      </c>
      <c r="T968" t="s">
        <v>18142</v>
      </c>
      <c r="U968" t="s">
        <v>18143</v>
      </c>
      <c r="V968" t="s">
        <v>18144</v>
      </c>
      <c r="W968" t="s">
        <v>18145</v>
      </c>
      <c r="X968" t="s">
        <v>18146</v>
      </c>
      <c r="Y968" t="s">
        <v>18147</v>
      </c>
      <c r="Z968" t="s">
        <v>18148</v>
      </c>
      <c r="AA968" t="s">
        <v>18149</v>
      </c>
      <c r="AB968" t="s">
        <v>18150</v>
      </c>
      <c r="AC968" t="s">
        <v>18151</v>
      </c>
      <c r="AD968" t="s">
        <v>18152</v>
      </c>
      <c r="AE968" t="s">
        <v>18153</v>
      </c>
      <c r="AF968" t="s">
        <v>74</v>
      </c>
      <c r="AG968">
        <v>60</v>
      </c>
      <c r="AH968">
        <v>19</v>
      </c>
      <c r="AI968">
        <v>21</v>
      </c>
      <c r="AJ968">
        <v>1</v>
      </c>
      <c r="AK968">
        <v>47</v>
      </c>
      <c r="AL968" t="s">
        <v>2666</v>
      </c>
      <c r="AM968" t="s">
        <v>6414</v>
      </c>
      <c r="AN968" t="s">
        <v>6415</v>
      </c>
      <c r="AO968" t="s">
        <v>18154</v>
      </c>
      <c r="AP968" t="s">
        <v>18155</v>
      </c>
      <c r="AQ968" t="s">
        <v>74</v>
      </c>
      <c r="AR968" t="s">
        <v>18141</v>
      </c>
      <c r="AS968" t="s">
        <v>18156</v>
      </c>
      <c r="AT968" t="s">
        <v>17045</v>
      </c>
      <c r="AU968">
        <v>2014</v>
      </c>
      <c r="AV968">
        <v>23</v>
      </c>
      <c r="AW968">
        <v>8</v>
      </c>
      <c r="AX968" t="s">
        <v>74</v>
      </c>
      <c r="AY968" t="s">
        <v>74</v>
      </c>
      <c r="AZ968" t="s">
        <v>74</v>
      </c>
      <c r="BA968" t="s">
        <v>74</v>
      </c>
      <c r="BB968">
        <v>1494</v>
      </c>
      <c r="BC968">
        <v>1504</v>
      </c>
      <c r="BD968" t="s">
        <v>74</v>
      </c>
      <c r="BE968" t="s">
        <v>18157</v>
      </c>
      <c r="BF968" t="str">
        <f>HYPERLINK("http://dx.doi.org/10.1007/s10646-014-1291-x","http://dx.doi.org/10.1007/s10646-014-1291-x")</f>
        <v>http://dx.doi.org/10.1007/s10646-014-1291-x</v>
      </c>
      <c r="BG968" t="s">
        <v>74</v>
      </c>
      <c r="BH968" t="s">
        <v>74</v>
      </c>
      <c r="BI968">
        <v>11</v>
      </c>
      <c r="BJ968" t="s">
        <v>18158</v>
      </c>
      <c r="BK968" t="s">
        <v>91</v>
      </c>
      <c r="BL968" t="s">
        <v>14898</v>
      </c>
      <c r="BM968" t="s">
        <v>18159</v>
      </c>
      <c r="BN968">
        <v>25085270</v>
      </c>
      <c r="BO968" t="s">
        <v>74</v>
      </c>
      <c r="BP968" t="s">
        <v>74</v>
      </c>
      <c r="BQ968" t="s">
        <v>74</v>
      </c>
      <c r="BR968" t="s">
        <v>93</v>
      </c>
      <c r="BS968" t="s">
        <v>18160</v>
      </c>
      <c r="BT968" t="str">
        <f>HYPERLINK("https%3A%2F%2Fwww.webofscience.com%2Fwos%2Fwoscc%2Ffull-record%2FWOS:000342210700013","View Full Record in Web of Science")</f>
        <v>View Full Record in Web of Science</v>
      </c>
    </row>
    <row r="969" spans="1:72" x14ac:dyDescent="0.15">
      <c r="A969" t="s">
        <v>72</v>
      </c>
      <c r="B969" t="s">
        <v>18161</v>
      </c>
      <c r="C969" t="s">
        <v>74</v>
      </c>
      <c r="D969" t="s">
        <v>74</v>
      </c>
      <c r="E969" t="s">
        <v>74</v>
      </c>
      <c r="F969" t="s">
        <v>18162</v>
      </c>
      <c r="G969" t="s">
        <v>74</v>
      </c>
      <c r="H969" t="s">
        <v>74</v>
      </c>
      <c r="I969" t="s">
        <v>18163</v>
      </c>
      <c r="J969" t="s">
        <v>6436</v>
      </c>
      <c r="K969" t="s">
        <v>74</v>
      </c>
      <c r="L969" t="s">
        <v>74</v>
      </c>
      <c r="M969" t="s">
        <v>78</v>
      </c>
      <c r="N969" t="s">
        <v>99</v>
      </c>
      <c r="O969" t="s">
        <v>74</v>
      </c>
      <c r="P969" t="s">
        <v>74</v>
      </c>
      <c r="Q969" t="s">
        <v>74</v>
      </c>
      <c r="R969" t="s">
        <v>74</v>
      </c>
      <c r="S969" t="s">
        <v>74</v>
      </c>
      <c r="T969" t="s">
        <v>18164</v>
      </c>
      <c r="U969" t="s">
        <v>18165</v>
      </c>
      <c r="V969" t="s">
        <v>18166</v>
      </c>
      <c r="W969" t="s">
        <v>18167</v>
      </c>
      <c r="X969" t="s">
        <v>18168</v>
      </c>
      <c r="Y969" t="s">
        <v>18169</v>
      </c>
      <c r="Z969" t="s">
        <v>18170</v>
      </c>
      <c r="AA969" t="s">
        <v>74</v>
      </c>
      <c r="AB969" t="s">
        <v>18171</v>
      </c>
      <c r="AC969" t="s">
        <v>18172</v>
      </c>
      <c r="AD969" t="s">
        <v>18172</v>
      </c>
      <c r="AE969" t="s">
        <v>18173</v>
      </c>
      <c r="AF969" t="s">
        <v>74</v>
      </c>
      <c r="AG969">
        <v>72</v>
      </c>
      <c r="AH969">
        <v>8</v>
      </c>
      <c r="AI969">
        <v>8</v>
      </c>
      <c r="AJ969">
        <v>2</v>
      </c>
      <c r="AK969">
        <v>44</v>
      </c>
      <c r="AL969" t="s">
        <v>2006</v>
      </c>
      <c r="AM969" t="s">
        <v>2007</v>
      </c>
      <c r="AN969" t="s">
        <v>2008</v>
      </c>
      <c r="AO969" t="s">
        <v>6448</v>
      </c>
      <c r="AP969" t="s">
        <v>6449</v>
      </c>
      <c r="AQ969" t="s">
        <v>74</v>
      </c>
      <c r="AR969" t="s">
        <v>6436</v>
      </c>
      <c r="AS969" t="s">
        <v>6450</v>
      </c>
      <c r="AT969" t="s">
        <v>17045</v>
      </c>
      <c r="AU969">
        <v>2014</v>
      </c>
      <c r="AV969">
        <v>156</v>
      </c>
      <c r="AW969">
        <v>4</v>
      </c>
      <c r="AX969" t="s">
        <v>74</v>
      </c>
      <c r="AY969" t="s">
        <v>74</v>
      </c>
      <c r="AZ969" t="s">
        <v>74</v>
      </c>
      <c r="BA969" t="s">
        <v>74</v>
      </c>
      <c r="BB969">
        <v>826</v>
      </c>
      <c r="BC969">
        <v>839</v>
      </c>
      <c r="BD969" t="s">
        <v>74</v>
      </c>
      <c r="BE969" t="s">
        <v>18174</v>
      </c>
      <c r="BF969" t="str">
        <f>HYPERLINK("http://dx.doi.org/10.1111/ibi.12182","http://dx.doi.org/10.1111/ibi.12182")</f>
        <v>http://dx.doi.org/10.1111/ibi.12182</v>
      </c>
      <c r="BG969" t="s">
        <v>74</v>
      </c>
      <c r="BH969" t="s">
        <v>74</v>
      </c>
      <c r="BI969">
        <v>14</v>
      </c>
      <c r="BJ969" t="s">
        <v>422</v>
      </c>
      <c r="BK969" t="s">
        <v>91</v>
      </c>
      <c r="BL969" t="s">
        <v>423</v>
      </c>
      <c r="BM969" t="s">
        <v>18175</v>
      </c>
      <c r="BN969" t="s">
        <v>74</v>
      </c>
      <c r="BO969" t="s">
        <v>74</v>
      </c>
      <c r="BP969" t="s">
        <v>74</v>
      </c>
      <c r="BQ969" t="s">
        <v>74</v>
      </c>
      <c r="BR969" t="s">
        <v>93</v>
      </c>
      <c r="BS969" t="s">
        <v>18176</v>
      </c>
      <c r="BT969" t="str">
        <f>HYPERLINK("https%3A%2F%2Fwww.webofscience.com%2Fwos%2Fwoscc%2Ffull-record%2FWOS:000341885300011","View Full Record in Web of Science")</f>
        <v>View Full Record in Web of Science</v>
      </c>
    </row>
    <row r="970" spans="1:72" x14ac:dyDescent="0.15">
      <c r="A970" t="s">
        <v>72</v>
      </c>
      <c r="B970" t="s">
        <v>18177</v>
      </c>
      <c r="C970" t="s">
        <v>74</v>
      </c>
      <c r="D970" t="s">
        <v>74</v>
      </c>
      <c r="E970" t="s">
        <v>74</v>
      </c>
      <c r="F970" t="s">
        <v>18178</v>
      </c>
      <c r="G970" t="s">
        <v>74</v>
      </c>
      <c r="H970" t="s">
        <v>74</v>
      </c>
      <c r="I970" t="s">
        <v>18179</v>
      </c>
      <c r="J970" t="s">
        <v>11121</v>
      </c>
      <c r="K970" t="s">
        <v>74</v>
      </c>
      <c r="L970" t="s">
        <v>74</v>
      </c>
      <c r="M970" t="s">
        <v>78</v>
      </c>
      <c r="N970" t="s">
        <v>99</v>
      </c>
      <c r="O970" t="s">
        <v>74</v>
      </c>
      <c r="P970" t="s">
        <v>74</v>
      </c>
      <c r="Q970" t="s">
        <v>74</v>
      </c>
      <c r="R970" t="s">
        <v>74</v>
      </c>
      <c r="S970" t="s">
        <v>74</v>
      </c>
      <c r="T970" t="s">
        <v>18180</v>
      </c>
      <c r="U970" t="s">
        <v>18181</v>
      </c>
      <c r="V970" t="s">
        <v>18182</v>
      </c>
      <c r="W970" t="s">
        <v>18183</v>
      </c>
      <c r="X970" t="s">
        <v>18184</v>
      </c>
      <c r="Y970" t="s">
        <v>18185</v>
      </c>
      <c r="Z970" t="s">
        <v>18186</v>
      </c>
      <c r="AA970" t="s">
        <v>74</v>
      </c>
      <c r="AB970" t="s">
        <v>18187</v>
      </c>
      <c r="AC970" t="s">
        <v>18188</v>
      </c>
      <c r="AD970" t="s">
        <v>18189</v>
      </c>
      <c r="AE970" t="s">
        <v>18190</v>
      </c>
      <c r="AF970" t="s">
        <v>74</v>
      </c>
      <c r="AG970">
        <v>38</v>
      </c>
      <c r="AH970">
        <v>0</v>
      </c>
      <c r="AI970">
        <v>0</v>
      </c>
      <c r="AJ970">
        <v>0</v>
      </c>
      <c r="AK970">
        <v>11</v>
      </c>
      <c r="AL970" t="s">
        <v>2666</v>
      </c>
      <c r="AM970" t="s">
        <v>342</v>
      </c>
      <c r="AN970" t="s">
        <v>2761</v>
      </c>
      <c r="AO970" t="s">
        <v>11134</v>
      </c>
      <c r="AP970" t="s">
        <v>11135</v>
      </c>
      <c r="AQ970" t="s">
        <v>74</v>
      </c>
      <c r="AR970" t="s">
        <v>11136</v>
      </c>
      <c r="AS970" t="s">
        <v>11137</v>
      </c>
      <c r="AT970" t="s">
        <v>17045</v>
      </c>
      <c r="AU970">
        <v>2014</v>
      </c>
      <c r="AV970">
        <v>37</v>
      </c>
      <c r="AW970">
        <v>10</v>
      </c>
      <c r="AX970" t="s">
        <v>74</v>
      </c>
      <c r="AY970" t="s">
        <v>74</v>
      </c>
      <c r="AZ970" t="s">
        <v>74</v>
      </c>
      <c r="BA970" t="s">
        <v>74</v>
      </c>
      <c r="BB970">
        <v>1373</v>
      </c>
      <c r="BC970">
        <v>1381</v>
      </c>
      <c r="BD970" t="s">
        <v>74</v>
      </c>
      <c r="BE970" t="s">
        <v>18191</v>
      </c>
      <c r="BF970" t="str">
        <f>HYPERLINK("http://dx.doi.org/10.1007/s00300-014-1527-5","http://dx.doi.org/10.1007/s00300-014-1527-5")</f>
        <v>http://dx.doi.org/10.1007/s00300-014-1527-5</v>
      </c>
      <c r="BG970" t="s">
        <v>74</v>
      </c>
      <c r="BH970" t="s">
        <v>74</v>
      </c>
      <c r="BI970">
        <v>9</v>
      </c>
      <c r="BJ970" t="s">
        <v>3475</v>
      </c>
      <c r="BK970" t="s">
        <v>91</v>
      </c>
      <c r="BL970" t="s">
        <v>3476</v>
      </c>
      <c r="BM970" t="s">
        <v>18192</v>
      </c>
      <c r="BN970" t="s">
        <v>74</v>
      </c>
      <c r="BO970" t="s">
        <v>74</v>
      </c>
      <c r="BP970" t="s">
        <v>74</v>
      </c>
      <c r="BQ970" t="s">
        <v>74</v>
      </c>
      <c r="BR970" t="s">
        <v>93</v>
      </c>
      <c r="BS970" t="s">
        <v>18193</v>
      </c>
      <c r="BT970" t="str">
        <f>HYPERLINK("https%3A%2F%2Fwww.webofscience.com%2Fwos%2Fwoscc%2Ffull-record%2FWOS:000342228200001","View Full Record in Web of Science")</f>
        <v>View Full Record in Web of Science</v>
      </c>
    </row>
    <row r="971" spans="1:72" x14ac:dyDescent="0.15">
      <c r="A971" t="s">
        <v>72</v>
      </c>
      <c r="B971" t="s">
        <v>18194</v>
      </c>
      <c r="C971" t="s">
        <v>74</v>
      </c>
      <c r="D971" t="s">
        <v>74</v>
      </c>
      <c r="E971" t="s">
        <v>74</v>
      </c>
      <c r="F971" t="s">
        <v>18195</v>
      </c>
      <c r="G971" t="s">
        <v>74</v>
      </c>
      <c r="H971" t="s">
        <v>74</v>
      </c>
      <c r="I971" t="s">
        <v>18196</v>
      </c>
      <c r="J971" t="s">
        <v>11121</v>
      </c>
      <c r="K971" t="s">
        <v>74</v>
      </c>
      <c r="L971" t="s">
        <v>74</v>
      </c>
      <c r="M971" t="s">
        <v>78</v>
      </c>
      <c r="N971" t="s">
        <v>99</v>
      </c>
      <c r="O971" t="s">
        <v>74</v>
      </c>
      <c r="P971" t="s">
        <v>74</v>
      </c>
      <c r="Q971" t="s">
        <v>74</v>
      </c>
      <c r="R971" t="s">
        <v>74</v>
      </c>
      <c r="S971" t="s">
        <v>74</v>
      </c>
      <c r="T971" t="s">
        <v>18197</v>
      </c>
      <c r="U971" t="s">
        <v>18198</v>
      </c>
      <c r="V971" t="s">
        <v>18199</v>
      </c>
      <c r="W971" t="s">
        <v>18200</v>
      </c>
      <c r="X971" t="s">
        <v>5896</v>
      </c>
      <c r="Y971" t="s">
        <v>18201</v>
      </c>
      <c r="Z971" t="s">
        <v>18202</v>
      </c>
      <c r="AA971" t="s">
        <v>74</v>
      </c>
      <c r="AB971" t="s">
        <v>18203</v>
      </c>
      <c r="AC971" t="s">
        <v>18204</v>
      </c>
      <c r="AD971" t="s">
        <v>18204</v>
      </c>
      <c r="AE971" t="s">
        <v>18205</v>
      </c>
      <c r="AF971" t="s">
        <v>74</v>
      </c>
      <c r="AG971">
        <v>68</v>
      </c>
      <c r="AH971">
        <v>6</v>
      </c>
      <c r="AI971">
        <v>6</v>
      </c>
      <c r="AJ971">
        <v>0</v>
      </c>
      <c r="AK971">
        <v>14</v>
      </c>
      <c r="AL971" t="s">
        <v>2666</v>
      </c>
      <c r="AM971" t="s">
        <v>342</v>
      </c>
      <c r="AN971" t="s">
        <v>2761</v>
      </c>
      <c r="AO971" t="s">
        <v>11134</v>
      </c>
      <c r="AP971" t="s">
        <v>11135</v>
      </c>
      <c r="AQ971" t="s">
        <v>74</v>
      </c>
      <c r="AR971" t="s">
        <v>11136</v>
      </c>
      <c r="AS971" t="s">
        <v>11137</v>
      </c>
      <c r="AT971" t="s">
        <v>17045</v>
      </c>
      <c r="AU971">
        <v>2014</v>
      </c>
      <c r="AV971">
        <v>37</v>
      </c>
      <c r="AW971">
        <v>10</v>
      </c>
      <c r="AX971" t="s">
        <v>74</v>
      </c>
      <c r="AY971" t="s">
        <v>74</v>
      </c>
      <c r="AZ971" t="s">
        <v>74</v>
      </c>
      <c r="BA971" t="s">
        <v>74</v>
      </c>
      <c r="BB971">
        <v>1413</v>
      </c>
      <c r="BC971">
        <v>1420</v>
      </c>
      <c r="BD971" t="s">
        <v>74</v>
      </c>
      <c r="BE971" t="s">
        <v>18206</v>
      </c>
      <c r="BF971" t="str">
        <f>HYPERLINK("http://dx.doi.org/10.1007/s00300-014-1531-9","http://dx.doi.org/10.1007/s00300-014-1531-9")</f>
        <v>http://dx.doi.org/10.1007/s00300-014-1531-9</v>
      </c>
      <c r="BG971" t="s">
        <v>74</v>
      </c>
      <c r="BH971" t="s">
        <v>74</v>
      </c>
      <c r="BI971">
        <v>8</v>
      </c>
      <c r="BJ971" t="s">
        <v>3475</v>
      </c>
      <c r="BK971" t="s">
        <v>91</v>
      </c>
      <c r="BL971" t="s">
        <v>3476</v>
      </c>
      <c r="BM971" t="s">
        <v>18192</v>
      </c>
      <c r="BN971" t="s">
        <v>74</v>
      </c>
      <c r="BO971" t="s">
        <v>2056</v>
      </c>
      <c r="BP971" t="s">
        <v>74</v>
      </c>
      <c r="BQ971" t="s">
        <v>74</v>
      </c>
      <c r="BR971" t="s">
        <v>93</v>
      </c>
      <c r="BS971" t="s">
        <v>18207</v>
      </c>
      <c r="BT971" t="str">
        <f>HYPERLINK("https%3A%2F%2Fwww.webofscience.com%2Fwos%2Fwoscc%2Ffull-record%2FWOS:000342228200004","View Full Record in Web of Science")</f>
        <v>View Full Record in Web of Science</v>
      </c>
    </row>
    <row r="972" spans="1:72" x14ac:dyDescent="0.15">
      <c r="A972" t="s">
        <v>72</v>
      </c>
      <c r="B972" t="s">
        <v>18208</v>
      </c>
      <c r="C972" t="s">
        <v>74</v>
      </c>
      <c r="D972" t="s">
        <v>74</v>
      </c>
      <c r="E972" t="s">
        <v>74</v>
      </c>
      <c r="F972" t="s">
        <v>18209</v>
      </c>
      <c r="G972" t="s">
        <v>74</v>
      </c>
      <c r="H972" t="s">
        <v>74</v>
      </c>
      <c r="I972" t="s">
        <v>18210</v>
      </c>
      <c r="J972" t="s">
        <v>11121</v>
      </c>
      <c r="K972" t="s">
        <v>74</v>
      </c>
      <c r="L972" t="s">
        <v>74</v>
      </c>
      <c r="M972" t="s">
        <v>78</v>
      </c>
      <c r="N972" t="s">
        <v>99</v>
      </c>
      <c r="O972" t="s">
        <v>74</v>
      </c>
      <c r="P972" t="s">
        <v>74</v>
      </c>
      <c r="Q972" t="s">
        <v>74</v>
      </c>
      <c r="R972" t="s">
        <v>74</v>
      </c>
      <c r="S972" t="s">
        <v>74</v>
      </c>
      <c r="T972" t="s">
        <v>18211</v>
      </c>
      <c r="U972" t="s">
        <v>18212</v>
      </c>
      <c r="V972" t="s">
        <v>18213</v>
      </c>
      <c r="W972" t="s">
        <v>18214</v>
      </c>
      <c r="X972" t="s">
        <v>18215</v>
      </c>
      <c r="Y972" t="s">
        <v>18216</v>
      </c>
      <c r="Z972" t="s">
        <v>18217</v>
      </c>
      <c r="AA972" t="s">
        <v>74</v>
      </c>
      <c r="AB972" t="s">
        <v>18218</v>
      </c>
      <c r="AC972" t="s">
        <v>18215</v>
      </c>
      <c r="AD972" t="s">
        <v>18219</v>
      </c>
      <c r="AE972" t="s">
        <v>18220</v>
      </c>
      <c r="AF972" t="s">
        <v>74</v>
      </c>
      <c r="AG972">
        <v>75</v>
      </c>
      <c r="AH972">
        <v>40</v>
      </c>
      <c r="AI972">
        <v>41</v>
      </c>
      <c r="AJ972">
        <v>0</v>
      </c>
      <c r="AK972">
        <v>34</v>
      </c>
      <c r="AL972" t="s">
        <v>2666</v>
      </c>
      <c r="AM972" t="s">
        <v>342</v>
      </c>
      <c r="AN972" t="s">
        <v>2761</v>
      </c>
      <c r="AO972" t="s">
        <v>11134</v>
      </c>
      <c r="AP972" t="s">
        <v>11135</v>
      </c>
      <c r="AQ972" t="s">
        <v>74</v>
      </c>
      <c r="AR972" t="s">
        <v>11136</v>
      </c>
      <c r="AS972" t="s">
        <v>11137</v>
      </c>
      <c r="AT972" t="s">
        <v>17045</v>
      </c>
      <c r="AU972">
        <v>2014</v>
      </c>
      <c r="AV972">
        <v>37</v>
      </c>
      <c r="AW972">
        <v>10</v>
      </c>
      <c r="AX972" t="s">
        <v>74</v>
      </c>
      <c r="AY972" t="s">
        <v>74</v>
      </c>
      <c r="AZ972" t="s">
        <v>74</v>
      </c>
      <c r="BA972" t="s">
        <v>74</v>
      </c>
      <c r="BB972">
        <v>1421</v>
      </c>
      <c r="BC972">
        <v>1433</v>
      </c>
      <c r="BD972" t="s">
        <v>74</v>
      </c>
      <c r="BE972" t="s">
        <v>18221</v>
      </c>
      <c r="BF972" t="str">
        <f>HYPERLINK("http://dx.doi.org/10.1007/s00300-014-1532-8","http://dx.doi.org/10.1007/s00300-014-1532-8")</f>
        <v>http://dx.doi.org/10.1007/s00300-014-1532-8</v>
      </c>
      <c r="BG972" t="s">
        <v>74</v>
      </c>
      <c r="BH972" t="s">
        <v>74</v>
      </c>
      <c r="BI972">
        <v>13</v>
      </c>
      <c r="BJ972" t="s">
        <v>3475</v>
      </c>
      <c r="BK972" t="s">
        <v>91</v>
      </c>
      <c r="BL972" t="s">
        <v>3476</v>
      </c>
      <c r="BM972" t="s">
        <v>18192</v>
      </c>
      <c r="BN972" t="s">
        <v>74</v>
      </c>
      <c r="BO972" t="s">
        <v>2056</v>
      </c>
      <c r="BP972" t="s">
        <v>74</v>
      </c>
      <c r="BQ972" t="s">
        <v>74</v>
      </c>
      <c r="BR972" t="s">
        <v>93</v>
      </c>
      <c r="BS972" t="s">
        <v>18222</v>
      </c>
      <c r="BT972" t="str">
        <f>HYPERLINK("https%3A%2F%2Fwww.webofscience.com%2Fwos%2Fwoscc%2Ffull-record%2FWOS:000342228200005","View Full Record in Web of Science")</f>
        <v>View Full Record in Web of Science</v>
      </c>
    </row>
    <row r="973" spans="1:72" x14ac:dyDescent="0.15">
      <c r="A973" t="s">
        <v>72</v>
      </c>
      <c r="B973" t="s">
        <v>18223</v>
      </c>
      <c r="C973" t="s">
        <v>74</v>
      </c>
      <c r="D973" t="s">
        <v>74</v>
      </c>
      <c r="E973" t="s">
        <v>74</v>
      </c>
      <c r="F973" t="s">
        <v>18224</v>
      </c>
      <c r="G973" t="s">
        <v>74</v>
      </c>
      <c r="H973" t="s">
        <v>74</v>
      </c>
      <c r="I973" t="s">
        <v>18225</v>
      </c>
      <c r="J973" t="s">
        <v>11121</v>
      </c>
      <c r="K973" t="s">
        <v>74</v>
      </c>
      <c r="L973" t="s">
        <v>74</v>
      </c>
      <c r="M973" t="s">
        <v>78</v>
      </c>
      <c r="N973" t="s">
        <v>99</v>
      </c>
      <c r="O973" t="s">
        <v>74</v>
      </c>
      <c r="P973" t="s">
        <v>74</v>
      </c>
      <c r="Q973" t="s">
        <v>74</v>
      </c>
      <c r="R973" t="s">
        <v>74</v>
      </c>
      <c r="S973" t="s">
        <v>74</v>
      </c>
      <c r="T973" t="s">
        <v>18226</v>
      </c>
      <c r="U973" t="s">
        <v>18227</v>
      </c>
      <c r="V973" t="s">
        <v>18228</v>
      </c>
      <c r="W973" t="s">
        <v>18229</v>
      </c>
      <c r="X973" t="s">
        <v>18230</v>
      </c>
      <c r="Y973" t="s">
        <v>18231</v>
      </c>
      <c r="Z973" t="s">
        <v>18232</v>
      </c>
      <c r="AA973" t="s">
        <v>18233</v>
      </c>
      <c r="AB973" t="s">
        <v>18234</v>
      </c>
      <c r="AC973" t="s">
        <v>18235</v>
      </c>
      <c r="AD973" t="s">
        <v>18236</v>
      </c>
      <c r="AE973" t="s">
        <v>18237</v>
      </c>
      <c r="AF973" t="s">
        <v>74</v>
      </c>
      <c r="AG973">
        <v>79</v>
      </c>
      <c r="AH973">
        <v>14</v>
      </c>
      <c r="AI973">
        <v>16</v>
      </c>
      <c r="AJ973">
        <v>0</v>
      </c>
      <c r="AK973">
        <v>32</v>
      </c>
      <c r="AL973" t="s">
        <v>2666</v>
      </c>
      <c r="AM973" t="s">
        <v>342</v>
      </c>
      <c r="AN973" t="s">
        <v>2667</v>
      </c>
      <c r="AO973" t="s">
        <v>11134</v>
      </c>
      <c r="AP973" t="s">
        <v>11135</v>
      </c>
      <c r="AQ973" t="s">
        <v>74</v>
      </c>
      <c r="AR973" t="s">
        <v>11136</v>
      </c>
      <c r="AS973" t="s">
        <v>11137</v>
      </c>
      <c r="AT973" t="s">
        <v>17045</v>
      </c>
      <c r="AU973">
        <v>2014</v>
      </c>
      <c r="AV973">
        <v>37</v>
      </c>
      <c r="AW973">
        <v>10</v>
      </c>
      <c r="AX973" t="s">
        <v>74</v>
      </c>
      <c r="AY973" t="s">
        <v>74</v>
      </c>
      <c r="AZ973" t="s">
        <v>74</v>
      </c>
      <c r="BA973" t="s">
        <v>74</v>
      </c>
      <c r="BB973">
        <v>1445</v>
      </c>
      <c r="BC973">
        <v>1458</v>
      </c>
      <c r="BD973" t="s">
        <v>74</v>
      </c>
      <c r="BE973" t="s">
        <v>18238</v>
      </c>
      <c r="BF973" t="str">
        <f>HYPERLINK("http://dx.doi.org/10.1007/s00300-014-1534-6","http://dx.doi.org/10.1007/s00300-014-1534-6")</f>
        <v>http://dx.doi.org/10.1007/s00300-014-1534-6</v>
      </c>
      <c r="BG973" t="s">
        <v>74</v>
      </c>
      <c r="BH973" t="s">
        <v>74</v>
      </c>
      <c r="BI973">
        <v>14</v>
      </c>
      <c r="BJ973" t="s">
        <v>3475</v>
      </c>
      <c r="BK973" t="s">
        <v>91</v>
      </c>
      <c r="BL973" t="s">
        <v>3476</v>
      </c>
      <c r="BM973" t="s">
        <v>18192</v>
      </c>
      <c r="BN973" t="s">
        <v>74</v>
      </c>
      <c r="BO973" t="s">
        <v>18239</v>
      </c>
      <c r="BP973" t="s">
        <v>74</v>
      </c>
      <c r="BQ973" t="s">
        <v>74</v>
      </c>
      <c r="BR973" t="s">
        <v>93</v>
      </c>
      <c r="BS973" t="s">
        <v>18240</v>
      </c>
      <c r="BT973" t="str">
        <f>HYPERLINK("https%3A%2F%2Fwww.webofscience.com%2Fwos%2Fwoscc%2Ffull-record%2FWOS:000342228200007","View Full Record in Web of Science")</f>
        <v>View Full Record in Web of Science</v>
      </c>
    </row>
    <row r="974" spans="1:72" x14ac:dyDescent="0.15">
      <c r="A974" t="s">
        <v>72</v>
      </c>
      <c r="B974" t="s">
        <v>18241</v>
      </c>
      <c r="C974" t="s">
        <v>74</v>
      </c>
      <c r="D974" t="s">
        <v>74</v>
      </c>
      <c r="E974" t="s">
        <v>74</v>
      </c>
      <c r="F974" t="s">
        <v>18242</v>
      </c>
      <c r="G974" t="s">
        <v>74</v>
      </c>
      <c r="H974" t="s">
        <v>74</v>
      </c>
      <c r="I974" t="s">
        <v>18243</v>
      </c>
      <c r="J974" t="s">
        <v>11121</v>
      </c>
      <c r="K974" t="s">
        <v>74</v>
      </c>
      <c r="L974" t="s">
        <v>74</v>
      </c>
      <c r="M974" t="s">
        <v>78</v>
      </c>
      <c r="N974" t="s">
        <v>99</v>
      </c>
      <c r="O974" t="s">
        <v>74</v>
      </c>
      <c r="P974" t="s">
        <v>74</v>
      </c>
      <c r="Q974" t="s">
        <v>74</v>
      </c>
      <c r="R974" t="s">
        <v>74</v>
      </c>
      <c r="S974" t="s">
        <v>74</v>
      </c>
      <c r="T974" t="s">
        <v>18244</v>
      </c>
      <c r="U974" t="s">
        <v>18245</v>
      </c>
      <c r="V974" t="s">
        <v>18246</v>
      </c>
      <c r="W974" t="s">
        <v>18247</v>
      </c>
      <c r="X974" t="s">
        <v>18248</v>
      </c>
      <c r="Y974" t="s">
        <v>18249</v>
      </c>
      <c r="Z974" t="s">
        <v>18250</v>
      </c>
      <c r="AA974" t="s">
        <v>18251</v>
      </c>
      <c r="AB974" t="s">
        <v>18252</v>
      </c>
      <c r="AC974" t="s">
        <v>18253</v>
      </c>
      <c r="AD974" t="s">
        <v>18254</v>
      </c>
      <c r="AE974" t="s">
        <v>18255</v>
      </c>
      <c r="AF974" t="s">
        <v>74</v>
      </c>
      <c r="AG974">
        <v>52</v>
      </c>
      <c r="AH974">
        <v>21</v>
      </c>
      <c r="AI974">
        <v>21</v>
      </c>
      <c r="AJ974">
        <v>0</v>
      </c>
      <c r="AK974">
        <v>32</v>
      </c>
      <c r="AL974" t="s">
        <v>2666</v>
      </c>
      <c r="AM974" t="s">
        <v>342</v>
      </c>
      <c r="AN974" t="s">
        <v>2667</v>
      </c>
      <c r="AO974" t="s">
        <v>11134</v>
      </c>
      <c r="AP974" t="s">
        <v>11135</v>
      </c>
      <c r="AQ974" t="s">
        <v>74</v>
      </c>
      <c r="AR974" t="s">
        <v>11136</v>
      </c>
      <c r="AS974" t="s">
        <v>11137</v>
      </c>
      <c r="AT974" t="s">
        <v>17045</v>
      </c>
      <c r="AU974">
        <v>2014</v>
      </c>
      <c r="AV974">
        <v>37</v>
      </c>
      <c r="AW974">
        <v>10</v>
      </c>
      <c r="AX974" t="s">
        <v>74</v>
      </c>
      <c r="AY974" t="s">
        <v>74</v>
      </c>
      <c r="AZ974" t="s">
        <v>74</v>
      </c>
      <c r="BA974" t="s">
        <v>74</v>
      </c>
      <c r="BB974">
        <v>1495</v>
      </c>
      <c r="BC974">
        <v>1505</v>
      </c>
      <c r="BD974" t="s">
        <v>74</v>
      </c>
      <c r="BE974" t="s">
        <v>18256</v>
      </c>
      <c r="BF974" t="str">
        <f>HYPERLINK("http://dx.doi.org/10.1007/s00300-014-1539-1","http://dx.doi.org/10.1007/s00300-014-1539-1")</f>
        <v>http://dx.doi.org/10.1007/s00300-014-1539-1</v>
      </c>
      <c r="BG974" t="s">
        <v>74</v>
      </c>
      <c r="BH974" t="s">
        <v>74</v>
      </c>
      <c r="BI974">
        <v>11</v>
      </c>
      <c r="BJ974" t="s">
        <v>3475</v>
      </c>
      <c r="BK974" t="s">
        <v>91</v>
      </c>
      <c r="BL974" t="s">
        <v>3476</v>
      </c>
      <c r="BM974" t="s">
        <v>18192</v>
      </c>
      <c r="BN974" t="s">
        <v>74</v>
      </c>
      <c r="BO974" t="s">
        <v>74</v>
      </c>
      <c r="BP974" t="s">
        <v>74</v>
      </c>
      <c r="BQ974" t="s">
        <v>74</v>
      </c>
      <c r="BR974" t="s">
        <v>93</v>
      </c>
      <c r="BS974" t="s">
        <v>18257</v>
      </c>
      <c r="BT974" t="str">
        <f>HYPERLINK("https%3A%2F%2Fwww.webofscience.com%2Fwos%2Fwoscc%2Ffull-record%2FWOS:000342228200011","View Full Record in Web of Science")</f>
        <v>View Full Record in Web of Science</v>
      </c>
    </row>
    <row r="975" spans="1:72" x14ac:dyDescent="0.15">
      <c r="A975" t="s">
        <v>72</v>
      </c>
      <c r="B975" t="s">
        <v>18258</v>
      </c>
      <c r="C975" t="s">
        <v>74</v>
      </c>
      <c r="D975" t="s">
        <v>74</v>
      </c>
      <c r="E975" t="s">
        <v>74</v>
      </c>
      <c r="F975" t="s">
        <v>18259</v>
      </c>
      <c r="G975" t="s">
        <v>74</v>
      </c>
      <c r="H975" t="s">
        <v>74</v>
      </c>
      <c r="I975" t="s">
        <v>18260</v>
      </c>
      <c r="J975" t="s">
        <v>11121</v>
      </c>
      <c r="K975" t="s">
        <v>74</v>
      </c>
      <c r="L975" t="s">
        <v>74</v>
      </c>
      <c r="M975" t="s">
        <v>78</v>
      </c>
      <c r="N975" t="s">
        <v>99</v>
      </c>
      <c r="O975" t="s">
        <v>74</v>
      </c>
      <c r="P975" t="s">
        <v>74</v>
      </c>
      <c r="Q975" t="s">
        <v>74</v>
      </c>
      <c r="R975" t="s">
        <v>74</v>
      </c>
      <c r="S975" t="s">
        <v>74</v>
      </c>
      <c r="T975" t="s">
        <v>18261</v>
      </c>
      <c r="U975" t="s">
        <v>18262</v>
      </c>
      <c r="V975" t="s">
        <v>18263</v>
      </c>
      <c r="W975" t="s">
        <v>18264</v>
      </c>
      <c r="X975" t="s">
        <v>18265</v>
      </c>
      <c r="Y975" t="s">
        <v>18266</v>
      </c>
      <c r="Z975" t="s">
        <v>18267</v>
      </c>
      <c r="AA975" t="s">
        <v>74</v>
      </c>
      <c r="AB975" t="s">
        <v>18268</v>
      </c>
      <c r="AC975" t="s">
        <v>74</v>
      </c>
      <c r="AD975" t="s">
        <v>74</v>
      </c>
      <c r="AE975" t="s">
        <v>74</v>
      </c>
      <c r="AF975" t="s">
        <v>74</v>
      </c>
      <c r="AG975">
        <v>36</v>
      </c>
      <c r="AH975">
        <v>15</v>
      </c>
      <c r="AI975">
        <v>15</v>
      </c>
      <c r="AJ975">
        <v>0</v>
      </c>
      <c r="AK975">
        <v>19</v>
      </c>
      <c r="AL975" t="s">
        <v>2666</v>
      </c>
      <c r="AM975" t="s">
        <v>342</v>
      </c>
      <c r="AN975" t="s">
        <v>2667</v>
      </c>
      <c r="AO975" t="s">
        <v>11134</v>
      </c>
      <c r="AP975" t="s">
        <v>11135</v>
      </c>
      <c r="AQ975" t="s">
        <v>74</v>
      </c>
      <c r="AR975" t="s">
        <v>11136</v>
      </c>
      <c r="AS975" t="s">
        <v>11137</v>
      </c>
      <c r="AT975" t="s">
        <v>17045</v>
      </c>
      <c r="AU975">
        <v>2014</v>
      </c>
      <c r="AV975">
        <v>37</v>
      </c>
      <c r="AW975">
        <v>10</v>
      </c>
      <c r="AX975" t="s">
        <v>74</v>
      </c>
      <c r="AY975" t="s">
        <v>74</v>
      </c>
      <c r="AZ975" t="s">
        <v>74</v>
      </c>
      <c r="BA975" t="s">
        <v>74</v>
      </c>
      <c r="BB975">
        <v>1507</v>
      </c>
      <c r="BC975">
        <v>1515</v>
      </c>
      <c r="BD975" t="s">
        <v>74</v>
      </c>
      <c r="BE975" t="s">
        <v>18269</v>
      </c>
      <c r="BF975" t="str">
        <f>HYPERLINK("http://dx.doi.org/10.1007/s00300-014-1545-3","http://dx.doi.org/10.1007/s00300-014-1545-3")</f>
        <v>http://dx.doi.org/10.1007/s00300-014-1545-3</v>
      </c>
      <c r="BG975" t="s">
        <v>74</v>
      </c>
      <c r="BH975" t="s">
        <v>74</v>
      </c>
      <c r="BI975">
        <v>9</v>
      </c>
      <c r="BJ975" t="s">
        <v>3475</v>
      </c>
      <c r="BK975" t="s">
        <v>91</v>
      </c>
      <c r="BL975" t="s">
        <v>3476</v>
      </c>
      <c r="BM975" t="s">
        <v>18192</v>
      </c>
      <c r="BN975" t="s">
        <v>74</v>
      </c>
      <c r="BO975" t="s">
        <v>2056</v>
      </c>
      <c r="BP975" t="s">
        <v>74</v>
      </c>
      <c r="BQ975" t="s">
        <v>74</v>
      </c>
      <c r="BR975" t="s">
        <v>93</v>
      </c>
      <c r="BS975" t="s">
        <v>18270</v>
      </c>
      <c r="BT975" t="str">
        <f>HYPERLINK("https%3A%2F%2Fwww.webofscience.com%2Fwos%2Fwoscc%2Ffull-record%2FWOS:000342228200012","View Full Record in Web of Science")</f>
        <v>View Full Record in Web of Science</v>
      </c>
    </row>
    <row r="976" spans="1:72" x14ac:dyDescent="0.15">
      <c r="A976" t="s">
        <v>72</v>
      </c>
      <c r="B976" t="s">
        <v>18271</v>
      </c>
      <c r="C976" t="s">
        <v>74</v>
      </c>
      <c r="D976" t="s">
        <v>74</v>
      </c>
      <c r="E976" t="s">
        <v>74</v>
      </c>
      <c r="F976" t="s">
        <v>18272</v>
      </c>
      <c r="G976" t="s">
        <v>74</v>
      </c>
      <c r="H976" t="s">
        <v>74</v>
      </c>
      <c r="I976" t="s">
        <v>18273</v>
      </c>
      <c r="J976" t="s">
        <v>11121</v>
      </c>
      <c r="K976" t="s">
        <v>74</v>
      </c>
      <c r="L976" t="s">
        <v>74</v>
      </c>
      <c r="M976" t="s">
        <v>78</v>
      </c>
      <c r="N976" t="s">
        <v>454</v>
      </c>
      <c r="O976" t="s">
        <v>74</v>
      </c>
      <c r="P976" t="s">
        <v>74</v>
      </c>
      <c r="Q976" t="s">
        <v>74</v>
      </c>
      <c r="R976" t="s">
        <v>74</v>
      </c>
      <c r="S976" t="s">
        <v>74</v>
      </c>
      <c r="T976" t="s">
        <v>18274</v>
      </c>
      <c r="U976" t="s">
        <v>18275</v>
      </c>
      <c r="V976" t="s">
        <v>18276</v>
      </c>
      <c r="W976" t="s">
        <v>18277</v>
      </c>
      <c r="X976" t="s">
        <v>18278</v>
      </c>
      <c r="Y976" t="s">
        <v>18279</v>
      </c>
      <c r="Z976" t="s">
        <v>18280</v>
      </c>
      <c r="AA976" t="s">
        <v>74</v>
      </c>
      <c r="AB976" t="s">
        <v>74</v>
      </c>
      <c r="AC976" t="s">
        <v>18281</v>
      </c>
      <c r="AD976" t="s">
        <v>18282</v>
      </c>
      <c r="AE976" t="s">
        <v>18283</v>
      </c>
      <c r="AF976" t="s">
        <v>74</v>
      </c>
      <c r="AG976">
        <v>150</v>
      </c>
      <c r="AH976">
        <v>46</v>
      </c>
      <c r="AI976">
        <v>47</v>
      </c>
      <c r="AJ976">
        <v>4</v>
      </c>
      <c r="AK976">
        <v>78</v>
      </c>
      <c r="AL976" t="s">
        <v>2666</v>
      </c>
      <c r="AM976" t="s">
        <v>342</v>
      </c>
      <c r="AN976" t="s">
        <v>2667</v>
      </c>
      <c r="AO976" t="s">
        <v>11134</v>
      </c>
      <c r="AP976" t="s">
        <v>11135</v>
      </c>
      <c r="AQ976" t="s">
        <v>74</v>
      </c>
      <c r="AR976" t="s">
        <v>11136</v>
      </c>
      <c r="AS976" t="s">
        <v>11137</v>
      </c>
      <c r="AT976" t="s">
        <v>17045</v>
      </c>
      <c r="AU976">
        <v>2014</v>
      </c>
      <c r="AV976">
        <v>37</v>
      </c>
      <c r="AW976">
        <v>10</v>
      </c>
      <c r="AX976" t="s">
        <v>74</v>
      </c>
      <c r="AY976" t="s">
        <v>74</v>
      </c>
      <c r="AZ976" t="s">
        <v>74</v>
      </c>
      <c r="BA976" t="s">
        <v>74</v>
      </c>
      <c r="BB976">
        <v>1517</v>
      </c>
      <c r="BC976">
        <v>1531</v>
      </c>
      <c r="BD976" t="s">
        <v>74</v>
      </c>
      <c r="BE976" t="s">
        <v>18284</v>
      </c>
      <c r="BF976" t="str">
        <f>HYPERLINK("http://dx.doi.org/10.1007/s00300-014-1544-4","http://dx.doi.org/10.1007/s00300-014-1544-4")</f>
        <v>http://dx.doi.org/10.1007/s00300-014-1544-4</v>
      </c>
      <c r="BG976" t="s">
        <v>74</v>
      </c>
      <c r="BH976" t="s">
        <v>74</v>
      </c>
      <c r="BI976">
        <v>15</v>
      </c>
      <c r="BJ976" t="s">
        <v>3475</v>
      </c>
      <c r="BK976" t="s">
        <v>91</v>
      </c>
      <c r="BL976" t="s">
        <v>3476</v>
      </c>
      <c r="BM976" t="s">
        <v>18192</v>
      </c>
      <c r="BN976" t="s">
        <v>74</v>
      </c>
      <c r="BO976" t="s">
        <v>74</v>
      </c>
      <c r="BP976" t="s">
        <v>74</v>
      </c>
      <c r="BQ976" t="s">
        <v>74</v>
      </c>
      <c r="BR976" t="s">
        <v>93</v>
      </c>
      <c r="BS976" t="s">
        <v>18285</v>
      </c>
      <c r="BT976" t="str">
        <f>HYPERLINK("https%3A%2F%2Fwww.webofscience.com%2Fwos%2Fwoscc%2Ffull-record%2FWOS:000342228200013","View Full Record in Web of Science")</f>
        <v>View Full Record in Web of Science</v>
      </c>
    </row>
    <row r="977" spans="1:72" x14ac:dyDescent="0.15">
      <c r="A977" t="s">
        <v>72</v>
      </c>
      <c r="B977" t="s">
        <v>18286</v>
      </c>
      <c r="C977" t="s">
        <v>74</v>
      </c>
      <c r="D977" t="s">
        <v>74</v>
      </c>
      <c r="E977" t="s">
        <v>74</v>
      </c>
      <c r="F977" t="s">
        <v>18287</v>
      </c>
      <c r="G977" t="s">
        <v>74</v>
      </c>
      <c r="H977" t="s">
        <v>74</v>
      </c>
      <c r="I977" t="s">
        <v>18288</v>
      </c>
      <c r="J977" t="s">
        <v>18289</v>
      </c>
      <c r="K977" t="s">
        <v>74</v>
      </c>
      <c r="L977" t="s">
        <v>74</v>
      </c>
      <c r="M977" t="s">
        <v>78</v>
      </c>
      <c r="N977" t="s">
        <v>99</v>
      </c>
      <c r="O977" t="s">
        <v>74</v>
      </c>
      <c r="P977" t="s">
        <v>74</v>
      </c>
      <c r="Q977" t="s">
        <v>74</v>
      </c>
      <c r="R977" t="s">
        <v>74</v>
      </c>
      <c r="S977" t="s">
        <v>74</v>
      </c>
      <c r="T977" t="s">
        <v>18290</v>
      </c>
      <c r="U977" t="s">
        <v>18291</v>
      </c>
      <c r="V977" t="s">
        <v>18292</v>
      </c>
      <c r="W977" t="s">
        <v>18293</v>
      </c>
      <c r="X977" t="s">
        <v>18294</v>
      </c>
      <c r="Y977" t="s">
        <v>18295</v>
      </c>
      <c r="Z977" t="s">
        <v>18296</v>
      </c>
      <c r="AA977" t="s">
        <v>18297</v>
      </c>
      <c r="AB977" t="s">
        <v>18298</v>
      </c>
      <c r="AC977" t="s">
        <v>74</v>
      </c>
      <c r="AD977" t="s">
        <v>74</v>
      </c>
      <c r="AE977" t="s">
        <v>74</v>
      </c>
      <c r="AF977" t="s">
        <v>74</v>
      </c>
      <c r="AG977">
        <v>37</v>
      </c>
      <c r="AH977">
        <v>14</v>
      </c>
      <c r="AI977">
        <v>16</v>
      </c>
      <c r="AJ977">
        <v>0</v>
      </c>
      <c r="AK977">
        <v>16</v>
      </c>
      <c r="AL977" t="s">
        <v>18299</v>
      </c>
      <c r="AM977" t="s">
        <v>8123</v>
      </c>
      <c r="AN977" t="s">
        <v>18300</v>
      </c>
      <c r="AO977" t="s">
        <v>18301</v>
      </c>
      <c r="AP977" t="s">
        <v>18302</v>
      </c>
      <c r="AQ977" t="s">
        <v>74</v>
      </c>
      <c r="AR977" t="s">
        <v>18303</v>
      </c>
      <c r="AS977" t="s">
        <v>18304</v>
      </c>
      <c r="AT977" t="s">
        <v>17045</v>
      </c>
      <c r="AU977">
        <v>2014</v>
      </c>
      <c r="AV977">
        <v>13</v>
      </c>
      <c r="AW977">
        <v>7</v>
      </c>
      <c r="AX977" t="s">
        <v>74</v>
      </c>
      <c r="AY977" t="s">
        <v>74</v>
      </c>
      <c r="AZ977" t="s">
        <v>74</v>
      </c>
      <c r="BA977" t="s">
        <v>74</v>
      </c>
      <c r="BB977">
        <v>555</v>
      </c>
      <c r="BC977">
        <v>560</v>
      </c>
      <c r="BD977" t="s">
        <v>74</v>
      </c>
      <c r="BE977" t="s">
        <v>18305</v>
      </c>
      <c r="BF977" t="str">
        <f>HYPERLINK("http://dx.doi.org/10.1016/j.crpv.2014.03.008","http://dx.doi.org/10.1016/j.crpv.2014.03.008")</f>
        <v>http://dx.doi.org/10.1016/j.crpv.2014.03.008</v>
      </c>
      <c r="BG977" t="s">
        <v>74</v>
      </c>
      <c r="BH977" t="s">
        <v>74</v>
      </c>
      <c r="BI977">
        <v>6</v>
      </c>
      <c r="BJ977" t="s">
        <v>447</v>
      </c>
      <c r="BK977" t="s">
        <v>91</v>
      </c>
      <c r="BL977" t="s">
        <v>447</v>
      </c>
      <c r="BM977" t="s">
        <v>18306</v>
      </c>
      <c r="BN977" t="s">
        <v>74</v>
      </c>
      <c r="BO977" t="s">
        <v>3478</v>
      </c>
      <c r="BP977" t="s">
        <v>74</v>
      </c>
      <c r="BQ977" t="s">
        <v>74</v>
      </c>
      <c r="BR977" t="s">
        <v>93</v>
      </c>
      <c r="BS977" t="s">
        <v>18307</v>
      </c>
      <c r="BT977" t="str">
        <f>HYPERLINK("https%3A%2F%2Fwww.webofscience.com%2Fwos%2Fwoscc%2Ffull-record%2FWOS:000341802000002","View Full Record in Web of Science")</f>
        <v>View Full Record in Web of Science</v>
      </c>
    </row>
    <row r="978" spans="1:72" x14ac:dyDescent="0.15">
      <c r="A978" t="s">
        <v>72</v>
      </c>
      <c r="B978" t="s">
        <v>18308</v>
      </c>
      <c r="C978" t="s">
        <v>74</v>
      </c>
      <c r="D978" t="s">
        <v>74</v>
      </c>
      <c r="E978" t="s">
        <v>74</v>
      </c>
      <c r="F978" t="s">
        <v>18309</v>
      </c>
      <c r="G978" t="s">
        <v>74</v>
      </c>
      <c r="H978" t="s">
        <v>74</v>
      </c>
      <c r="I978" t="s">
        <v>18310</v>
      </c>
      <c r="J978" t="s">
        <v>11217</v>
      </c>
      <c r="K978" t="s">
        <v>74</v>
      </c>
      <c r="L978" t="s">
        <v>74</v>
      </c>
      <c r="M978" t="s">
        <v>78</v>
      </c>
      <c r="N978" t="s">
        <v>99</v>
      </c>
      <c r="O978" t="s">
        <v>74</v>
      </c>
      <c r="P978" t="s">
        <v>74</v>
      </c>
      <c r="Q978" t="s">
        <v>74</v>
      </c>
      <c r="R978" t="s">
        <v>74</v>
      </c>
      <c r="S978" t="s">
        <v>74</v>
      </c>
      <c r="T978" t="s">
        <v>18311</v>
      </c>
      <c r="U978" t="s">
        <v>18312</v>
      </c>
      <c r="V978" t="s">
        <v>18313</v>
      </c>
      <c r="W978" t="s">
        <v>18314</v>
      </c>
      <c r="X978" t="s">
        <v>18315</v>
      </c>
      <c r="Y978" t="s">
        <v>18316</v>
      </c>
      <c r="Z978" t="s">
        <v>18317</v>
      </c>
      <c r="AA978" t="s">
        <v>18318</v>
      </c>
      <c r="AB978" t="s">
        <v>18319</v>
      </c>
      <c r="AC978" t="s">
        <v>74</v>
      </c>
      <c r="AD978" t="s">
        <v>74</v>
      </c>
      <c r="AE978" t="s">
        <v>74</v>
      </c>
      <c r="AF978" t="s">
        <v>74</v>
      </c>
      <c r="AG978">
        <v>81</v>
      </c>
      <c r="AH978">
        <v>16</v>
      </c>
      <c r="AI978">
        <v>17</v>
      </c>
      <c r="AJ978">
        <v>0</v>
      </c>
      <c r="AK978">
        <v>35</v>
      </c>
      <c r="AL978" t="s">
        <v>2666</v>
      </c>
      <c r="AM978" t="s">
        <v>6414</v>
      </c>
      <c r="AN978" t="s">
        <v>6415</v>
      </c>
      <c r="AO978" t="s">
        <v>11226</v>
      </c>
      <c r="AP978" t="s">
        <v>11227</v>
      </c>
      <c r="AQ978" t="s">
        <v>74</v>
      </c>
      <c r="AR978" t="s">
        <v>11228</v>
      </c>
      <c r="AS978" t="s">
        <v>11229</v>
      </c>
      <c r="AT978" t="s">
        <v>17045</v>
      </c>
      <c r="AU978">
        <v>2014</v>
      </c>
      <c r="AV978">
        <v>186</v>
      </c>
      <c r="AW978">
        <v>10</v>
      </c>
      <c r="AX978" t="s">
        <v>74</v>
      </c>
      <c r="AY978" t="s">
        <v>74</v>
      </c>
      <c r="AZ978" t="s">
        <v>74</v>
      </c>
      <c r="BA978" t="s">
        <v>74</v>
      </c>
      <c r="BB978">
        <v>6263</v>
      </c>
      <c r="BC978">
        <v>6286</v>
      </c>
      <c r="BD978" t="s">
        <v>74</v>
      </c>
      <c r="BE978" t="s">
        <v>18320</v>
      </c>
      <c r="BF978" t="str">
        <f>HYPERLINK("http://dx.doi.org/10.1007/s10661-014-3853-z","http://dx.doi.org/10.1007/s10661-014-3853-z")</f>
        <v>http://dx.doi.org/10.1007/s10661-014-3853-z</v>
      </c>
      <c r="BG978" t="s">
        <v>74</v>
      </c>
      <c r="BH978" t="s">
        <v>74</v>
      </c>
      <c r="BI978">
        <v>24</v>
      </c>
      <c r="BJ978" t="s">
        <v>1611</v>
      </c>
      <c r="BK978" t="s">
        <v>91</v>
      </c>
      <c r="BL978" t="s">
        <v>395</v>
      </c>
      <c r="BM978" t="s">
        <v>18321</v>
      </c>
      <c r="BN978">
        <v>24875348</v>
      </c>
      <c r="BO978" t="s">
        <v>74</v>
      </c>
      <c r="BP978" t="s">
        <v>74</v>
      </c>
      <c r="BQ978" t="s">
        <v>74</v>
      </c>
      <c r="BR978" t="s">
        <v>93</v>
      </c>
      <c r="BS978" t="s">
        <v>18322</v>
      </c>
      <c r="BT978" t="str">
        <f>HYPERLINK("https%3A%2F%2Fwww.webofscience.com%2Fwos%2Fwoscc%2Ffull-record%2FWOS:000341497800022","View Full Record in Web of Science")</f>
        <v>View Full Record in Web of Science</v>
      </c>
    </row>
    <row r="979" spans="1:72" x14ac:dyDescent="0.15">
      <c r="A979" t="s">
        <v>72</v>
      </c>
      <c r="B979" t="s">
        <v>18323</v>
      </c>
      <c r="C979" t="s">
        <v>74</v>
      </c>
      <c r="D979" t="s">
        <v>74</v>
      </c>
      <c r="E979" t="s">
        <v>74</v>
      </c>
      <c r="F979" t="s">
        <v>18324</v>
      </c>
      <c r="G979" t="s">
        <v>74</v>
      </c>
      <c r="H979" t="s">
        <v>74</v>
      </c>
      <c r="I979" t="s">
        <v>18325</v>
      </c>
      <c r="J979" t="s">
        <v>18326</v>
      </c>
      <c r="K979" t="s">
        <v>74</v>
      </c>
      <c r="L979" t="s">
        <v>74</v>
      </c>
      <c r="M979" t="s">
        <v>78</v>
      </c>
      <c r="N979" t="s">
        <v>99</v>
      </c>
      <c r="O979" t="s">
        <v>74</v>
      </c>
      <c r="P979" t="s">
        <v>74</v>
      </c>
      <c r="Q979" t="s">
        <v>74</v>
      </c>
      <c r="R979" t="s">
        <v>74</v>
      </c>
      <c r="S979" t="s">
        <v>74</v>
      </c>
      <c r="T979" t="s">
        <v>18327</v>
      </c>
      <c r="U979" t="s">
        <v>18328</v>
      </c>
      <c r="V979" t="s">
        <v>18329</v>
      </c>
      <c r="W979" t="s">
        <v>18330</v>
      </c>
      <c r="X979" t="s">
        <v>18331</v>
      </c>
      <c r="Y979" t="s">
        <v>18332</v>
      </c>
      <c r="Z979" t="s">
        <v>18333</v>
      </c>
      <c r="AA979" t="s">
        <v>74</v>
      </c>
      <c r="AB979" t="s">
        <v>18334</v>
      </c>
      <c r="AC979" t="s">
        <v>18335</v>
      </c>
      <c r="AD979" t="s">
        <v>18336</v>
      </c>
      <c r="AE979" t="s">
        <v>18337</v>
      </c>
      <c r="AF979" t="s">
        <v>74</v>
      </c>
      <c r="AG979">
        <v>48</v>
      </c>
      <c r="AH979">
        <v>9</v>
      </c>
      <c r="AI979">
        <v>9</v>
      </c>
      <c r="AJ979">
        <v>0</v>
      </c>
      <c r="AK979">
        <v>11</v>
      </c>
      <c r="AL979" t="s">
        <v>2666</v>
      </c>
      <c r="AM979" t="s">
        <v>342</v>
      </c>
      <c r="AN979" t="s">
        <v>2667</v>
      </c>
      <c r="AO979" t="s">
        <v>18338</v>
      </c>
      <c r="AP979" t="s">
        <v>18339</v>
      </c>
      <c r="AQ979" t="s">
        <v>74</v>
      </c>
      <c r="AR979" t="s">
        <v>18326</v>
      </c>
      <c r="AS979" t="s">
        <v>18340</v>
      </c>
      <c r="AT979" t="s">
        <v>17045</v>
      </c>
      <c r="AU979">
        <v>2014</v>
      </c>
      <c r="AV979">
        <v>66</v>
      </c>
      <c r="AW979" t="s">
        <v>15264</v>
      </c>
      <c r="AX979" t="s">
        <v>74</v>
      </c>
      <c r="AY979" t="s">
        <v>74</v>
      </c>
      <c r="AZ979" t="s">
        <v>74</v>
      </c>
      <c r="BA979" t="s">
        <v>74</v>
      </c>
      <c r="BB979">
        <v>563</v>
      </c>
      <c r="BC979">
        <v>573</v>
      </c>
      <c r="BD979" t="s">
        <v>74</v>
      </c>
      <c r="BE979" t="s">
        <v>18341</v>
      </c>
      <c r="BF979" t="str">
        <f>HYPERLINK("http://dx.doi.org/10.1007/s00251-014-0792-3","http://dx.doi.org/10.1007/s00251-014-0792-3")</f>
        <v>http://dx.doi.org/10.1007/s00251-014-0792-3</v>
      </c>
      <c r="BG979" t="s">
        <v>74</v>
      </c>
      <c r="BH979" t="s">
        <v>74</v>
      </c>
      <c r="BI979">
        <v>11</v>
      </c>
      <c r="BJ979" t="s">
        <v>18342</v>
      </c>
      <c r="BK979" t="s">
        <v>91</v>
      </c>
      <c r="BL979" t="s">
        <v>18342</v>
      </c>
      <c r="BM979" t="s">
        <v>18343</v>
      </c>
      <c r="BN979">
        <v>25073429</v>
      </c>
      <c r="BO979" t="s">
        <v>74</v>
      </c>
      <c r="BP979" t="s">
        <v>74</v>
      </c>
      <c r="BQ979" t="s">
        <v>74</v>
      </c>
      <c r="BR979" t="s">
        <v>93</v>
      </c>
      <c r="BS979" t="s">
        <v>18344</v>
      </c>
      <c r="BT979" t="str">
        <f>HYPERLINK("https%3A%2F%2Fwww.webofscience.com%2Fwos%2Fwoscc%2Ffull-record%2FWOS:000341835800005","View Full Record in Web of Science")</f>
        <v>View Full Record in Web of Science</v>
      </c>
    </row>
    <row r="980" spans="1:72" x14ac:dyDescent="0.15">
      <c r="A980" t="s">
        <v>72</v>
      </c>
      <c r="B980" t="s">
        <v>18345</v>
      </c>
      <c r="C980" t="s">
        <v>74</v>
      </c>
      <c r="D980" t="s">
        <v>74</v>
      </c>
      <c r="E980" t="s">
        <v>74</v>
      </c>
      <c r="F980" t="s">
        <v>18346</v>
      </c>
      <c r="G980" t="s">
        <v>74</v>
      </c>
      <c r="H980" t="s">
        <v>74</v>
      </c>
      <c r="I980" t="s">
        <v>18347</v>
      </c>
      <c r="J980" t="s">
        <v>18348</v>
      </c>
      <c r="K980" t="s">
        <v>74</v>
      </c>
      <c r="L980" t="s">
        <v>74</v>
      </c>
      <c r="M980" t="s">
        <v>78</v>
      </c>
      <c r="N980" t="s">
        <v>99</v>
      </c>
      <c r="O980" t="s">
        <v>74</v>
      </c>
      <c r="P980" t="s">
        <v>74</v>
      </c>
      <c r="Q980" t="s">
        <v>74</v>
      </c>
      <c r="R980" t="s">
        <v>74</v>
      </c>
      <c r="S980" t="s">
        <v>74</v>
      </c>
      <c r="T980" t="s">
        <v>18349</v>
      </c>
      <c r="U980" t="s">
        <v>18350</v>
      </c>
      <c r="V980" t="s">
        <v>18351</v>
      </c>
      <c r="W980" t="s">
        <v>18352</v>
      </c>
      <c r="X980" t="s">
        <v>18353</v>
      </c>
      <c r="Y980" t="s">
        <v>18354</v>
      </c>
      <c r="Z980" t="s">
        <v>18355</v>
      </c>
      <c r="AA980" t="s">
        <v>18356</v>
      </c>
      <c r="AB980" t="s">
        <v>18357</v>
      </c>
      <c r="AC980" t="s">
        <v>18358</v>
      </c>
      <c r="AD980" t="s">
        <v>18359</v>
      </c>
      <c r="AE980" t="s">
        <v>18360</v>
      </c>
      <c r="AF980" t="s">
        <v>74</v>
      </c>
      <c r="AG980">
        <v>62</v>
      </c>
      <c r="AH980">
        <v>10</v>
      </c>
      <c r="AI980">
        <v>10</v>
      </c>
      <c r="AJ980">
        <v>1</v>
      </c>
      <c r="AK980">
        <v>25</v>
      </c>
      <c r="AL980" t="s">
        <v>6496</v>
      </c>
      <c r="AM980" t="s">
        <v>6497</v>
      </c>
      <c r="AN980" t="s">
        <v>18361</v>
      </c>
      <c r="AO980" t="s">
        <v>18362</v>
      </c>
      <c r="AP980" t="s">
        <v>18363</v>
      </c>
      <c r="AQ980" t="s">
        <v>74</v>
      </c>
      <c r="AR980" t="s">
        <v>18364</v>
      </c>
      <c r="AS980" t="s">
        <v>18365</v>
      </c>
      <c r="AT980" t="s">
        <v>17045</v>
      </c>
      <c r="AU980">
        <v>2014</v>
      </c>
      <c r="AV980">
        <v>56</v>
      </c>
      <c r="AW980">
        <v>10</v>
      </c>
      <c r="AX980" t="s">
        <v>74</v>
      </c>
      <c r="AY980" t="s">
        <v>74</v>
      </c>
      <c r="AZ980" t="s">
        <v>74</v>
      </c>
      <c r="BA980" t="s">
        <v>74</v>
      </c>
      <c r="BB980">
        <v>878</v>
      </c>
      <c r="BC980">
        <v>889</v>
      </c>
      <c r="BD980" t="s">
        <v>74</v>
      </c>
      <c r="BE980" t="s">
        <v>18366</v>
      </c>
      <c r="BF980" t="str">
        <f>HYPERLINK("http://dx.doi.org/10.1007/s12033-014-9767-8","http://dx.doi.org/10.1007/s12033-014-9767-8")</f>
        <v>http://dx.doi.org/10.1007/s12033-014-9767-8</v>
      </c>
      <c r="BG980" t="s">
        <v>74</v>
      </c>
      <c r="BH980" t="s">
        <v>74</v>
      </c>
      <c r="BI980">
        <v>12</v>
      </c>
      <c r="BJ980" t="s">
        <v>18367</v>
      </c>
      <c r="BK980" t="s">
        <v>91</v>
      </c>
      <c r="BL980" t="s">
        <v>18367</v>
      </c>
      <c r="BM980" t="s">
        <v>18368</v>
      </c>
      <c r="BN980">
        <v>24848382</v>
      </c>
      <c r="BO980" t="s">
        <v>74</v>
      </c>
      <c r="BP980" t="s">
        <v>74</v>
      </c>
      <c r="BQ980" t="s">
        <v>74</v>
      </c>
      <c r="BR980" t="s">
        <v>93</v>
      </c>
      <c r="BS980" t="s">
        <v>18369</v>
      </c>
      <c r="BT980" t="str">
        <f>HYPERLINK("https%3A%2F%2Fwww.webofscience.com%2Fwos%2Fwoscc%2Ffull-record%2FWOS:000341815700002","View Full Record in Web of Science")</f>
        <v>View Full Record in Web of Science</v>
      </c>
    </row>
    <row r="981" spans="1:72" x14ac:dyDescent="0.15">
      <c r="A981" t="s">
        <v>72</v>
      </c>
      <c r="B981" t="s">
        <v>18370</v>
      </c>
      <c r="C981" t="s">
        <v>74</v>
      </c>
      <c r="D981" t="s">
        <v>74</v>
      </c>
      <c r="E981" t="s">
        <v>74</v>
      </c>
      <c r="F981" t="s">
        <v>18371</v>
      </c>
      <c r="G981" t="s">
        <v>74</v>
      </c>
      <c r="H981" t="s">
        <v>74</v>
      </c>
      <c r="I981" t="s">
        <v>18372</v>
      </c>
      <c r="J981" t="s">
        <v>10938</v>
      </c>
      <c r="K981" t="s">
        <v>74</v>
      </c>
      <c r="L981" t="s">
        <v>74</v>
      </c>
      <c r="M981" t="s">
        <v>78</v>
      </c>
      <c r="N981" t="s">
        <v>5947</v>
      </c>
      <c r="O981" t="s">
        <v>74</v>
      </c>
      <c r="P981" t="s">
        <v>74</v>
      </c>
      <c r="Q981" t="s">
        <v>74</v>
      </c>
      <c r="R981" t="s">
        <v>74</v>
      </c>
      <c r="S981" t="s">
        <v>74</v>
      </c>
      <c r="T981" t="s">
        <v>74</v>
      </c>
      <c r="U981" t="s">
        <v>74</v>
      </c>
      <c r="V981" t="s">
        <v>74</v>
      </c>
      <c r="W981" t="s">
        <v>74</v>
      </c>
      <c r="X981" t="s">
        <v>74</v>
      </c>
      <c r="Y981" t="s">
        <v>74</v>
      </c>
      <c r="Z981" t="s">
        <v>74</v>
      </c>
      <c r="AA981" t="s">
        <v>74</v>
      </c>
      <c r="AB981" t="s">
        <v>18373</v>
      </c>
      <c r="AC981" t="s">
        <v>18374</v>
      </c>
      <c r="AD981" t="s">
        <v>4756</v>
      </c>
      <c r="AE981" t="s">
        <v>74</v>
      </c>
      <c r="AF981" t="s">
        <v>74</v>
      </c>
      <c r="AG981">
        <v>0</v>
      </c>
      <c r="AH981">
        <v>0</v>
      </c>
      <c r="AI981">
        <v>0</v>
      </c>
      <c r="AJ981">
        <v>0</v>
      </c>
      <c r="AK981">
        <v>2</v>
      </c>
      <c r="AL981" t="s">
        <v>365</v>
      </c>
      <c r="AM981" t="s">
        <v>342</v>
      </c>
      <c r="AN981" t="s">
        <v>2314</v>
      </c>
      <c r="AO981" t="s">
        <v>10944</v>
      </c>
      <c r="AP981" t="s">
        <v>10945</v>
      </c>
      <c r="AQ981" t="s">
        <v>74</v>
      </c>
      <c r="AR981" t="s">
        <v>10946</v>
      </c>
      <c r="AS981" t="s">
        <v>10947</v>
      </c>
      <c r="AT981" t="s">
        <v>17045</v>
      </c>
      <c r="AU981">
        <v>2014</v>
      </c>
      <c r="AV981">
        <v>26</v>
      </c>
      <c r="AW981">
        <v>5</v>
      </c>
      <c r="AX981" t="s">
        <v>74</v>
      </c>
      <c r="AY981" t="s">
        <v>74</v>
      </c>
      <c r="AZ981" t="s">
        <v>74</v>
      </c>
      <c r="BA981" t="s">
        <v>74</v>
      </c>
      <c r="BB981">
        <v>457</v>
      </c>
      <c r="BC981">
        <v>457</v>
      </c>
      <c r="BD981" t="s">
        <v>74</v>
      </c>
      <c r="BE981" t="s">
        <v>18375</v>
      </c>
      <c r="BF981" t="str">
        <f>HYPERLINK("http://dx.doi.org/10.1017/S0954102014000662","http://dx.doi.org/10.1017/S0954102014000662")</f>
        <v>http://dx.doi.org/10.1017/S0954102014000662</v>
      </c>
      <c r="BG981" t="s">
        <v>74</v>
      </c>
      <c r="BH981" t="s">
        <v>74</v>
      </c>
      <c r="BI981">
        <v>1</v>
      </c>
      <c r="BJ981" t="s">
        <v>10949</v>
      </c>
      <c r="BK981" t="s">
        <v>91</v>
      </c>
      <c r="BL981" t="s">
        <v>10950</v>
      </c>
      <c r="BM981" t="s">
        <v>17315</v>
      </c>
      <c r="BN981" t="s">
        <v>74</v>
      </c>
      <c r="BO981" t="s">
        <v>1904</v>
      </c>
      <c r="BP981" t="s">
        <v>74</v>
      </c>
      <c r="BQ981" t="s">
        <v>74</v>
      </c>
      <c r="BR981" t="s">
        <v>93</v>
      </c>
      <c r="BS981" t="s">
        <v>18376</v>
      </c>
      <c r="BT981" t="str">
        <f>HYPERLINK("https%3A%2F%2Fwww.webofscience.com%2Fwos%2Fwoscc%2Ffull-record%2FWOS:000344735300001","View Full Record in Web of Science")</f>
        <v>View Full Record in Web of Science</v>
      </c>
    </row>
    <row r="982" spans="1:72" x14ac:dyDescent="0.15">
      <c r="A982" t="s">
        <v>72</v>
      </c>
      <c r="B982" t="s">
        <v>18377</v>
      </c>
      <c r="C982" t="s">
        <v>74</v>
      </c>
      <c r="D982" t="s">
        <v>74</v>
      </c>
      <c r="E982" t="s">
        <v>74</v>
      </c>
      <c r="F982" t="s">
        <v>18378</v>
      </c>
      <c r="G982" t="s">
        <v>74</v>
      </c>
      <c r="H982" t="s">
        <v>74</v>
      </c>
      <c r="I982" t="s">
        <v>18379</v>
      </c>
      <c r="J982" t="s">
        <v>10938</v>
      </c>
      <c r="K982" t="s">
        <v>74</v>
      </c>
      <c r="L982" t="s">
        <v>74</v>
      </c>
      <c r="M982" t="s">
        <v>78</v>
      </c>
      <c r="N982" t="s">
        <v>99</v>
      </c>
      <c r="O982" t="s">
        <v>74</v>
      </c>
      <c r="P982" t="s">
        <v>74</v>
      </c>
      <c r="Q982" t="s">
        <v>74</v>
      </c>
      <c r="R982" t="s">
        <v>74</v>
      </c>
      <c r="S982" t="s">
        <v>74</v>
      </c>
      <c r="T982" t="s">
        <v>18380</v>
      </c>
      <c r="U982" t="s">
        <v>18381</v>
      </c>
      <c r="V982" t="s">
        <v>18382</v>
      </c>
      <c r="W982" t="s">
        <v>18383</v>
      </c>
      <c r="X982" t="s">
        <v>18384</v>
      </c>
      <c r="Y982" t="s">
        <v>18385</v>
      </c>
      <c r="Z982" t="s">
        <v>12475</v>
      </c>
      <c r="AA982" t="s">
        <v>18386</v>
      </c>
      <c r="AB982" t="s">
        <v>18387</v>
      </c>
      <c r="AC982" t="s">
        <v>18388</v>
      </c>
      <c r="AD982" t="s">
        <v>18389</v>
      </c>
      <c r="AE982" t="s">
        <v>18390</v>
      </c>
      <c r="AF982" t="s">
        <v>74</v>
      </c>
      <c r="AG982">
        <v>147</v>
      </c>
      <c r="AH982">
        <v>44</v>
      </c>
      <c r="AI982">
        <v>46</v>
      </c>
      <c r="AJ982">
        <v>0</v>
      </c>
      <c r="AK982">
        <v>70</v>
      </c>
      <c r="AL982" t="s">
        <v>365</v>
      </c>
      <c r="AM982" t="s">
        <v>342</v>
      </c>
      <c r="AN982" t="s">
        <v>2314</v>
      </c>
      <c r="AO982" t="s">
        <v>10944</v>
      </c>
      <c r="AP982" t="s">
        <v>10945</v>
      </c>
      <c r="AQ982" t="s">
        <v>74</v>
      </c>
      <c r="AR982" t="s">
        <v>10946</v>
      </c>
      <c r="AS982" t="s">
        <v>10947</v>
      </c>
      <c r="AT982" t="s">
        <v>17045</v>
      </c>
      <c r="AU982">
        <v>2014</v>
      </c>
      <c r="AV982">
        <v>26</v>
      </c>
      <c r="AW982">
        <v>5</v>
      </c>
      <c r="AX982" t="s">
        <v>74</v>
      </c>
      <c r="AY982" t="s">
        <v>74</v>
      </c>
      <c r="AZ982" t="s">
        <v>74</v>
      </c>
      <c r="BA982" t="s">
        <v>74</v>
      </c>
      <c r="BB982">
        <v>459</v>
      </c>
      <c r="BC982">
        <v>477</v>
      </c>
      <c r="BD982" t="s">
        <v>74</v>
      </c>
      <c r="BE982" t="s">
        <v>18391</v>
      </c>
      <c r="BF982" t="str">
        <f>HYPERLINK("http://dx.doi.org/10.1017/S0954102014000194","http://dx.doi.org/10.1017/S0954102014000194")</f>
        <v>http://dx.doi.org/10.1017/S0954102014000194</v>
      </c>
      <c r="BG982" t="s">
        <v>74</v>
      </c>
      <c r="BH982" t="s">
        <v>74</v>
      </c>
      <c r="BI982">
        <v>19</v>
      </c>
      <c r="BJ982" t="s">
        <v>10949</v>
      </c>
      <c r="BK982" t="s">
        <v>91</v>
      </c>
      <c r="BL982" t="s">
        <v>10950</v>
      </c>
      <c r="BM982" t="s">
        <v>17315</v>
      </c>
      <c r="BN982" t="s">
        <v>74</v>
      </c>
      <c r="BO982" t="s">
        <v>74</v>
      </c>
      <c r="BP982" t="s">
        <v>74</v>
      </c>
      <c r="BQ982" t="s">
        <v>74</v>
      </c>
      <c r="BR982" t="s">
        <v>93</v>
      </c>
      <c r="BS982" t="s">
        <v>18392</v>
      </c>
      <c r="BT982" t="str">
        <f>HYPERLINK("https%3A%2F%2Fwww.webofscience.com%2Fwos%2Fwoscc%2Ffull-record%2FWOS:000344735300002","View Full Record in Web of Science")</f>
        <v>View Full Record in Web of Science</v>
      </c>
    </row>
    <row r="983" spans="1:72" x14ac:dyDescent="0.15">
      <c r="A983" t="s">
        <v>72</v>
      </c>
      <c r="B983" t="s">
        <v>18393</v>
      </c>
      <c r="C983" t="s">
        <v>74</v>
      </c>
      <c r="D983" t="s">
        <v>74</v>
      </c>
      <c r="E983" t="s">
        <v>74</v>
      </c>
      <c r="F983" t="s">
        <v>18394</v>
      </c>
      <c r="G983" t="s">
        <v>74</v>
      </c>
      <c r="H983" t="s">
        <v>74</v>
      </c>
      <c r="I983" t="s">
        <v>18395</v>
      </c>
      <c r="J983" t="s">
        <v>10938</v>
      </c>
      <c r="K983" t="s">
        <v>74</v>
      </c>
      <c r="L983" t="s">
        <v>74</v>
      </c>
      <c r="M983" t="s">
        <v>78</v>
      </c>
      <c r="N983" t="s">
        <v>99</v>
      </c>
      <c r="O983" t="s">
        <v>74</v>
      </c>
      <c r="P983" t="s">
        <v>74</v>
      </c>
      <c r="Q983" t="s">
        <v>74</v>
      </c>
      <c r="R983" t="s">
        <v>74</v>
      </c>
      <c r="S983" t="s">
        <v>74</v>
      </c>
      <c r="T983" t="s">
        <v>18396</v>
      </c>
      <c r="U983" t="s">
        <v>18397</v>
      </c>
      <c r="V983" t="s">
        <v>18398</v>
      </c>
      <c r="W983" t="s">
        <v>18399</v>
      </c>
      <c r="X983" t="s">
        <v>18400</v>
      </c>
      <c r="Y983" t="s">
        <v>18401</v>
      </c>
      <c r="Z983" t="s">
        <v>18402</v>
      </c>
      <c r="AA983" t="s">
        <v>18403</v>
      </c>
      <c r="AB983" t="s">
        <v>18404</v>
      </c>
      <c r="AC983" t="s">
        <v>18405</v>
      </c>
      <c r="AD983" t="s">
        <v>18406</v>
      </c>
      <c r="AE983" t="s">
        <v>18407</v>
      </c>
      <c r="AF983" t="s">
        <v>74</v>
      </c>
      <c r="AG983">
        <v>38</v>
      </c>
      <c r="AH983">
        <v>9</v>
      </c>
      <c r="AI983">
        <v>11</v>
      </c>
      <c r="AJ983">
        <v>1</v>
      </c>
      <c r="AK983">
        <v>43</v>
      </c>
      <c r="AL983" t="s">
        <v>365</v>
      </c>
      <c r="AM983" t="s">
        <v>342</v>
      </c>
      <c r="AN983" t="s">
        <v>2314</v>
      </c>
      <c r="AO983" t="s">
        <v>10944</v>
      </c>
      <c r="AP983" t="s">
        <v>10945</v>
      </c>
      <c r="AQ983" t="s">
        <v>74</v>
      </c>
      <c r="AR983" t="s">
        <v>10946</v>
      </c>
      <c r="AS983" t="s">
        <v>10947</v>
      </c>
      <c r="AT983" t="s">
        <v>17045</v>
      </c>
      <c r="AU983">
        <v>2014</v>
      </c>
      <c r="AV983">
        <v>26</v>
      </c>
      <c r="AW983">
        <v>5</v>
      </c>
      <c r="AX983" t="s">
        <v>74</v>
      </c>
      <c r="AY983" t="s">
        <v>74</v>
      </c>
      <c r="AZ983" t="s">
        <v>74</v>
      </c>
      <c r="BA983" t="s">
        <v>74</v>
      </c>
      <c r="BB983">
        <v>513</v>
      </c>
      <c r="BC983">
        <v>520</v>
      </c>
      <c r="BD983" t="s">
        <v>74</v>
      </c>
      <c r="BE983" t="s">
        <v>18408</v>
      </c>
      <c r="BF983" t="str">
        <f>HYPERLINK("http://dx.doi.org/10.1017/S0954102014000030","http://dx.doi.org/10.1017/S0954102014000030")</f>
        <v>http://dx.doi.org/10.1017/S0954102014000030</v>
      </c>
      <c r="BG983" t="s">
        <v>74</v>
      </c>
      <c r="BH983" t="s">
        <v>74</v>
      </c>
      <c r="BI983">
        <v>8</v>
      </c>
      <c r="BJ983" t="s">
        <v>10949</v>
      </c>
      <c r="BK983" t="s">
        <v>91</v>
      </c>
      <c r="BL983" t="s">
        <v>10950</v>
      </c>
      <c r="BM983" t="s">
        <v>17315</v>
      </c>
      <c r="BN983" t="s">
        <v>74</v>
      </c>
      <c r="BO983" t="s">
        <v>4631</v>
      </c>
      <c r="BP983" t="s">
        <v>74</v>
      </c>
      <c r="BQ983" t="s">
        <v>74</v>
      </c>
      <c r="BR983" t="s">
        <v>93</v>
      </c>
      <c r="BS983" t="s">
        <v>18409</v>
      </c>
      <c r="BT983" t="str">
        <f>HYPERLINK("https%3A%2F%2Fwww.webofscience.com%2Fwos%2Fwoscc%2Ffull-record%2FWOS:000344735300006","View Full Record in Web of Science")</f>
        <v>View Full Record in Web of Science</v>
      </c>
    </row>
    <row r="984" spans="1:72" x14ac:dyDescent="0.15">
      <c r="A984" t="s">
        <v>72</v>
      </c>
      <c r="B984" t="s">
        <v>18410</v>
      </c>
      <c r="C984" t="s">
        <v>74</v>
      </c>
      <c r="D984" t="s">
        <v>74</v>
      </c>
      <c r="E984" t="s">
        <v>74</v>
      </c>
      <c r="F984" t="s">
        <v>18411</v>
      </c>
      <c r="G984" t="s">
        <v>74</v>
      </c>
      <c r="H984" t="s">
        <v>74</v>
      </c>
      <c r="I984" t="s">
        <v>18412</v>
      </c>
      <c r="J984" t="s">
        <v>10938</v>
      </c>
      <c r="K984" t="s">
        <v>74</v>
      </c>
      <c r="L984" t="s">
        <v>74</v>
      </c>
      <c r="M984" t="s">
        <v>78</v>
      </c>
      <c r="N984" t="s">
        <v>99</v>
      </c>
      <c r="O984" t="s">
        <v>74</v>
      </c>
      <c r="P984" t="s">
        <v>74</v>
      </c>
      <c r="Q984" t="s">
        <v>74</v>
      </c>
      <c r="R984" t="s">
        <v>74</v>
      </c>
      <c r="S984" t="s">
        <v>74</v>
      </c>
      <c r="T984" t="s">
        <v>18413</v>
      </c>
      <c r="U984" t="s">
        <v>18414</v>
      </c>
      <c r="V984" t="s">
        <v>18415</v>
      </c>
      <c r="W984" t="s">
        <v>18416</v>
      </c>
      <c r="X984" t="s">
        <v>18417</v>
      </c>
      <c r="Y984" t="s">
        <v>18418</v>
      </c>
      <c r="Z984" t="s">
        <v>18419</v>
      </c>
      <c r="AA984" t="s">
        <v>74</v>
      </c>
      <c r="AB984" t="s">
        <v>18420</v>
      </c>
      <c r="AC984" t="s">
        <v>18421</v>
      </c>
      <c r="AD984" t="s">
        <v>18422</v>
      </c>
      <c r="AE984" t="s">
        <v>18423</v>
      </c>
      <c r="AF984" t="s">
        <v>74</v>
      </c>
      <c r="AG984">
        <v>34</v>
      </c>
      <c r="AH984">
        <v>16</v>
      </c>
      <c r="AI984">
        <v>17</v>
      </c>
      <c r="AJ984">
        <v>1</v>
      </c>
      <c r="AK984">
        <v>48</v>
      </c>
      <c r="AL984" t="s">
        <v>365</v>
      </c>
      <c r="AM984" t="s">
        <v>342</v>
      </c>
      <c r="AN984" t="s">
        <v>2314</v>
      </c>
      <c r="AO984" t="s">
        <v>10944</v>
      </c>
      <c r="AP984" t="s">
        <v>10945</v>
      </c>
      <c r="AQ984" t="s">
        <v>74</v>
      </c>
      <c r="AR984" t="s">
        <v>10946</v>
      </c>
      <c r="AS984" t="s">
        <v>10947</v>
      </c>
      <c r="AT984" t="s">
        <v>17045</v>
      </c>
      <c r="AU984">
        <v>2014</v>
      </c>
      <c r="AV984">
        <v>26</v>
      </c>
      <c r="AW984">
        <v>5</v>
      </c>
      <c r="AX984" t="s">
        <v>74</v>
      </c>
      <c r="AY984" t="s">
        <v>74</v>
      </c>
      <c r="AZ984" t="s">
        <v>74</v>
      </c>
      <c r="BA984" t="s">
        <v>74</v>
      </c>
      <c r="BB984">
        <v>565</v>
      </c>
      <c r="BC984">
        <v>572</v>
      </c>
      <c r="BD984" t="s">
        <v>74</v>
      </c>
      <c r="BE984" t="s">
        <v>18424</v>
      </c>
      <c r="BF984" t="str">
        <f>HYPERLINK("http://dx.doi.org/10.1017/S0954102013000977","http://dx.doi.org/10.1017/S0954102013000977")</f>
        <v>http://dx.doi.org/10.1017/S0954102013000977</v>
      </c>
      <c r="BG984" t="s">
        <v>74</v>
      </c>
      <c r="BH984" t="s">
        <v>74</v>
      </c>
      <c r="BI984">
        <v>8</v>
      </c>
      <c r="BJ984" t="s">
        <v>10949</v>
      </c>
      <c r="BK984" t="s">
        <v>91</v>
      </c>
      <c r="BL984" t="s">
        <v>10950</v>
      </c>
      <c r="BM984" t="s">
        <v>17315</v>
      </c>
      <c r="BN984" t="s">
        <v>74</v>
      </c>
      <c r="BO984" t="s">
        <v>574</v>
      </c>
      <c r="BP984" t="s">
        <v>74</v>
      </c>
      <c r="BQ984" t="s">
        <v>74</v>
      </c>
      <c r="BR984" t="s">
        <v>93</v>
      </c>
      <c r="BS984" t="s">
        <v>18425</v>
      </c>
      <c r="BT984" t="str">
        <f>HYPERLINK("https%3A%2F%2Fwww.webofscience.com%2Fwos%2Fwoscc%2Ffull-record%2FWOS:000344735300012","View Full Record in Web of Science")</f>
        <v>View Full Record in Web of Science</v>
      </c>
    </row>
    <row r="985" spans="1:72" x14ac:dyDescent="0.15">
      <c r="A985" t="s">
        <v>72</v>
      </c>
      <c r="B985" t="s">
        <v>18426</v>
      </c>
      <c r="C985" t="s">
        <v>74</v>
      </c>
      <c r="D985" t="s">
        <v>74</v>
      </c>
      <c r="E985" t="s">
        <v>74</v>
      </c>
      <c r="F985" t="s">
        <v>18427</v>
      </c>
      <c r="G985" t="s">
        <v>74</v>
      </c>
      <c r="H985" t="s">
        <v>74</v>
      </c>
      <c r="I985" t="s">
        <v>18428</v>
      </c>
      <c r="J985" t="s">
        <v>10938</v>
      </c>
      <c r="K985" t="s">
        <v>74</v>
      </c>
      <c r="L985" t="s">
        <v>74</v>
      </c>
      <c r="M985" t="s">
        <v>78</v>
      </c>
      <c r="N985" t="s">
        <v>99</v>
      </c>
      <c r="O985" t="s">
        <v>74</v>
      </c>
      <c r="P985" t="s">
        <v>74</v>
      </c>
      <c r="Q985" t="s">
        <v>74</v>
      </c>
      <c r="R985" t="s">
        <v>74</v>
      </c>
      <c r="S985" t="s">
        <v>74</v>
      </c>
      <c r="T985" t="s">
        <v>18429</v>
      </c>
      <c r="U985" t="s">
        <v>18430</v>
      </c>
      <c r="V985" t="s">
        <v>18431</v>
      </c>
      <c r="W985" t="s">
        <v>18432</v>
      </c>
      <c r="X985" t="s">
        <v>18433</v>
      </c>
      <c r="Y985" t="s">
        <v>18434</v>
      </c>
      <c r="Z985" t="s">
        <v>18435</v>
      </c>
      <c r="AA985" t="s">
        <v>18436</v>
      </c>
      <c r="AB985" t="s">
        <v>18437</v>
      </c>
      <c r="AC985" t="s">
        <v>18438</v>
      </c>
      <c r="AD985" t="s">
        <v>18439</v>
      </c>
      <c r="AE985" t="s">
        <v>18440</v>
      </c>
      <c r="AF985" t="s">
        <v>74</v>
      </c>
      <c r="AG985">
        <v>40</v>
      </c>
      <c r="AH985">
        <v>16</v>
      </c>
      <c r="AI985">
        <v>16</v>
      </c>
      <c r="AJ985">
        <v>0</v>
      </c>
      <c r="AK985">
        <v>40</v>
      </c>
      <c r="AL985" t="s">
        <v>365</v>
      </c>
      <c r="AM985" t="s">
        <v>342</v>
      </c>
      <c r="AN985" t="s">
        <v>2314</v>
      </c>
      <c r="AO985" t="s">
        <v>10944</v>
      </c>
      <c r="AP985" t="s">
        <v>10945</v>
      </c>
      <c r="AQ985" t="s">
        <v>74</v>
      </c>
      <c r="AR985" t="s">
        <v>10946</v>
      </c>
      <c r="AS985" t="s">
        <v>10947</v>
      </c>
      <c r="AT985" t="s">
        <v>17045</v>
      </c>
      <c r="AU985">
        <v>2014</v>
      </c>
      <c r="AV985">
        <v>26</v>
      </c>
      <c r="AW985">
        <v>5</v>
      </c>
      <c r="AX985" t="s">
        <v>74</v>
      </c>
      <c r="AY985" t="s">
        <v>74</v>
      </c>
      <c r="AZ985" t="s">
        <v>74</v>
      </c>
      <c r="BA985" t="s">
        <v>74</v>
      </c>
      <c r="BB985">
        <v>585</v>
      </c>
      <c r="BC985">
        <v>598</v>
      </c>
      <c r="BD985" t="s">
        <v>74</v>
      </c>
      <c r="BE985" t="s">
        <v>18441</v>
      </c>
      <c r="BF985" t="str">
        <f>HYPERLINK("http://dx.doi.org/10.1017/S0954102014000029","http://dx.doi.org/10.1017/S0954102014000029")</f>
        <v>http://dx.doi.org/10.1017/S0954102014000029</v>
      </c>
      <c r="BG985" t="s">
        <v>74</v>
      </c>
      <c r="BH985" t="s">
        <v>74</v>
      </c>
      <c r="BI985">
        <v>14</v>
      </c>
      <c r="BJ985" t="s">
        <v>10949</v>
      </c>
      <c r="BK985" t="s">
        <v>91</v>
      </c>
      <c r="BL985" t="s">
        <v>10950</v>
      </c>
      <c r="BM985" t="s">
        <v>17315</v>
      </c>
      <c r="BN985" t="s">
        <v>74</v>
      </c>
      <c r="BO985" t="s">
        <v>4631</v>
      </c>
      <c r="BP985" t="s">
        <v>74</v>
      </c>
      <c r="BQ985" t="s">
        <v>74</v>
      </c>
      <c r="BR985" t="s">
        <v>93</v>
      </c>
      <c r="BS985" t="s">
        <v>18442</v>
      </c>
      <c r="BT985" t="str">
        <f>HYPERLINK("https%3A%2F%2Fwww.webofscience.com%2Fwos%2Fwoscc%2Ffull-record%2FWOS:000344735300014","View Full Record in Web of Science")</f>
        <v>View Full Record in Web of Science</v>
      </c>
    </row>
    <row r="986" spans="1:72" x14ac:dyDescent="0.15">
      <c r="A986" t="s">
        <v>72</v>
      </c>
      <c r="B986" t="s">
        <v>18443</v>
      </c>
      <c r="C986" t="s">
        <v>74</v>
      </c>
      <c r="D986" t="s">
        <v>74</v>
      </c>
      <c r="E986" t="s">
        <v>74</v>
      </c>
      <c r="F986" t="s">
        <v>18444</v>
      </c>
      <c r="G986" t="s">
        <v>74</v>
      </c>
      <c r="H986" t="s">
        <v>74</v>
      </c>
      <c r="I986" t="s">
        <v>18445</v>
      </c>
      <c r="J986" t="s">
        <v>2725</v>
      </c>
      <c r="K986" t="s">
        <v>74</v>
      </c>
      <c r="L986" t="s">
        <v>74</v>
      </c>
      <c r="M986" t="s">
        <v>78</v>
      </c>
      <c r="N986" t="s">
        <v>99</v>
      </c>
      <c r="O986" t="s">
        <v>74</v>
      </c>
      <c r="P986" t="s">
        <v>74</v>
      </c>
      <c r="Q986" t="s">
        <v>74</v>
      </c>
      <c r="R986" t="s">
        <v>74</v>
      </c>
      <c r="S986" t="s">
        <v>74</v>
      </c>
      <c r="T986" t="s">
        <v>18446</v>
      </c>
      <c r="U986" t="s">
        <v>18447</v>
      </c>
      <c r="V986" t="s">
        <v>18448</v>
      </c>
      <c r="W986" t="s">
        <v>18449</v>
      </c>
      <c r="X986" t="s">
        <v>18450</v>
      </c>
      <c r="Y986" t="s">
        <v>18451</v>
      </c>
      <c r="Z986" t="s">
        <v>18452</v>
      </c>
      <c r="AA986" t="s">
        <v>74</v>
      </c>
      <c r="AB986" t="s">
        <v>74</v>
      </c>
      <c r="AC986" t="s">
        <v>18453</v>
      </c>
      <c r="AD986" t="s">
        <v>18454</v>
      </c>
      <c r="AE986" t="s">
        <v>18455</v>
      </c>
      <c r="AF986" t="s">
        <v>74</v>
      </c>
      <c r="AG986">
        <v>29</v>
      </c>
      <c r="AH986">
        <v>26</v>
      </c>
      <c r="AI986">
        <v>27</v>
      </c>
      <c r="AJ986">
        <v>3</v>
      </c>
      <c r="AK986">
        <v>55</v>
      </c>
      <c r="AL986" t="s">
        <v>2439</v>
      </c>
      <c r="AM986" t="s">
        <v>1411</v>
      </c>
      <c r="AN986" t="s">
        <v>2440</v>
      </c>
      <c r="AO986" t="s">
        <v>2738</v>
      </c>
      <c r="AP986" t="s">
        <v>2739</v>
      </c>
      <c r="AQ986" t="s">
        <v>74</v>
      </c>
      <c r="AR986" t="s">
        <v>2740</v>
      </c>
      <c r="AS986" t="s">
        <v>2741</v>
      </c>
      <c r="AT986" t="s">
        <v>17045</v>
      </c>
      <c r="AU986">
        <v>2014</v>
      </c>
      <c r="AV986">
        <v>96</v>
      </c>
      <c r="AW986" t="s">
        <v>74</v>
      </c>
      <c r="AX986" t="s">
        <v>74</v>
      </c>
      <c r="AY986" t="s">
        <v>74</v>
      </c>
      <c r="AZ986" t="s">
        <v>74</v>
      </c>
      <c r="BA986" t="s">
        <v>74</v>
      </c>
      <c r="BB986">
        <v>11</v>
      </c>
      <c r="BC986">
        <v>19</v>
      </c>
      <c r="BD986" t="s">
        <v>74</v>
      </c>
      <c r="BE986" t="s">
        <v>18456</v>
      </c>
      <c r="BF986" t="str">
        <f>HYPERLINK("http://dx.doi.org/10.1016/j.atmosenv.2014.07.025","http://dx.doi.org/10.1016/j.atmosenv.2014.07.025")</f>
        <v>http://dx.doi.org/10.1016/j.atmosenv.2014.07.025</v>
      </c>
      <c r="BG986" t="s">
        <v>74</v>
      </c>
      <c r="BH986" t="s">
        <v>74</v>
      </c>
      <c r="BI986">
        <v>9</v>
      </c>
      <c r="BJ986" t="s">
        <v>497</v>
      </c>
      <c r="BK986" t="s">
        <v>91</v>
      </c>
      <c r="BL986" t="s">
        <v>498</v>
      </c>
      <c r="BM986" t="s">
        <v>18457</v>
      </c>
      <c r="BN986" t="s">
        <v>74</v>
      </c>
      <c r="BO986" t="s">
        <v>574</v>
      </c>
      <c r="BP986" t="s">
        <v>74</v>
      </c>
      <c r="BQ986" t="s">
        <v>74</v>
      </c>
      <c r="BR986" t="s">
        <v>93</v>
      </c>
      <c r="BS986" t="s">
        <v>18458</v>
      </c>
      <c r="BT986" t="str">
        <f>HYPERLINK("https%3A%2F%2Fwww.webofscience.com%2Fwos%2Fwoscc%2Ffull-record%2FWOS:000342247700002","View Full Record in Web of Science")</f>
        <v>View Full Record in Web of Science</v>
      </c>
    </row>
    <row r="987" spans="1:72" x14ac:dyDescent="0.15">
      <c r="A987" t="s">
        <v>72</v>
      </c>
      <c r="B987" t="s">
        <v>18459</v>
      </c>
      <c r="C987" t="s">
        <v>74</v>
      </c>
      <c r="D987" t="s">
        <v>74</v>
      </c>
      <c r="E987" t="s">
        <v>74</v>
      </c>
      <c r="F987" t="s">
        <v>18460</v>
      </c>
      <c r="G987" t="s">
        <v>74</v>
      </c>
      <c r="H987" t="s">
        <v>74</v>
      </c>
      <c r="I987" t="s">
        <v>18461</v>
      </c>
      <c r="J987" t="s">
        <v>2749</v>
      </c>
      <c r="K987" t="s">
        <v>74</v>
      </c>
      <c r="L987" t="s">
        <v>74</v>
      </c>
      <c r="M987" t="s">
        <v>78</v>
      </c>
      <c r="N987" t="s">
        <v>99</v>
      </c>
      <c r="O987" t="s">
        <v>74</v>
      </c>
      <c r="P987" t="s">
        <v>74</v>
      </c>
      <c r="Q987" t="s">
        <v>74</v>
      </c>
      <c r="R987" t="s">
        <v>74</v>
      </c>
      <c r="S987" t="s">
        <v>74</v>
      </c>
      <c r="T987" t="s">
        <v>18462</v>
      </c>
      <c r="U987" t="s">
        <v>18463</v>
      </c>
      <c r="V987" t="s">
        <v>18464</v>
      </c>
      <c r="W987" t="s">
        <v>18465</v>
      </c>
      <c r="X987" t="s">
        <v>18466</v>
      </c>
      <c r="Y987" t="s">
        <v>18467</v>
      </c>
      <c r="Z987" t="s">
        <v>18468</v>
      </c>
      <c r="AA987" t="s">
        <v>18469</v>
      </c>
      <c r="AB987" t="s">
        <v>18470</v>
      </c>
      <c r="AC987" t="s">
        <v>18471</v>
      </c>
      <c r="AD987" t="s">
        <v>18472</v>
      </c>
      <c r="AE987" t="s">
        <v>18473</v>
      </c>
      <c r="AF987" t="s">
        <v>74</v>
      </c>
      <c r="AG987">
        <v>45</v>
      </c>
      <c r="AH987">
        <v>23</v>
      </c>
      <c r="AI987">
        <v>23</v>
      </c>
      <c r="AJ987">
        <v>0</v>
      </c>
      <c r="AK987">
        <v>23</v>
      </c>
      <c r="AL987" t="s">
        <v>2666</v>
      </c>
      <c r="AM987" t="s">
        <v>342</v>
      </c>
      <c r="AN987" t="s">
        <v>2667</v>
      </c>
      <c r="AO987" t="s">
        <v>2762</v>
      </c>
      <c r="AP987" t="s">
        <v>2763</v>
      </c>
      <c r="AQ987" t="s">
        <v>74</v>
      </c>
      <c r="AR987" t="s">
        <v>2764</v>
      </c>
      <c r="AS987" t="s">
        <v>2765</v>
      </c>
      <c r="AT987" t="s">
        <v>17045</v>
      </c>
      <c r="AU987">
        <v>2014</v>
      </c>
      <c r="AV987">
        <v>43</v>
      </c>
      <c r="AW987" t="s">
        <v>18075</v>
      </c>
      <c r="AX987" t="s">
        <v>74</v>
      </c>
      <c r="AY987" t="s">
        <v>74</v>
      </c>
      <c r="AZ987" t="s">
        <v>74</v>
      </c>
      <c r="BA987" t="s">
        <v>74</v>
      </c>
      <c r="BB987">
        <v>2043</v>
      </c>
      <c r="BC987">
        <v>2059</v>
      </c>
      <c r="BD987" t="s">
        <v>74</v>
      </c>
      <c r="BE987" t="s">
        <v>18474</v>
      </c>
      <c r="BF987" t="str">
        <f>HYPERLINK("http://dx.doi.org/10.1007/s00382-013-2029-9","http://dx.doi.org/10.1007/s00382-013-2029-9")</f>
        <v>http://dx.doi.org/10.1007/s00382-013-2029-9</v>
      </c>
      <c r="BG987" t="s">
        <v>74</v>
      </c>
      <c r="BH987" t="s">
        <v>74</v>
      </c>
      <c r="BI987">
        <v>17</v>
      </c>
      <c r="BJ987" t="s">
        <v>226</v>
      </c>
      <c r="BK987" t="s">
        <v>91</v>
      </c>
      <c r="BL987" t="s">
        <v>226</v>
      </c>
      <c r="BM987" t="s">
        <v>18077</v>
      </c>
      <c r="BN987" t="s">
        <v>74</v>
      </c>
      <c r="BO987" t="s">
        <v>74</v>
      </c>
      <c r="BP987" t="s">
        <v>74</v>
      </c>
      <c r="BQ987" t="s">
        <v>74</v>
      </c>
      <c r="BR987" t="s">
        <v>93</v>
      </c>
      <c r="BS987" t="s">
        <v>18475</v>
      </c>
      <c r="BT987" t="str">
        <f>HYPERLINK("https%3A%2F%2Fwww.webofscience.com%2Fwos%2Fwoscc%2Ffull-record%2FWOS:000342493600020","View Full Record in Web of Science")</f>
        <v>View Full Record in Web of Science</v>
      </c>
    </row>
    <row r="988" spans="1:72" x14ac:dyDescent="0.15">
      <c r="A988" t="s">
        <v>72</v>
      </c>
      <c r="B988" t="s">
        <v>18476</v>
      </c>
      <c r="C988" t="s">
        <v>74</v>
      </c>
      <c r="D988" t="s">
        <v>74</v>
      </c>
      <c r="E988" t="s">
        <v>74</v>
      </c>
      <c r="F988" t="s">
        <v>18477</v>
      </c>
      <c r="G988" t="s">
        <v>74</v>
      </c>
      <c r="H988" t="s">
        <v>74</v>
      </c>
      <c r="I988" t="s">
        <v>18478</v>
      </c>
      <c r="J988" t="s">
        <v>2749</v>
      </c>
      <c r="K988" t="s">
        <v>74</v>
      </c>
      <c r="L988" t="s">
        <v>74</v>
      </c>
      <c r="M988" t="s">
        <v>78</v>
      </c>
      <c r="N988" t="s">
        <v>99</v>
      </c>
      <c r="O988" t="s">
        <v>74</v>
      </c>
      <c r="P988" t="s">
        <v>74</v>
      </c>
      <c r="Q988" t="s">
        <v>74</v>
      </c>
      <c r="R988" t="s">
        <v>74</v>
      </c>
      <c r="S988" t="s">
        <v>74</v>
      </c>
      <c r="T988" t="s">
        <v>18479</v>
      </c>
      <c r="U988" t="s">
        <v>18480</v>
      </c>
      <c r="V988" t="s">
        <v>18481</v>
      </c>
      <c r="W988" t="s">
        <v>18482</v>
      </c>
      <c r="X988" t="s">
        <v>4616</v>
      </c>
      <c r="Y988" t="s">
        <v>18483</v>
      </c>
      <c r="Z988" t="s">
        <v>18484</v>
      </c>
      <c r="AA988" t="s">
        <v>18485</v>
      </c>
      <c r="AB988" t="s">
        <v>18486</v>
      </c>
      <c r="AC988" t="s">
        <v>18487</v>
      </c>
      <c r="AD988" t="s">
        <v>18488</v>
      </c>
      <c r="AE988" t="s">
        <v>18489</v>
      </c>
      <c r="AF988" t="s">
        <v>74</v>
      </c>
      <c r="AG988">
        <v>43</v>
      </c>
      <c r="AH988">
        <v>21</v>
      </c>
      <c r="AI988">
        <v>21</v>
      </c>
      <c r="AJ988">
        <v>1</v>
      </c>
      <c r="AK988">
        <v>35</v>
      </c>
      <c r="AL988" t="s">
        <v>2666</v>
      </c>
      <c r="AM988" t="s">
        <v>342</v>
      </c>
      <c r="AN988" t="s">
        <v>2667</v>
      </c>
      <c r="AO988" t="s">
        <v>2762</v>
      </c>
      <c r="AP988" t="s">
        <v>2763</v>
      </c>
      <c r="AQ988" t="s">
        <v>74</v>
      </c>
      <c r="AR988" t="s">
        <v>2764</v>
      </c>
      <c r="AS988" t="s">
        <v>2765</v>
      </c>
      <c r="AT988" t="s">
        <v>17045</v>
      </c>
      <c r="AU988">
        <v>2014</v>
      </c>
      <c r="AV988">
        <v>43</v>
      </c>
      <c r="AW988" t="s">
        <v>18075</v>
      </c>
      <c r="AX988" t="s">
        <v>74</v>
      </c>
      <c r="AY988" t="s">
        <v>74</v>
      </c>
      <c r="AZ988" t="s">
        <v>74</v>
      </c>
      <c r="BA988" t="s">
        <v>74</v>
      </c>
      <c r="BB988">
        <v>2093</v>
      </c>
      <c r="BC988">
        <v>2104</v>
      </c>
      <c r="BD988" t="s">
        <v>74</v>
      </c>
      <c r="BE988" t="s">
        <v>18490</v>
      </c>
      <c r="BF988" t="str">
        <f>HYPERLINK("http://dx.doi.org/10.1007/s00382-013-2032-1","http://dx.doi.org/10.1007/s00382-013-2032-1")</f>
        <v>http://dx.doi.org/10.1007/s00382-013-2032-1</v>
      </c>
      <c r="BG988" t="s">
        <v>74</v>
      </c>
      <c r="BH988" t="s">
        <v>74</v>
      </c>
      <c r="BI988">
        <v>12</v>
      </c>
      <c r="BJ988" t="s">
        <v>226</v>
      </c>
      <c r="BK988" t="s">
        <v>91</v>
      </c>
      <c r="BL988" t="s">
        <v>226</v>
      </c>
      <c r="BM988" t="s">
        <v>18077</v>
      </c>
      <c r="BN988" t="s">
        <v>74</v>
      </c>
      <c r="BO988" t="s">
        <v>74</v>
      </c>
      <c r="BP988" t="s">
        <v>74</v>
      </c>
      <c r="BQ988" t="s">
        <v>74</v>
      </c>
      <c r="BR988" t="s">
        <v>93</v>
      </c>
      <c r="BS988" t="s">
        <v>18491</v>
      </c>
      <c r="BT988" t="str">
        <f>HYPERLINK("https%3A%2F%2Fwww.webofscience.com%2Fwos%2Fwoscc%2Ffull-record%2FWOS:000342493600023","View Full Record in Web of Science")</f>
        <v>View Full Record in Web of Science</v>
      </c>
    </row>
    <row r="989" spans="1:72" x14ac:dyDescent="0.15">
      <c r="A989" t="s">
        <v>72</v>
      </c>
      <c r="B989" t="s">
        <v>18492</v>
      </c>
      <c r="C989" t="s">
        <v>74</v>
      </c>
      <c r="D989" t="s">
        <v>74</v>
      </c>
      <c r="E989" t="s">
        <v>74</v>
      </c>
      <c r="F989" t="s">
        <v>18493</v>
      </c>
      <c r="G989" t="s">
        <v>74</v>
      </c>
      <c r="H989" t="s">
        <v>74</v>
      </c>
      <c r="I989" t="s">
        <v>18494</v>
      </c>
      <c r="J989" t="s">
        <v>2749</v>
      </c>
      <c r="K989" t="s">
        <v>74</v>
      </c>
      <c r="L989" t="s">
        <v>74</v>
      </c>
      <c r="M989" t="s">
        <v>78</v>
      </c>
      <c r="N989" t="s">
        <v>99</v>
      </c>
      <c r="O989" t="s">
        <v>74</v>
      </c>
      <c r="P989" t="s">
        <v>74</v>
      </c>
      <c r="Q989" t="s">
        <v>74</v>
      </c>
      <c r="R989" t="s">
        <v>74</v>
      </c>
      <c r="S989" t="s">
        <v>74</v>
      </c>
      <c r="T989" t="s">
        <v>18495</v>
      </c>
      <c r="U989" t="s">
        <v>18496</v>
      </c>
      <c r="V989" t="s">
        <v>18497</v>
      </c>
      <c r="W989" t="s">
        <v>18498</v>
      </c>
      <c r="X989" t="s">
        <v>18499</v>
      </c>
      <c r="Y989" t="s">
        <v>18500</v>
      </c>
      <c r="Z989" t="s">
        <v>18501</v>
      </c>
      <c r="AA989" t="s">
        <v>18502</v>
      </c>
      <c r="AB989" t="s">
        <v>18503</v>
      </c>
      <c r="AC989" t="s">
        <v>18504</v>
      </c>
      <c r="AD989" t="s">
        <v>18505</v>
      </c>
      <c r="AE989" t="s">
        <v>18506</v>
      </c>
      <c r="AF989" t="s">
        <v>74</v>
      </c>
      <c r="AG989">
        <v>38</v>
      </c>
      <c r="AH989">
        <v>14</v>
      </c>
      <c r="AI989">
        <v>15</v>
      </c>
      <c r="AJ989">
        <v>1</v>
      </c>
      <c r="AK989">
        <v>42</v>
      </c>
      <c r="AL989" t="s">
        <v>2666</v>
      </c>
      <c r="AM989" t="s">
        <v>342</v>
      </c>
      <c r="AN989" t="s">
        <v>2667</v>
      </c>
      <c r="AO989" t="s">
        <v>2762</v>
      </c>
      <c r="AP989" t="s">
        <v>2763</v>
      </c>
      <c r="AQ989" t="s">
        <v>74</v>
      </c>
      <c r="AR989" t="s">
        <v>2764</v>
      </c>
      <c r="AS989" t="s">
        <v>2765</v>
      </c>
      <c r="AT989" t="s">
        <v>17045</v>
      </c>
      <c r="AU989">
        <v>2014</v>
      </c>
      <c r="AV989">
        <v>43</v>
      </c>
      <c r="AW989" t="s">
        <v>18075</v>
      </c>
      <c r="AX989" t="s">
        <v>74</v>
      </c>
      <c r="AY989" t="s">
        <v>74</v>
      </c>
      <c r="AZ989" t="s">
        <v>74</v>
      </c>
      <c r="BA989" t="s">
        <v>74</v>
      </c>
      <c r="BB989">
        <v>2249</v>
      </c>
      <c r="BC989">
        <v>2260</v>
      </c>
      <c r="BD989" t="s">
        <v>74</v>
      </c>
      <c r="BE989" t="s">
        <v>18507</v>
      </c>
      <c r="BF989" t="str">
        <f>HYPERLINK("http://dx.doi.org/10.1007/s00382-014-2050-7","http://dx.doi.org/10.1007/s00382-014-2050-7")</f>
        <v>http://dx.doi.org/10.1007/s00382-014-2050-7</v>
      </c>
      <c r="BG989" t="s">
        <v>74</v>
      </c>
      <c r="BH989" t="s">
        <v>74</v>
      </c>
      <c r="BI989">
        <v>12</v>
      </c>
      <c r="BJ989" t="s">
        <v>226</v>
      </c>
      <c r="BK989" t="s">
        <v>91</v>
      </c>
      <c r="BL989" t="s">
        <v>226</v>
      </c>
      <c r="BM989" t="s">
        <v>18077</v>
      </c>
      <c r="BN989" t="s">
        <v>74</v>
      </c>
      <c r="BO989" t="s">
        <v>74</v>
      </c>
      <c r="BP989" t="s">
        <v>74</v>
      </c>
      <c r="BQ989" t="s">
        <v>74</v>
      </c>
      <c r="BR989" t="s">
        <v>93</v>
      </c>
      <c r="BS989" t="s">
        <v>18508</v>
      </c>
      <c r="BT989" t="str">
        <f>HYPERLINK("https%3A%2F%2Fwww.webofscience.com%2Fwos%2Fwoscc%2Ffull-record%2FWOS:000342493600034","View Full Record in Web of Science")</f>
        <v>View Full Record in Web of Science</v>
      </c>
    </row>
    <row r="990" spans="1:72" x14ac:dyDescent="0.15">
      <c r="A990" t="s">
        <v>72</v>
      </c>
      <c r="B990" t="s">
        <v>18509</v>
      </c>
      <c r="C990" t="s">
        <v>74</v>
      </c>
      <c r="D990" t="s">
        <v>74</v>
      </c>
      <c r="E990" t="s">
        <v>74</v>
      </c>
      <c r="F990" t="s">
        <v>18510</v>
      </c>
      <c r="G990" t="s">
        <v>74</v>
      </c>
      <c r="H990" t="s">
        <v>74</v>
      </c>
      <c r="I990" t="s">
        <v>18511</v>
      </c>
      <c r="J990" t="s">
        <v>5441</v>
      </c>
      <c r="K990" t="s">
        <v>74</v>
      </c>
      <c r="L990" t="s">
        <v>74</v>
      </c>
      <c r="M990" t="s">
        <v>78</v>
      </c>
      <c r="N990" t="s">
        <v>99</v>
      </c>
      <c r="O990" t="s">
        <v>74</v>
      </c>
      <c r="P990" t="s">
        <v>74</v>
      </c>
      <c r="Q990" t="s">
        <v>74</v>
      </c>
      <c r="R990" t="s">
        <v>74</v>
      </c>
      <c r="S990" t="s">
        <v>74</v>
      </c>
      <c r="T990" t="s">
        <v>18512</v>
      </c>
      <c r="U990" t="s">
        <v>18513</v>
      </c>
      <c r="V990" t="s">
        <v>18514</v>
      </c>
      <c r="W990" t="s">
        <v>18515</v>
      </c>
      <c r="X990" t="s">
        <v>18516</v>
      </c>
      <c r="Y990" t="s">
        <v>18517</v>
      </c>
      <c r="Z990" t="s">
        <v>18518</v>
      </c>
      <c r="AA990" t="s">
        <v>18519</v>
      </c>
      <c r="AB990" t="s">
        <v>18520</v>
      </c>
      <c r="AC990" t="s">
        <v>18521</v>
      </c>
      <c r="AD990" t="s">
        <v>18522</v>
      </c>
      <c r="AE990" t="s">
        <v>18523</v>
      </c>
      <c r="AF990" t="s">
        <v>74</v>
      </c>
      <c r="AG990">
        <v>67</v>
      </c>
      <c r="AH990">
        <v>42</v>
      </c>
      <c r="AI990">
        <v>44</v>
      </c>
      <c r="AJ990">
        <v>1</v>
      </c>
      <c r="AK990">
        <v>25</v>
      </c>
      <c r="AL990" t="s">
        <v>2439</v>
      </c>
      <c r="AM990" t="s">
        <v>1411</v>
      </c>
      <c r="AN990" t="s">
        <v>2440</v>
      </c>
      <c r="AO990" t="s">
        <v>5454</v>
      </c>
      <c r="AP990" t="s">
        <v>5455</v>
      </c>
      <c r="AQ990" t="s">
        <v>74</v>
      </c>
      <c r="AR990" t="s">
        <v>5456</v>
      </c>
      <c r="AS990" t="s">
        <v>5457</v>
      </c>
      <c r="AT990" t="s">
        <v>17045</v>
      </c>
      <c r="AU990">
        <v>2014</v>
      </c>
      <c r="AV990">
        <v>92</v>
      </c>
      <c r="AW990" t="s">
        <v>74</v>
      </c>
      <c r="AX990" t="s">
        <v>74</v>
      </c>
      <c r="AY990" t="s">
        <v>74</v>
      </c>
      <c r="AZ990" t="s">
        <v>74</v>
      </c>
      <c r="BA990" t="s">
        <v>74</v>
      </c>
      <c r="BB990">
        <v>93</v>
      </c>
      <c r="BC990">
        <v>106</v>
      </c>
      <c r="BD990" t="s">
        <v>74</v>
      </c>
      <c r="BE990" t="s">
        <v>18524</v>
      </c>
      <c r="BF990" t="str">
        <f>HYPERLINK("http://dx.doi.org/10.1016/j.dsr.2014.06.011","http://dx.doi.org/10.1016/j.dsr.2014.06.011")</f>
        <v>http://dx.doi.org/10.1016/j.dsr.2014.06.011</v>
      </c>
      <c r="BG990" t="s">
        <v>74</v>
      </c>
      <c r="BH990" t="s">
        <v>74</v>
      </c>
      <c r="BI990">
        <v>14</v>
      </c>
      <c r="BJ990" t="s">
        <v>2054</v>
      </c>
      <c r="BK990" t="s">
        <v>91</v>
      </c>
      <c r="BL990" t="s">
        <v>2054</v>
      </c>
      <c r="BM990" t="s">
        <v>18525</v>
      </c>
      <c r="BN990" t="s">
        <v>74</v>
      </c>
      <c r="BO990" t="s">
        <v>2544</v>
      </c>
      <c r="BP990" t="s">
        <v>74</v>
      </c>
      <c r="BQ990" t="s">
        <v>74</v>
      </c>
      <c r="BR990" t="s">
        <v>93</v>
      </c>
      <c r="BS990" t="s">
        <v>18526</v>
      </c>
      <c r="BT990" t="str">
        <f>HYPERLINK("https%3A%2F%2Fwww.webofscience.com%2Fwos%2Fwoscc%2Ffull-record%2FWOS:000342260200008","View Full Record in Web of Science")</f>
        <v>View Full Record in Web of Science</v>
      </c>
    </row>
    <row r="991" spans="1:72" x14ac:dyDescent="0.15">
      <c r="A991" t="s">
        <v>72</v>
      </c>
      <c r="B991" t="s">
        <v>18527</v>
      </c>
      <c r="C991" t="s">
        <v>74</v>
      </c>
      <c r="D991" t="s">
        <v>74</v>
      </c>
      <c r="E991" t="s">
        <v>74</v>
      </c>
      <c r="F991" t="s">
        <v>18528</v>
      </c>
      <c r="G991" t="s">
        <v>74</v>
      </c>
      <c r="H991" t="s">
        <v>74</v>
      </c>
      <c r="I991" t="s">
        <v>18529</v>
      </c>
      <c r="J991" t="s">
        <v>5441</v>
      </c>
      <c r="K991" t="s">
        <v>74</v>
      </c>
      <c r="L991" t="s">
        <v>74</v>
      </c>
      <c r="M991" t="s">
        <v>78</v>
      </c>
      <c r="N991" t="s">
        <v>99</v>
      </c>
      <c r="O991" t="s">
        <v>74</v>
      </c>
      <c r="P991" t="s">
        <v>74</v>
      </c>
      <c r="Q991" t="s">
        <v>74</v>
      </c>
      <c r="R991" t="s">
        <v>74</v>
      </c>
      <c r="S991" t="s">
        <v>74</v>
      </c>
      <c r="T991" t="s">
        <v>18530</v>
      </c>
      <c r="U991" t="s">
        <v>18531</v>
      </c>
      <c r="V991" t="s">
        <v>18532</v>
      </c>
      <c r="W991" t="s">
        <v>18533</v>
      </c>
      <c r="X991" t="s">
        <v>18534</v>
      </c>
      <c r="Y991" t="s">
        <v>18535</v>
      </c>
      <c r="Z991" t="s">
        <v>18536</v>
      </c>
      <c r="AA991" t="s">
        <v>18537</v>
      </c>
      <c r="AB991" t="s">
        <v>18538</v>
      </c>
      <c r="AC991" t="s">
        <v>18539</v>
      </c>
      <c r="AD991" t="s">
        <v>4292</v>
      </c>
      <c r="AE991" t="s">
        <v>18540</v>
      </c>
      <c r="AF991" t="s">
        <v>74</v>
      </c>
      <c r="AG991">
        <v>29</v>
      </c>
      <c r="AH991">
        <v>4</v>
      </c>
      <c r="AI991">
        <v>4</v>
      </c>
      <c r="AJ991">
        <v>2</v>
      </c>
      <c r="AK991">
        <v>58</v>
      </c>
      <c r="AL991" t="s">
        <v>2439</v>
      </c>
      <c r="AM991" t="s">
        <v>1411</v>
      </c>
      <c r="AN991" t="s">
        <v>2440</v>
      </c>
      <c r="AO991" t="s">
        <v>5454</v>
      </c>
      <c r="AP991" t="s">
        <v>5455</v>
      </c>
      <c r="AQ991" t="s">
        <v>74</v>
      </c>
      <c r="AR991" t="s">
        <v>5456</v>
      </c>
      <c r="AS991" t="s">
        <v>5457</v>
      </c>
      <c r="AT991" t="s">
        <v>17045</v>
      </c>
      <c r="AU991">
        <v>2014</v>
      </c>
      <c r="AV991">
        <v>92</v>
      </c>
      <c r="AW991" t="s">
        <v>74</v>
      </c>
      <c r="AX991" t="s">
        <v>74</v>
      </c>
      <c r="AY991" t="s">
        <v>74</v>
      </c>
      <c r="AZ991" t="s">
        <v>74</v>
      </c>
      <c r="BA991" t="s">
        <v>74</v>
      </c>
      <c r="BB991">
        <v>162</v>
      </c>
      <c r="BC991">
        <v>175</v>
      </c>
      <c r="BD991" t="s">
        <v>74</v>
      </c>
      <c r="BE991" t="s">
        <v>18541</v>
      </c>
      <c r="BF991" t="str">
        <f>HYPERLINK("http://dx.doi.org/10.1016/j.dsr.2014.05.012","http://dx.doi.org/10.1016/j.dsr.2014.05.012")</f>
        <v>http://dx.doi.org/10.1016/j.dsr.2014.05.012</v>
      </c>
      <c r="BG991" t="s">
        <v>74</v>
      </c>
      <c r="BH991" t="s">
        <v>74</v>
      </c>
      <c r="BI991">
        <v>14</v>
      </c>
      <c r="BJ991" t="s">
        <v>2054</v>
      </c>
      <c r="BK991" t="s">
        <v>91</v>
      </c>
      <c r="BL991" t="s">
        <v>2054</v>
      </c>
      <c r="BM991" t="s">
        <v>18525</v>
      </c>
      <c r="BN991" t="s">
        <v>74</v>
      </c>
      <c r="BO991" t="s">
        <v>4631</v>
      </c>
      <c r="BP991" t="s">
        <v>74</v>
      </c>
      <c r="BQ991" t="s">
        <v>74</v>
      </c>
      <c r="BR991" t="s">
        <v>93</v>
      </c>
      <c r="BS991" t="s">
        <v>18542</v>
      </c>
      <c r="BT991" t="str">
        <f>HYPERLINK("https%3A%2F%2Fwww.webofscience.com%2Fwos%2Fwoscc%2Ffull-record%2FWOS:000342260200014","View Full Record in Web of Science")</f>
        <v>View Full Record in Web of Science</v>
      </c>
    </row>
    <row r="992" spans="1:72" x14ac:dyDescent="0.15">
      <c r="A992" t="s">
        <v>72</v>
      </c>
      <c r="B992" t="s">
        <v>18543</v>
      </c>
      <c r="C992" t="s">
        <v>74</v>
      </c>
      <c r="D992" t="s">
        <v>74</v>
      </c>
      <c r="E992" t="s">
        <v>74</v>
      </c>
      <c r="F992" t="s">
        <v>18544</v>
      </c>
      <c r="G992" t="s">
        <v>74</v>
      </c>
      <c r="H992" t="s">
        <v>74</v>
      </c>
      <c r="I992" t="s">
        <v>18545</v>
      </c>
      <c r="J992" t="s">
        <v>5464</v>
      </c>
      <c r="K992" t="s">
        <v>74</v>
      </c>
      <c r="L992" t="s">
        <v>74</v>
      </c>
      <c r="M992" t="s">
        <v>78</v>
      </c>
      <c r="N992" t="s">
        <v>5947</v>
      </c>
      <c r="O992" t="s">
        <v>74</v>
      </c>
      <c r="P992" t="s">
        <v>74</v>
      </c>
      <c r="Q992" t="s">
        <v>74</v>
      </c>
      <c r="R992" t="s">
        <v>74</v>
      </c>
      <c r="S992" t="s">
        <v>74</v>
      </c>
      <c r="T992" t="s">
        <v>74</v>
      </c>
      <c r="U992" t="s">
        <v>18546</v>
      </c>
      <c r="V992" t="s">
        <v>74</v>
      </c>
      <c r="W992" t="s">
        <v>18547</v>
      </c>
      <c r="X992" t="s">
        <v>18548</v>
      </c>
      <c r="Y992" t="s">
        <v>18549</v>
      </c>
      <c r="Z992" t="s">
        <v>74</v>
      </c>
      <c r="AA992" t="s">
        <v>74</v>
      </c>
      <c r="AB992" t="s">
        <v>74</v>
      </c>
      <c r="AC992" t="s">
        <v>74</v>
      </c>
      <c r="AD992" t="s">
        <v>74</v>
      </c>
      <c r="AE992" t="s">
        <v>74</v>
      </c>
      <c r="AF992" t="s">
        <v>74</v>
      </c>
      <c r="AG992">
        <v>32</v>
      </c>
      <c r="AH992">
        <v>4</v>
      </c>
      <c r="AI992">
        <v>4</v>
      </c>
      <c r="AJ992">
        <v>1</v>
      </c>
      <c r="AK992">
        <v>16</v>
      </c>
      <c r="AL992" t="s">
        <v>2439</v>
      </c>
      <c r="AM992" t="s">
        <v>1411</v>
      </c>
      <c r="AN992" t="s">
        <v>2440</v>
      </c>
      <c r="AO992" t="s">
        <v>5477</v>
      </c>
      <c r="AP992" t="s">
        <v>5478</v>
      </c>
      <c r="AQ992" t="s">
        <v>74</v>
      </c>
      <c r="AR992" t="s">
        <v>5479</v>
      </c>
      <c r="AS992" t="s">
        <v>5480</v>
      </c>
      <c r="AT992" t="s">
        <v>17045</v>
      </c>
      <c r="AU992">
        <v>2014</v>
      </c>
      <c r="AV992">
        <v>108</v>
      </c>
      <c r="AW992" t="s">
        <v>74</v>
      </c>
      <c r="AX992" t="s">
        <v>74</v>
      </c>
      <c r="AY992" t="s">
        <v>74</v>
      </c>
      <c r="AZ992" t="s">
        <v>1437</v>
      </c>
      <c r="BA992" t="s">
        <v>74</v>
      </c>
      <c r="BB992">
        <v>1</v>
      </c>
      <c r="BC992">
        <v>5</v>
      </c>
      <c r="BD992" t="s">
        <v>74</v>
      </c>
      <c r="BE992" t="s">
        <v>18550</v>
      </c>
      <c r="BF992" t="str">
        <f>HYPERLINK("http://dx.doi.org/10.1016/j.dsr2.2014.07.011","http://dx.doi.org/10.1016/j.dsr2.2014.07.011")</f>
        <v>http://dx.doi.org/10.1016/j.dsr2.2014.07.011</v>
      </c>
      <c r="BG992" t="s">
        <v>74</v>
      </c>
      <c r="BH992" t="s">
        <v>74</v>
      </c>
      <c r="BI992">
        <v>5</v>
      </c>
      <c r="BJ992" t="s">
        <v>2054</v>
      </c>
      <c r="BK992" t="s">
        <v>91</v>
      </c>
      <c r="BL992" t="s">
        <v>2054</v>
      </c>
      <c r="BM992" t="s">
        <v>17249</v>
      </c>
      <c r="BN992" t="s">
        <v>74</v>
      </c>
      <c r="BO992" t="s">
        <v>74</v>
      </c>
      <c r="BP992" t="s">
        <v>74</v>
      </c>
      <c r="BQ992" t="s">
        <v>74</v>
      </c>
      <c r="BR992" t="s">
        <v>93</v>
      </c>
      <c r="BS992" t="s">
        <v>18551</v>
      </c>
      <c r="BT992" t="str">
        <f>HYPERLINK("https%3A%2F%2Fwww.webofscience.com%2Fwos%2Fwoscc%2Ffull-record%2FWOS:000345110800001","View Full Record in Web of Science")</f>
        <v>View Full Record in Web of Science</v>
      </c>
    </row>
    <row r="993" spans="1:72" x14ac:dyDescent="0.15">
      <c r="A993" t="s">
        <v>72</v>
      </c>
      <c r="B993" t="s">
        <v>18552</v>
      </c>
      <c r="C993" t="s">
        <v>74</v>
      </c>
      <c r="D993" t="s">
        <v>74</v>
      </c>
      <c r="E993" t="s">
        <v>74</v>
      </c>
      <c r="F993" t="s">
        <v>18553</v>
      </c>
      <c r="G993" t="s">
        <v>74</v>
      </c>
      <c r="H993" t="s">
        <v>74</v>
      </c>
      <c r="I993" t="s">
        <v>18554</v>
      </c>
      <c r="J993" t="s">
        <v>5464</v>
      </c>
      <c r="K993" t="s">
        <v>74</v>
      </c>
      <c r="L993" t="s">
        <v>74</v>
      </c>
      <c r="M993" t="s">
        <v>78</v>
      </c>
      <c r="N993" t="s">
        <v>99</v>
      </c>
      <c r="O993" t="s">
        <v>74</v>
      </c>
      <c r="P993" t="s">
        <v>74</v>
      </c>
      <c r="Q993" t="s">
        <v>74</v>
      </c>
      <c r="R993" t="s">
        <v>74</v>
      </c>
      <c r="S993" t="s">
        <v>74</v>
      </c>
      <c r="T993" t="s">
        <v>18555</v>
      </c>
      <c r="U993" t="s">
        <v>18556</v>
      </c>
      <c r="V993" t="s">
        <v>18557</v>
      </c>
      <c r="W993" t="s">
        <v>18558</v>
      </c>
      <c r="X993" t="s">
        <v>18559</v>
      </c>
      <c r="Y993" t="s">
        <v>18560</v>
      </c>
      <c r="Z993" t="s">
        <v>18561</v>
      </c>
      <c r="AA993" t="s">
        <v>18562</v>
      </c>
      <c r="AB993" t="s">
        <v>18563</v>
      </c>
      <c r="AC993" t="s">
        <v>18564</v>
      </c>
      <c r="AD993" t="s">
        <v>18565</v>
      </c>
      <c r="AE993" t="s">
        <v>18566</v>
      </c>
      <c r="AF993" t="s">
        <v>74</v>
      </c>
      <c r="AG993">
        <v>84</v>
      </c>
      <c r="AH993">
        <v>49</v>
      </c>
      <c r="AI993">
        <v>51</v>
      </c>
      <c r="AJ993">
        <v>0</v>
      </c>
      <c r="AK993">
        <v>48</v>
      </c>
      <c r="AL993" t="s">
        <v>2439</v>
      </c>
      <c r="AM993" t="s">
        <v>1411</v>
      </c>
      <c r="AN993" t="s">
        <v>2440</v>
      </c>
      <c r="AO993" t="s">
        <v>5477</v>
      </c>
      <c r="AP993" t="s">
        <v>5478</v>
      </c>
      <c r="AQ993" t="s">
        <v>74</v>
      </c>
      <c r="AR993" t="s">
        <v>5479</v>
      </c>
      <c r="AS993" t="s">
        <v>5480</v>
      </c>
      <c r="AT993" t="s">
        <v>17045</v>
      </c>
      <c r="AU993">
        <v>2014</v>
      </c>
      <c r="AV993">
        <v>108</v>
      </c>
      <c r="AW993" t="s">
        <v>74</v>
      </c>
      <c r="AX993" t="s">
        <v>74</v>
      </c>
      <c r="AY993" t="s">
        <v>74</v>
      </c>
      <c r="AZ993" t="s">
        <v>1437</v>
      </c>
      <c r="BA993" t="s">
        <v>74</v>
      </c>
      <c r="BB993">
        <v>6</v>
      </c>
      <c r="BC993">
        <v>16</v>
      </c>
      <c r="BD993" t="s">
        <v>74</v>
      </c>
      <c r="BE993" t="s">
        <v>18567</v>
      </c>
      <c r="BF993" t="str">
        <f>HYPERLINK("http://dx.doi.org/10.1016/j.dsr2.2014.05.011","http://dx.doi.org/10.1016/j.dsr2.2014.05.011")</f>
        <v>http://dx.doi.org/10.1016/j.dsr2.2014.05.011</v>
      </c>
      <c r="BG993" t="s">
        <v>74</v>
      </c>
      <c r="BH993" t="s">
        <v>74</v>
      </c>
      <c r="BI993">
        <v>11</v>
      </c>
      <c r="BJ993" t="s">
        <v>2054</v>
      </c>
      <c r="BK993" t="s">
        <v>91</v>
      </c>
      <c r="BL993" t="s">
        <v>2054</v>
      </c>
      <c r="BM993" t="s">
        <v>17249</v>
      </c>
      <c r="BN993" t="s">
        <v>74</v>
      </c>
      <c r="BO993" t="s">
        <v>2056</v>
      </c>
      <c r="BP993" t="s">
        <v>74</v>
      </c>
      <c r="BQ993" t="s">
        <v>74</v>
      </c>
      <c r="BR993" t="s">
        <v>93</v>
      </c>
      <c r="BS993" t="s">
        <v>18568</v>
      </c>
      <c r="BT993" t="str">
        <f>HYPERLINK("https%3A%2F%2Fwww.webofscience.com%2Fwos%2Fwoscc%2Ffull-record%2FWOS:000345110800002","View Full Record in Web of Science")</f>
        <v>View Full Record in Web of Science</v>
      </c>
    </row>
    <row r="994" spans="1:72" x14ac:dyDescent="0.15">
      <c r="A994" t="s">
        <v>72</v>
      </c>
      <c r="B994" t="s">
        <v>18569</v>
      </c>
      <c r="C994" t="s">
        <v>74</v>
      </c>
      <c r="D994" t="s">
        <v>74</v>
      </c>
      <c r="E994" t="s">
        <v>74</v>
      </c>
      <c r="F994" t="s">
        <v>18570</v>
      </c>
      <c r="G994" t="s">
        <v>74</v>
      </c>
      <c r="H994" t="s">
        <v>74</v>
      </c>
      <c r="I994" t="s">
        <v>18571</v>
      </c>
      <c r="J994" t="s">
        <v>5464</v>
      </c>
      <c r="K994" t="s">
        <v>74</v>
      </c>
      <c r="L994" t="s">
        <v>74</v>
      </c>
      <c r="M994" t="s">
        <v>78</v>
      </c>
      <c r="N994" t="s">
        <v>99</v>
      </c>
      <c r="O994" t="s">
        <v>74</v>
      </c>
      <c r="P994" t="s">
        <v>74</v>
      </c>
      <c r="Q994" t="s">
        <v>74</v>
      </c>
      <c r="R994" t="s">
        <v>74</v>
      </c>
      <c r="S994" t="s">
        <v>74</v>
      </c>
      <c r="T994" t="s">
        <v>18572</v>
      </c>
      <c r="U994" t="s">
        <v>18573</v>
      </c>
      <c r="V994" t="s">
        <v>18574</v>
      </c>
      <c r="W994" t="s">
        <v>18575</v>
      </c>
      <c r="X994" t="s">
        <v>18576</v>
      </c>
      <c r="Y994" t="s">
        <v>18577</v>
      </c>
      <c r="Z994" t="s">
        <v>18578</v>
      </c>
      <c r="AA994" t="s">
        <v>74</v>
      </c>
      <c r="AB994" t="s">
        <v>74</v>
      </c>
      <c r="AC994" t="s">
        <v>18579</v>
      </c>
      <c r="AD994" t="s">
        <v>17263</v>
      </c>
      <c r="AE994" t="s">
        <v>18580</v>
      </c>
      <c r="AF994" t="s">
        <v>74</v>
      </c>
      <c r="AG994">
        <v>57</v>
      </c>
      <c r="AH994">
        <v>13</v>
      </c>
      <c r="AI994">
        <v>14</v>
      </c>
      <c r="AJ994">
        <v>0</v>
      </c>
      <c r="AK994">
        <v>22</v>
      </c>
      <c r="AL994" t="s">
        <v>2439</v>
      </c>
      <c r="AM994" t="s">
        <v>1411</v>
      </c>
      <c r="AN994" t="s">
        <v>2440</v>
      </c>
      <c r="AO994" t="s">
        <v>5477</v>
      </c>
      <c r="AP994" t="s">
        <v>5478</v>
      </c>
      <c r="AQ994" t="s">
        <v>74</v>
      </c>
      <c r="AR994" t="s">
        <v>5479</v>
      </c>
      <c r="AS994" t="s">
        <v>5480</v>
      </c>
      <c r="AT994" t="s">
        <v>17045</v>
      </c>
      <c r="AU994">
        <v>2014</v>
      </c>
      <c r="AV994">
        <v>108</v>
      </c>
      <c r="AW994" t="s">
        <v>74</v>
      </c>
      <c r="AX994" t="s">
        <v>74</v>
      </c>
      <c r="AY994" t="s">
        <v>74</v>
      </c>
      <c r="AZ994" t="s">
        <v>1437</v>
      </c>
      <c r="BA994" t="s">
        <v>74</v>
      </c>
      <c r="BB994">
        <v>93</v>
      </c>
      <c r="BC994">
        <v>100</v>
      </c>
      <c r="BD994" t="s">
        <v>74</v>
      </c>
      <c r="BE994" t="s">
        <v>18581</v>
      </c>
      <c r="BF994" t="str">
        <f>HYPERLINK("http://dx.doi.org/10.1016/j.dsr2.2014.08.003","http://dx.doi.org/10.1016/j.dsr2.2014.08.003")</f>
        <v>http://dx.doi.org/10.1016/j.dsr2.2014.08.003</v>
      </c>
      <c r="BG994" t="s">
        <v>74</v>
      </c>
      <c r="BH994" t="s">
        <v>74</v>
      </c>
      <c r="BI994">
        <v>8</v>
      </c>
      <c r="BJ994" t="s">
        <v>2054</v>
      </c>
      <c r="BK994" t="s">
        <v>91</v>
      </c>
      <c r="BL994" t="s">
        <v>2054</v>
      </c>
      <c r="BM994" t="s">
        <v>17249</v>
      </c>
      <c r="BN994" t="s">
        <v>74</v>
      </c>
      <c r="BO994" t="s">
        <v>74</v>
      </c>
      <c r="BP994" t="s">
        <v>74</v>
      </c>
      <c r="BQ994" t="s">
        <v>74</v>
      </c>
      <c r="BR994" t="s">
        <v>93</v>
      </c>
      <c r="BS994" t="s">
        <v>18582</v>
      </c>
      <c r="BT994" t="str">
        <f>HYPERLINK("https%3A%2F%2Fwww.webofscience.com%2Fwos%2Fwoscc%2Ffull-record%2FWOS:000345110800011","View Full Record in Web of Science")</f>
        <v>View Full Record in Web of Science</v>
      </c>
    </row>
    <row r="995" spans="1:72" x14ac:dyDescent="0.15">
      <c r="A995" t="s">
        <v>72</v>
      </c>
      <c r="B995" t="s">
        <v>18583</v>
      </c>
      <c r="C995" t="s">
        <v>74</v>
      </c>
      <c r="D995" t="s">
        <v>74</v>
      </c>
      <c r="E995" t="s">
        <v>74</v>
      </c>
      <c r="F995" t="s">
        <v>18584</v>
      </c>
      <c r="G995" t="s">
        <v>74</v>
      </c>
      <c r="H995" t="s">
        <v>18585</v>
      </c>
      <c r="I995" t="s">
        <v>18586</v>
      </c>
      <c r="J995" t="s">
        <v>2773</v>
      </c>
      <c r="K995" t="s">
        <v>74</v>
      </c>
      <c r="L995" t="s">
        <v>74</v>
      </c>
      <c r="M995" t="s">
        <v>78</v>
      </c>
      <c r="N995" t="s">
        <v>99</v>
      </c>
      <c r="O995" t="s">
        <v>74</v>
      </c>
      <c r="P995" t="s">
        <v>74</v>
      </c>
      <c r="Q995" t="s">
        <v>74</v>
      </c>
      <c r="R995" t="s">
        <v>74</v>
      </c>
      <c r="S995" t="s">
        <v>74</v>
      </c>
      <c r="T995" t="s">
        <v>18587</v>
      </c>
      <c r="U995" t="s">
        <v>18588</v>
      </c>
      <c r="V995" t="s">
        <v>18589</v>
      </c>
      <c r="W995" t="s">
        <v>18590</v>
      </c>
      <c r="X995" t="s">
        <v>18591</v>
      </c>
      <c r="Y995" t="s">
        <v>18592</v>
      </c>
      <c r="Z995" t="s">
        <v>18593</v>
      </c>
      <c r="AA995" t="s">
        <v>18594</v>
      </c>
      <c r="AB995" t="s">
        <v>18595</v>
      </c>
      <c r="AC995" t="s">
        <v>18596</v>
      </c>
      <c r="AD995" t="s">
        <v>18597</v>
      </c>
      <c r="AE995" t="s">
        <v>18598</v>
      </c>
      <c r="AF995" t="s">
        <v>74</v>
      </c>
      <c r="AG995">
        <v>89</v>
      </c>
      <c r="AH995">
        <v>36</v>
      </c>
      <c r="AI995">
        <v>39</v>
      </c>
      <c r="AJ995">
        <v>2</v>
      </c>
      <c r="AK995">
        <v>52</v>
      </c>
      <c r="AL995" t="s">
        <v>2640</v>
      </c>
      <c r="AM995" t="s">
        <v>1176</v>
      </c>
      <c r="AN995" t="s">
        <v>2641</v>
      </c>
      <c r="AO995" t="s">
        <v>2786</v>
      </c>
      <c r="AP995" t="s">
        <v>2787</v>
      </c>
      <c r="AQ995" t="s">
        <v>74</v>
      </c>
      <c r="AR995" t="s">
        <v>2788</v>
      </c>
      <c r="AS995" t="s">
        <v>2789</v>
      </c>
      <c r="AT995" t="s">
        <v>18116</v>
      </c>
      <c r="AU995">
        <v>2014</v>
      </c>
      <c r="AV995">
        <v>403</v>
      </c>
      <c r="AW995" t="s">
        <v>74</v>
      </c>
      <c r="AX995" t="s">
        <v>74</v>
      </c>
      <c r="AY995" t="s">
        <v>74</v>
      </c>
      <c r="AZ995" t="s">
        <v>74</v>
      </c>
      <c r="BA995" t="s">
        <v>74</v>
      </c>
      <c r="BB995">
        <v>166</v>
      </c>
      <c r="BC995">
        <v>177</v>
      </c>
      <c r="BD995" t="s">
        <v>74</v>
      </c>
      <c r="BE995" t="s">
        <v>18599</v>
      </c>
      <c r="BF995" t="str">
        <f>HYPERLINK("http://dx.doi.org/10.1016/j.epsl.2014.06.036","http://dx.doi.org/10.1016/j.epsl.2014.06.036")</f>
        <v>http://dx.doi.org/10.1016/j.epsl.2014.06.036</v>
      </c>
      <c r="BG995" t="s">
        <v>74</v>
      </c>
      <c r="BH995" t="s">
        <v>74</v>
      </c>
      <c r="BI995">
        <v>12</v>
      </c>
      <c r="BJ995" t="s">
        <v>1902</v>
      </c>
      <c r="BK995" t="s">
        <v>91</v>
      </c>
      <c r="BL995" t="s">
        <v>1902</v>
      </c>
      <c r="BM995" t="s">
        <v>18118</v>
      </c>
      <c r="BN995" t="s">
        <v>74</v>
      </c>
      <c r="BO995" t="s">
        <v>4631</v>
      </c>
      <c r="BP995" t="s">
        <v>74</v>
      </c>
      <c r="BQ995" t="s">
        <v>74</v>
      </c>
      <c r="BR995" t="s">
        <v>93</v>
      </c>
      <c r="BS995" t="s">
        <v>18600</v>
      </c>
      <c r="BT995" t="str">
        <f>HYPERLINK("https%3A%2F%2Fwww.webofscience.com%2Fwos%2Fwoscc%2Ffull-record%2FWOS:000342247100016","View Full Record in Web of Science")</f>
        <v>View Full Record in Web of Science</v>
      </c>
    </row>
    <row r="996" spans="1:72" x14ac:dyDescent="0.15">
      <c r="A996" t="s">
        <v>72</v>
      </c>
      <c r="B996" t="s">
        <v>18601</v>
      </c>
      <c r="C996" t="s">
        <v>74</v>
      </c>
      <c r="D996" t="s">
        <v>74</v>
      </c>
      <c r="E996" t="s">
        <v>74</v>
      </c>
      <c r="F996" t="s">
        <v>18602</v>
      </c>
      <c r="G996" t="s">
        <v>74</v>
      </c>
      <c r="H996" t="s">
        <v>74</v>
      </c>
      <c r="I996" t="s">
        <v>18603</v>
      </c>
      <c r="J996" t="s">
        <v>18604</v>
      </c>
      <c r="K996" t="s">
        <v>74</v>
      </c>
      <c r="L996" t="s">
        <v>74</v>
      </c>
      <c r="M996" t="s">
        <v>78</v>
      </c>
      <c r="N996" t="s">
        <v>99</v>
      </c>
      <c r="O996" t="s">
        <v>74</v>
      </c>
      <c r="P996" t="s">
        <v>74</v>
      </c>
      <c r="Q996" t="s">
        <v>74</v>
      </c>
      <c r="R996" t="s">
        <v>74</v>
      </c>
      <c r="S996" t="s">
        <v>74</v>
      </c>
      <c r="T996" t="s">
        <v>18605</v>
      </c>
      <c r="U996" t="s">
        <v>18606</v>
      </c>
      <c r="V996" t="s">
        <v>18607</v>
      </c>
      <c r="W996" t="s">
        <v>18608</v>
      </c>
      <c r="X996" t="s">
        <v>18609</v>
      </c>
      <c r="Y996" t="s">
        <v>18610</v>
      </c>
      <c r="Z996" t="s">
        <v>18611</v>
      </c>
      <c r="AA996" t="s">
        <v>18612</v>
      </c>
      <c r="AB996" t="s">
        <v>18613</v>
      </c>
      <c r="AC996" t="s">
        <v>18614</v>
      </c>
      <c r="AD996" t="s">
        <v>18615</v>
      </c>
      <c r="AE996" t="s">
        <v>18616</v>
      </c>
      <c r="AF996" t="s">
        <v>74</v>
      </c>
      <c r="AG996">
        <v>69</v>
      </c>
      <c r="AH996">
        <v>131</v>
      </c>
      <c r="AI996">
        <v>143</v>
      </c>
      <c r="AJ996">
        <v>2</v>
      </c>
      <c r="AK996">
        <v>71</v>
      </c>
      <c r="AL996" t="s">
        <v>18617</v>
      </c>
      <c r="AM996" t="s">
        <v>3103</v>
      </c>
      <c r="AN996" t="s">
        <v>3104</v>
      </c>
      <c r="AO996" t="s">
        <v>18618</v>
      </c>
      <c r="AP996" t="s">
        <v>74</v>
      </c>
      <c r="AQ996" t="s">
        <v>74</v>
      </c>
      <c r="AR996" t="s">
        <v>18619</v>
      </c>
      <c r="AS996" t="s">
        <v>18620</v>
      </c>
      <c r="AT996" t="s">
        <v>17045</v>
      </c>
      <c r="AU996">
        <v>2014</v>
      </c>
      <c r="AV996">
        <v>9</v>
      </c>
      <c r="AW996">
        <v>10</v>
      </c>
      <c r="AX996" t="s">
        <v>74</v>
      </c>
      <c r="AY996" t="s">
        <v>74</v>
      </c>
      <c r="AZ996" t="s">
        <v>74</v>
      </c>
      <c r="BA996" t="s">
        <v>74</v>
      </c>
      <c r="BB996" t="s">
        <v>74</v>
      </c>
      <c r="BC996" t="s">
        <v>74</v>
      </c>
      <c r="BD996">
        <v>104008</v>
      </c>
      <c r="BE996" t="s">
        <v>18621</v>
      </c>
      <c r="BF996" t="str">
        <f>HYPERLINK("http://dx.doi.org/10.1088/1748-9326/9/10/104008","http://dx.doi.org/10.1088/1748-9326/9/10/104008")</f>
        <v>http://dx.doi.org/10.1088/1748-9326/9/10/104008</v>
      </c>
      <c r="BG996" t="s">
        <v>74</v>
      </c>
      <c r="BH996" t="s">
        <v>74</v>
      </c>
      <c r="BI996">
        <v>9</v>
      </c>
      <c r="BJ996" t="s">
        <v>497</v>
      </c>
      <c r="BK996" t="s">
        <v>91</v>
      </c>
      <c r="BL996" t="s">
        <v>498</v>
      </c>
      <c r="BM996" t="s">
        <v>18622</v>
      </c>
      <c r="BN996" t="s">
        <v>74</v>
      </c>
      <c r="BO996" t="s">
        <v>6089</v>
      </c>
      <c r="BP996" t="s">
        <v>74</v>
      </c>
      <c r="BQ996" t="s">
        <v>74</v>
      </c>
      <c r="BR996" t="s">
        <v>93</v>
      </c>
      <c r="BS996" t="s">
        <v>18623</v>
      </c>
      <c r="BT996" t="str">
        <f>HYPERLINK("https%3A%2F%2Fwww.webofscience.com%2Fwos%2Fwoscc%2Ffull-record%2FWOS:000344964000012","View Full Record in Web of Science")</f>
        <v>View Full Record in Web of Science</v>
      </c>
    </row>
    <row r="997" spans="1:72" x14ac:dyDescent="0.15">
      <c r="A997" t="s">
        <v>72</v>
      </c>
      <c r="B997" t="s">
        <v>18624</v>
      </c>
      <c r="C997" t="s">
        <v>74</v>
      </c>
      <c r="D997" t="s">
        <v>74</v>
      </c>
      <c r="E997" t="s">
        <v>74</v>
      </c>
      <c r="F997" t="s">
        <v>18625</v>
      </c>
      <c r="G997" t="s">
        <v>74</v>
      </c>
      <c r="H997" t="s">
        <v>74</v>
      </c>
      <c r="I997" t="s">
        <v>18626</v>
      </c>
      <c r="J997" t="s">
        <v>18627</v>
      </c>
      <c r="K997" t="s">
        <v>74</v>
      </c>
      <c r="L997" t="s">
        <v>74</v>
      </c>
      <c r="M997" t="s">
        <v>78</v>
      </c>
      <c r="N997" t="s">
        <v>99</v>
      </c>
      <c r="O997" t="s">
        <v>74</v>
      </c>
      <c r="P997" t="s">
        <v>74</v>
      </c>
      <c r="Q997" t="s">
        <v>74</v>
      </c>
      <c r="R997" t="s">
        <v>74</v>
      </c>
      <c r="S997" t="s">
        <v>74</v>
      </c>
      <c r="T997" t="s">
        <v>18628</v>
      </c>
      <c r="U997" t="s">
        <v>18629</v>
      </c>
      <c r="V997" t="s">
        <v>18630</v>
      </c>
      <c r="W997" t="s">
        <v>18631</v>
      </c>
      <c r="X997" t="s">
        <v>18632</v>
      </c>
      <c r="Y997" t="s">
        <v>18633</v>
      </c>
      <c r="Z997" t="s">
        <v>18634</v>
      </c>
      <c r="AA997" t="s">
        <v>18635</v>
      </c>
      <c r="AB997" t="s">
        <v>18636</v>
      </c>
      <c r="AC997" t="s">
        <v>18637</v>
      </c>
      <c r="AD997" t="s">
        <v>4292</v>
      </c>
      <c r="AE997" t="s">
        <v>18638</v>
      </c>
      <c r="AF997" t="s">
        <v>74</v>
      </c>
      <c r="AG997">
        <v>40</v>
      </c>
      <c r="AH997">
        <v>5</v>
      </c>
      <c r="AI997">
        <v>5</v>
      </c>
      <c r="AJ997">
        <v>0</v>
      </c>
      <c r="AK997">
        <v>17</v>
      </c>
      <c r="AL997" t="s">
        <v>2458</v>
      </c>
      <c r="AM997" t="s">
        <v>1411</v>
      </c>
      <c r="AN997" t="s">
        <v>2459</v>
      </c>
      <c r="AO997" t="s">
        <v>18639</v>
      </c>
      <c r="AP997" t="s">
        <v>18640</v>
      </c>
      <c r="AQ997" t="s">
        <v>74</v>
      </c>
      <c r="AR997" t="s">
        <v>18641</v>
      </c>
      <c r="AS997" t="s">
        <v>18642</v>
      </c>
      <c r="AT997" t="s">
        <v>17045</v>
      </c>
      <c r="AU997">
        <v>2014</v>
      </c>
      <c r="AV997">
        <v>11</v>
      </c>
      <c r="AW997" t="s">
        <v>74</v>
      </c>
      <c r="AX997" t="s">
        <v>74</v>
      </c>
      <c r="AY997" t="s">
        <v>74</v>
      </c>
      <c r="AZ997" t="s">
        <v>74</v>
      </c>
      <c r="BA997" t="s">
        <v>74</v>
      </c>
      <c r="BB997">
        <v>91</v>
      </c>
      <c r="BC997">
        <v>99</v>
      </c>
      <c r="BD997" t="s">
        <v>74</v>
      </c>
      <c r="BE997" t="s">
        <v>18643</v>
      </c>
      <c r="BF997" t="str">
        <f>HYPERLINK("http://dx.doi.org/10.1016/j.funeco.2014.05.001","http://dx.doi.org/10.1016/j.funeco.2014.05.001")</f>
        <v>http://dx.doi.org/10.1016/j.funeco.2014.05.001</v>
      </c>
      <c r="BG997" t="s">
        <v>74</v>
      </c>
      <c r="BH997" t="s">
        <v>74</v>
      </c>
      <c r="BI997">
        <v>9</v>
      </c>
      <c r="BJ997" t="s">
        <v>18644</v>
      </c>
      <c r="BK997" t="s">
        <v>91</v>
      </c>
      <c r="BL997" t="s">
        <v>18645</v>
      </c>
      <c r="BM997" t="s">
        <v>18646</v>
      </c>
      <c r="BN997" t="s">
        <v>74</v>
      </c>
      <c r="BO997" t="s">
        <v>4631</v>
      </c>
      <c r="BP997" t="s">
        <v>74</v>
      </c>
      <c r="BQ997" t="s">
        <v>74</v>
      </c>
      <c r="BR997" t="s">
        <v>93</v>
      </c>
      <c r="BS997" t="s">
        <v>18647</v>
      </c>
      <c r="BT997" t="str">
        <f>HYPERLINK("https%3A%2F%2Fwww.webofscience.com%2Fwos%2Fwoscc%2Ffull-record%2FWOS:000342244000010","View Full Record in Web of Science")</f>
        <v>View Full Record in Web of Science</v>
      </c>
    </row>
    <row r="998" spans="1:72" x14ac:dyDescent="0.15">
      <c r="A998" t="s">
        <v>72</v>
      </c>
      <c r="B998" t="s">
        <v>18648</v>
      </c>
      <c r="C998" t="s">
        <v>74</v>
      </c>
      <c r="D998" t="s">
        <v>74</v>
      </c>
      <c r="E998" t="s">
        <v>74</v>
      </c>
      <c r="F998" t="s">
        <v>18649</v>
      </c>
      <c r="G998" t="s">
        <v>74</v>
      </c>
      <c r="H998" t="s">
        <v>74</v>
      </c>
      <c r="I998" t="s">
        <v>18650</v>
      </c>
      <c r="J998" t="s">
        <v>18651</v>
      </c>
      <c r="K998" t="s">
        <v>74</v>
      </c>
      <c r="L998" t="s">
        <v>74</v>
      </c>
      <c r="M998" t="s">
        <v>78</v>
      </c>
      <c r="N998" t="s">
        <v>99</v>
      </c>
      <c r="O998" t="s">
        <v>74</v>
      </c>
      <c r="P998" t="s">
        <v>74</v>
      </c>
      <c r="Q998" t="s">
        <v>74</v>
      </c>
      <c r="R998" t="s">
        <v>74</v>
      </c>
      <c r="S998" t="s">
        <v>74</v>
      </c>
      <c r="T998" t="s">
        <v>74</v>
      </c>
      <c r="U998" t="s">
        <v>18652</v>
      </c>
      <c r="V998" t="s">
        <v>18653</v>
      </c>
      <c r="W998" t="s">
        <v>18654</v>
      </c>
      <c r="X998" t="s">
        <v>18655</v>
      </c>
      <c r="Y998" t="s">
        <v>18656</v>
      </c>
      <c r="Z998" t="s">
        <v>18657</v>
      </c>
      <c r="AA998" t="s">
        <v>18658</v>
      </c>
      <c r="AB998" t="s">
        <v>18659</v>
      </c>
      <c r="AC998" t="s">
        <v>18660</v>
      </c>
      <c r="AD998" t="s">
        <v>18661</v>
      </c>
      <c r="AE998" t="s">
        <v>18662</v>
      </c>
      <c r="AF998" t="s">
        <v>74</v>
      </c>
      <c r="AG998">
        <v>64</v>
      </c>
      <c r="AH998">
        <v>31</v>
      </c>
      <c r="AI998">
        <v>31</v>
      </c>
      <c r="AJ998">
        <v>0</v>
      </c>
      <c r="AK998">
        <v>20</v>
      </c>
      <c r="AL998" t="s">
        <v>2666</v>
      </c>
      <c r="AM998" t="s">
        <v>342</v>
      </c>
      <c r="AN998" t="s">
        <v>2667</v>
      </c>
      <c r="AO998" t="s">
        <v>18663</v>
      </c>
      <c r="AP998" t="s">
        <v>18664</v>
      </c>
      <c r="AQ998" t="s">
        <v>74</v>
      </c>
      <c r="AR998" t="s">
        <v>18665</v>
      </c>
      <c r="AS998" t="s">
        <v>18666</v>
      </c>
      <c r="AT998" t="s">
        <v>17045</v>
      </c>
      <c r="AU998">
        <v>2014</v>
      </c>
      <c r="AV998">
        <v>34</v>
      </c>
      <c r="AW998">
        <v>5</v>
      </c>
      <c r="AX998" t="s">
        <v>74</v>
      </c>
      <c r="AY998" t="s">
        <v>74</v>
      </c>
      <c r="AZ998" t="s">
        <v>74</v>
      </c>
      <c r="BA998" t="s">
        <v>74</v>
      </c>
      <c r="BB998">
        <v>435</v>
      </c>
      <c r="BC998">
        <v>446</v>
      </c>
      <c r="BD998" t="s">
        <v>74</v>
      </c>
      <c r="BE998" t="s">
        <v>18667</v>
      </c>
      <c r="BF998" t="str">
        <f>HYPERLINK("http://dx.doi.org/10.1007/s00367-014-0375-1","http://dx.doi.org/10.1007/s00367-014-0375-1")</f>
        <v>http://dx.doi.org/10.1007/s00367-014-0375-1</v>
      </c>
      <c r="BG998" t="s">
        <v>74</v>
      </c>
      <c r="BH998" t="s">
        <v>74</v>
      </c>
      <c r="BI998">
        <v>12</v>
      </c>
      <c r="BJ998" t="s">
        <v>15782</v>
      </c>
      <c r="BK998" t="s">
        <v>91</v>
      </c>
      <c r="BL998" t="s">
        <v>15783</v>
      </c>
      <c r="BM998" t="s">
        <v>18668</v>
      </c>
      <c r="BN998" t="s">
        <v>74</v>
      </c>
      <c r="BO998" t="s">
        <v>74</v>
      </c>
      <c r="BP998" t="s">
        <v>74</v>
      </c>
      <c r="BQ998" t="s">
        <v>74</v>
      </c>
      <c r="BR998" t="s">
        <v>93</v>
      </c>
      <c r="BS998" t="s">
        <v>18669</v>
      </c>
      <c r="BT998" t="str">
        <f>HYPERLINK("https%3A%2F%2Fwww.webofscience.com%2Fwos%2Fwoscc%2Ffull-record%2FWOS:000341828400003","View Full Record in Web of Science")</f>
        <v>View Full Record in Web of Science</v>
      </c>
    </row>
    <row r="999" spans="1:72" x14ac:dyDescent="0.15">
      <c r="A999" t="s">
        <v>72</v>
      </c>
      <c r="B999" t="s">
        <v>18670</v>
      </c>
      <c r="C999" t="s">
        <v>74</v>
      </c>
      <c r="D999" t="s">
        <v>74</v>
      </c>
      <c r="E999" t="s">
        <v>74</v>
      </c>
      <c r="F999" t="s">
        <v>18671</v>
      </c>
      <c r="G999" t="s">
        <v>74</v>
      </c>
      <c r="H999" t="s">
        <v>74</v>
      </c>
      <c r="I999" t="s">
        <v>18672</v>
      </c>
      <c r="J999" t="s">
        <v>9715</v>
      </c>
      <c r="K999" t="s">
        <v>74</v>
      </c>
      <c r="L999" t="s">
        <v>74</v>
      </c>
      <c r="M999" t="s">
        <v>78</v>
      </c>
      <c r="N999" t="s">
        <v>99</v>
      </c>
      <c r="O999" t="s">
        <v>74</v>
      </c>
      <c r="P999" t="s">
        <v>74</v>
      </c>
      <c r="Q999" t="s">
        <v>74</v>
      </c>
      <c r="R999" t="s">
        <v>74</v>
      </c>
      <c r="S999" t="s">
        <v>74</v>
      </c>
      <c r="T999" t="s">
        <v>18673</v>
      </c>
      <c r="U999" t="s">
        <v>18674</v>
      </c>
      <c r="V999" t="s">
        <v>18675</v>
      </c>
      <c r="W999" t="s">
        <v>18676</v>
      </c>
      <c r="X999" t="s">
        <v>18677</v>
      </c>
      <c r="Y999" t="s">
        <v>18678</v>
      </c>
      <c r="Z999" t="s">
        <v>18679</v>
      </c>
      <c r="AA999" t="s">
        <v>74</v>
      </c>
      <c r="AB999" t="s">
        <v>18680</v>
      </c>
      <c r="AC999" t="s">
        <v>18681</v>
      </c>
      <c r="AD999" t="s">
        <v>18681</v>
      </c>
      <c r="AE999" t="s">
        <v>18682</v>
      </c>
      <c r="AF999" t="s">
        <v>74</v>
      </c>
      <c r="AG999">
        <v>68</v>
      </c>
      <c r="AH999">
        <v>48</v>
      </c>
      <c r="AI999">
        <v>50</v>
      </c>
      <c r="AJ999">
        <v>1</v>
      </c>
      <c r="AK999">
        <v>61</v>
      </c>
      <c r="AL999" t="s">
        <v>1175</v>
      </c>
      <c r="AM999" t="s">
        <v>1176</v>
      </c>
      <c r="AN999" t="s">
        <v>2938</v>
      </c>
      <c r="AO999" t="s">
        <v>9728</v>
      </c>
      <c r="AP999" t="s">
        <v>9729</v>
      </c>
      <c r="AQ999" t="s">
        <v>74</v>
      </c>
      <c r="AR999" t="s">
        <v>9730</v>
      </c>
      <c r="AS999" t="s">
        <v>9731</v>
      </c>
      <c r="AT999" t="s">
        <v>17045</v>
      </c>
      <c r="AU999">
        <v>2014</v>
      </c>
      <c r="AV999">
        <v>121</v>
      </c>
      <c r="AW999" t="s">
        <v>74</v>
      </c>
      <c r="AX999" t="s">
        <v>74</v>
      </c>
      <c r="AY999" t="s">
        <v>74</v>
      </c>
      <c r="AZ999" t="s">
        <v>74</v>
      </c>
      <c r="BA999" t="s">
        <v>74</v>
      </c>
      <c r="BB999">
        <v>41</v>
      </c>
      <c r="BC999">
        <v>52</v>
      </c>
      <c r="BD999" t="s">
        <v>74</v>
      </c>
      <c r="BE999" t="s">
        <v>18683</v>
      </c>
      <c r="BF999" t="str">
        <f>HYPERLINK("http://dx.doi.org/10.1016/j.gloplacha.2014.06.008","http://dx.doi.org/10.1016/j.gloplacha.2014.06.008")</f>
        <v>http://dx.doi.org/10.1016/j.gloplacha.2014.06.008</v>
      </c>
      <c r="BG999" t="s">
        <v>74</v>
      </c>
      <c r="BH999" t="s">
        <v>74</v>
      </c>
      <c r="BI999">
        <v>12</v>
      </c>
      <c r="BJ999" t="s">
        <v>372</v>
      </c>
      <c r="BK999" t="s">
        <v>91</v>
      </c>
      <c r="BL999" t="s">
        <v>373</v>
      </c>
      <c r="BM999" t="s">
        <v>18684</v>
      </c>
      <c r="BN999" t="s">
        <v>74</v>
      </c>
      <c r="BO999" t="s">
        <v>74</v>
      </c>
      <c r="BP999" t="s">
        <v>74</v>
      </c>
      <c r="BQ999" t="s">
        <v>74</v>
      </c>
      <c r="BR999" t="s">
        <v>93</v>
      </c>
      <c r="BS999" t="s">
        <v>18685</v>
      </c>
      <c r="BT999" t="str">
        <f>HYPERLINK("https%3A%2F%2Fwww.webofscience.com%2Fwos%2Fwoscc%2Ffull-record%2FWOS:000341558700005","View Full Record in Web of Science")</f>
        <v>View Full Record in Web of Science</v>
      </c>
    </row>
    <row r="1000" spans="1:72" x14ac:dyDescent="0.15">
      <c r="A1000" t="s">
        <v>72</v>
      </c>
      <c r="B1000" t="s">
        <v>18686</v>
      </c>
      <c r="C1000" t="s">
        <v>74</v>
      </c>
      <c r="D1000" t="s">
        <v>74</v>
      </c>
      <c r="E1000" t="s">
        <v>74</v>
      </c>
      <c r="F1000" t="s">
        <v>18687</v>
      </c>
      <c r="G1000" t="s">
        <v>74</v>
      </c>
      <c r="H1000" t="s">
        <v>74</v>
      </c>
      <c r="I1000" t="s">
        <v>18688</v>
      </c>
      <c r="J1000" t="s">
        <v>15495</v>
      </c>
      <c r="K1000" t="s">
        <v>74</v>
      </c>
      <c r="L1000" t="s">
        <v>74</v>
      </c>
      <c r="M1000" t="s">
        <v>78</v>
      </c>
      <c r="N1000" t="s">
        <v>454</v>
      </c>
      <c r="O1000" t="s">
        <v>74</v>
      </c>
      <c r="P1000" t="s">
        <v>74</v>
      </c>
      <c r="Q1000" t="s">
        <v>74</v>
      </c>
      <c r="R1000" t="s">
        <v>74</v>
      </c>
      <c r="S1000" t="s">
        <v>74</v>
      </c>
      <c r="T1000" t="s">
        <v>18689</v>
      </c>
      <c r="U1000" t="s">
        <v>18690</v>
      </c>
      <c r="V1000" t="s">
        <v>18691</v>
      </c>
      <c r="W1000" t="s">
        <v>18692</v>
      </c>
      <c r="X1000" t="s">
        <v>18693</v>
      </c>
      <c r="Y1000" t="s">
        <v>18694</v>
      </c>
      <c r="Z1000" t="s">
        <v>18695</v>
      </c>
      <c r="AA1000" t="s">
        <v>18696</v>
      </c>
      <c r="AB1000" t="s">
        <v>18697</v>
      </c>
      <c r="AC1000" t="s">
        <v>18698</v>
      </c>
      <c r="AD1000" t="s">
        <v>18699</v>
      </c>
      <c r="AE1000" t="s">
        <v>18700</v>
      </c>
      <c r="AF1000" t="s">
        <v>74</v>
      </c>
      <c r="AG1000">
        <v>290</v>
      </c>
      <c r="AH1000">
        <v>380</v>
      </c>
      <c r="AI1000">
        <v>416</v>
      </c>
      <c r="AJ1000">
        <v>48</v>
      </c>
      <c r="AK1000">
        <v>931</v>
      </c>
      <c r="AL1000" t="s">
        <v>2006</v>
      </c>
      <c r="AM1000" t="s">
        <v>2007</v>
      </c>
      <c r="AN1000" t="s">
        <v>2008</v>
      </c>
      <c r="AO1000" t="s">
        <v>15508</v>
      </c>
      <c r="AP1000" t="s">
        <v>15509</v>
      </c>
      <c r="AQ1000" t="s">
        <v>74</v>
      </c>
      <c r="AR1000" t="s">
        <v>15510</v>
      </c>
      <c r="AS1000" t="s">
        <v>15511</v>
      </c>
      <c r="AT1000" t="s">
        <v>17045</v>
      </c>
      <c r="AU1000">
        <v>2014</v>
      </c>
      <c r="AV1000">
        <v>20</v>
      </c>
      <c r="AW1000">
        <v>10</v>
      </c>
      <c r="AX1000" t="s">
        <v>74</v>
      </c>
      <c r="AY1000" t="s">
        <v>74</v>
      </c>
      <c r="AZ1000" t="s">
        <v>74</v>
      </c>
      <c r="BA1000" t="s">
        <v>74</v>
      </c>
      <c r="BB1000">
        <v>3004</v>
      </c>
      <c r="BC1000">
        <v>3025</v>
      </c>
      <c r="BD1000" t="s">
        <v>74</v>
      </c>
      <c r="BE1000" t="s">
        <v>18701</v>
      </c>
      <c r="BF1000" t="str">
        <f>HYPERLINK("http://dx.doi.org/10.1111/gcb.12623","http://dx.doi.org/10.1111/gcb.12623")</f>
        <v>http://dx.doi.org/10.1111/gcb.12623</v>
      </c>
      <c r="BG1000" t="s">
        <v>74</v>
      </c>
      <c r="BH1000" t="s">
        <v>74</v>
      </c>
      <c r="BI1000">
        <v>22</v>
      </c>
      <c r="BJ1000" t="s">
        <v>11608</v>
      </c>
      <c r="BK1000" t="s">
        <v>91</v>
      </c>
      <c r="BL1000" t="s">
        <v>3476</v>
      </c>
      <c r="BM1000" t="s">
        <v>18702</v>
      </c>
      <c r="BN1000">
        <v>24802817</v>
      </c>
      <c r="BO1000" t="s">
        <v>2056</v>
      </c>
      <c r="BP1000" t="s">
        <v>5654</v>
      </c>
      <c r="BQ1000" t="s">
        <v>5655</v>
      </c>
      <c r="BR1000" t="s">
        <v>93</v>
      </c>
      <c r="BS1000" t="s">
        <v>18703</v>
      </c>
      <c r="BT1000" t="str">
        <f>HYPERLINK("https%3A%2F%2Fwww.webofscience.com%2Fwos%2Fwoscc%2Ffull-record%2FWOS:000342168500002","View Full Record in Web of Science")</f>
        <v>View Full Record in Web of Science</v>
      </c>
    </row>
    <row r="1001" spans="1:72" x14ac:dyDescent="0.15">
      <c r="A1001" t="s">
        <v>72</v>
      </c>
      <c r="B1001" t="s">
        <v>18704</v>
      </c>
      <c r="C1001" t="s">
        <v>74</v>
      </c>
      <c r="D1001" t="s">
        <v>74</v>
      </c>
      <c r="E1001" t="s">
        <v>74</v>
      </c>
      <c r="F1001" t="s">
        <v>18705</v>
      </c>
      <c r="G1001" t="s">
        <v>74</v>
      </c>
      <c r="H1001" t="s">
        <v>74</v>
      </c>
      <c r="I1001" t="s">
        <v>18706</v>
      </c>
      <c r="J1001" t="s">
        <v>18707</v>
      </c>
      <c r="K1001" t="s">
        <v>74</v>
      </c>
      <c r="L1001" t="s">
        <v>74</v>
      </c>
      <c r="M1001" t="s">
        <v>78</v>
      </c>
      <c r="N1001" t="s">
        <v>99</v>
      </c>
      <c r="O1001" t="s">
        <v>74</v>
      </c>
      <c r="P1001" t="s">
        <v>74</v>
      </c>
      <c r="Q1001" t="s">
        <v>74</v>
      </c>
      <c r="R1001" t="s">
        <v>74</v>
      </c>
      <c r="S1001" t="s">
        <v>74</v>
      </c>
      <c r="T1001" t="s">
        <v>18708</v>
      </c>
      <c r="U1001" t="s">
        <v>18709</v>
      </c>
      <c r="V1001" t="s">
        <v>18710</v>
      </c>
      <c r="W1001" t="s">
        <v>18711</v>
      </c>
      <c r="X1001" t="s">
        <v>18712</v>
      </c>
      <c r="Y1001" t="s">
        <v>18713</v>
      </c>
      <c r="Z1001" t="s">
        <v>18714</v>
      </c>
      <c r="AA1001" t="s">
        <v>18715</v>
      </c>
      <c r="AB1001" t="s">
        <v>18716</v>
      </c>
      <c r="AC1001" t="s">
        <v>18717</v>
      </c>
      <c r="AD1001" t="s">
        <v>18718</v>
      </c>
      <c r="AE1001" t="s">
        <v>18719</v>
      </c>
      <c r="AF1001" t="s">
        <v>74</v>
      </c>
      <c r="AG1001">
        <v>50</v>
      </c>
      <c r="AH1001">
        <v>83</v>
      </c>
      <c r="AI1001">
        <v>87</v>
      </c>
      <c r="AJ1001">
        <v>9</v>
      </c>
      <c r="AK1001">
        <v>101</v>
      </c>
      <c r="AL1001" t="s">
        <v>2006</v>
      </c>
      <c r="AM1001" t="s">
        <v>2007</v>
      </c>
      <c r="AN1001" t="s">
        <v>2008</v>
      </c>
      <c r="AO1001" t="s">
        <v>18720</v>
      </c>
      <c r="AP1001" t="s">
        <v>18721</v>
      </c>
      <c r="AQ1001" t="s">
        <v>74</v>
      </c>
      <c r="AR1001" t="s">
        <v>18722</v>
      </c>
      <c r="AS1001" t="s">
        <v>18723</v>
      </c>
      <c r="AT1001" t="s">
        <v>17045</v>
      </c>
      <c r="AU1001">
        <v>2014</v>
      </c>
      <c r="AV1001">
        <v>23</v>
      </c>
      <c r="AW1001">
        <v>10</v>
      </c>
      <c r="AX1001" t="s">
        <v>74</v>
      </c>
      <c r="AY1001" t="s">
        <v>74</v>
      </c>
      <c r="AZ1001" t="s">
        <v>74</v>
      </c>
      <c r="BA1001" t="s">
        <v>74</v>
      </c>
      <c r="BB1001">
        <v>1094</v>
      </c>
      <c r="BC1001">
        <v>1104</v>
      </c>
      <c r="BD1001" t="s">
        <v>74</v>
      </c>
      <c r="BE1001" t="s">
        <v>18724</v>
      </c>
      <c r="BF1001" t="str">
        <f>HYPERLINK("http://dx.doi.org/10.1111/geb.12191","http://dx.doi.org/10.1111/geb.12191")</f>
        <v>http://dx.doi.org/10.1111/geb.12191</v>
      </c>
      <c r="BG1001" t="s">
        <v>74</v>
      </c>
      <c r="BH1001" t="s">
        <v>74</v>
      </c>
      <c r="BI1001">
        <v>11</v>
      </c>
      <c r="BJ1001" t="s">
        <v>6692</v>
      </c>
      <c r="BK1001" t="s">
        <v>91</v>
      </c>
      <c r="BL1001" t="s">
        <v>6693</v>
      </c>
      <c r="BM1001" t="s">
        <v>18725</v>
      </c>
      <c r="BN1001" t="s">
        <v>74</v>
      </c>
      <c r="BO1001" t="s">
        <v>74</v>
      </c>
      <c r="BP1001" t="s">
        <v>74</v>
      </c>
      <c r="BQ1001" t="s">
        <v>74</v>
      </c>
      <c r="BR1001" t="s">
        <v>93</v>
      </c>
      <c r="BS1001" t="s">
        <v>18726</v>
      </c>
      <c r="BT1001" t="str">
        <f>HYPERLINK("https%3A%2F%2Fwww.webofscience.com%2Fwos%2Fwoscc%2Ffull-record%2FWOS:000341821400004","View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2024-07-28T15:24:04Z</dcterms:created>
  <dcterms:modified xsi:type="dcterms:W3CDTF">2024-07-28T15:24:04Z</dcterms:modified>
</cp:coreProperties>
</file>